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ShinyApp/data/"/>
    </mc:Choice>
  </mc:AlternateContent>
  <xr:revisionPtr revIDLastSave="0" documentId="13_ncr:1_{6FD29949-EE84-0342-98D1-DF44AFFC3073}" xr6:coauthVersionLast="47" xr6:coauthVersionMax="47" xr10:uidLastSave="{00000000-0000-0000-0000-000000000000}"/>
  <bookViews>
    <workbookView xWindow="0" yWindow="500" windowWidth="26000" windowHeight="16820" tabRatio="622" activeTab="2" xr2:uid="{00000000-000D-0000-FFFF-FFFF00000000}"/>
  </bookViews>
  <sheets>
    <sheet name="Population" sheetId="4" state="hidden" r:id="rId1"/>
    <sheet name="Monthly Report p1" sheetId="16" r:id="rId2"/>
    <sheet name="Monthly Report p2" sheetId="34" r:id="rId3"/>
  </sheets>
  <externalReferences>
    <externalReference r:id="rId4"/>
    <externalReference r:id="rId5"/>
    <externalReference r:id="rId6"/>
    <externalReference r:id="rId7"/>
  </externalReferences>
  <definedNames>
    <definedName name="\A">#REF!</definedName>
    <definedName name="\B">#REF!</definedName>
    <definedName name="CategoriesList">#REF!</definedName>
    <definedName name="DATAOUT">#REF!</definedName>
    <definedName name="FAMIS_BY_FIPS">[1]FAMIS_BY_FIPS!#REF!</definedName>
    <definedName name="FAMIS_BY_REGION">[1]FAMIS_BY_REGION!#REF!</definedName>
    <definedName name="HealthCover">[2]BenefitRates!$F$5:$F$8</definedName>
    <definedName name="HealthPrem">[2]Lists!#REF!</definedName>
    <definedName name="Leg">#REF!</definedName>
    <definedName name="list">#REF!</definedName>
    <definedName name="Manpower" localSheetId="2" hidden="1">{"Manpower",#N/A,TRUE,"Manpower";"Manpower",#N/A,TRUE,"Manpower"}</definedName>
    <definedName name="Manpower" hidden="1">{"Manpower",#N/A,TRUE,"Manpower";"Manpower",#N/A,TRUE,"Manpower"}</definedName>
    <definedName name="MEDICAID_BY_FIPS">[1]MEDICAID_BY_FIPS!#REF!</definedName>
    <definedName name="MEDICAID_BY_REGION">[1]MEDICAID_BY_REGION!#REF!</definedName>
    <definedName name="MEMMO">'[3]FY08 MemMo Data Source'!#REF!</definedName>
    <definedName name="Onetime">#REF!</definedName>
    <definedName name="POSITIONS">'[4]Ref-ALTC NP FORM'!$A$4:$Y$14</definedName>
    <definedName name="_xlnm.Print_Area" localSheetId="1">'Monthly Report p1'!$A$1:$X$204</definedName>
    <definedName name="_xlnm.Print_Area" localSheetId="2">'Monthly Report p2'!$A$1:$Y$359</definedName>
    <definedName name="RetireList">[2]Lists!$D$9:$D$13</definedName>
    <definedName name="SFSDFSDFSD">#REF!</definedName>
    <definedName name="Summary">#REF!</definedName>
    <definedName name="wrn.Manpower." localSheetId="2" hidden="1">{"Manpower",#N/A,TRUE,"Manpower";"Manpower",#N/A,TRUE,"Manpower"}</definedName>
    <definedName name="wrn.Manpower." hidden="1">{"Manpower",#N/A,TRUE,"Manpower";"Manpower",#N/A,TRUE,"Manpower"}</definedName>
    <definedName name="YesNo">[2]Lists!$D$5:$D$6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6" i="34" l="1"/>
  <c r="T356" i="34"/>
  <c r="P356" i="34"/>
  <c r="O356" i="34"/>
  <c r="N356" i="34"/>
  <c r="Z356" i="34" s="1"/>
  <c r="K356" i="34"/>
  <c r="J356" i="34"/>
  <c r="I356" i="34"/>
  <c r="G356" i="34"/>
  <c r="D176" i="34" l="1"/>
  <c r="Q356" i="34" l="1"/>
  <c r="R356" i="34" s="1"/>
  <c r="Y356" i="34" s="1"/>
  <c r="F359" i="34"/>
  <c r="E359" i="34"/>
  <c r="D359" i="34"/>
  <c r="A359" i="34"/>
  <c r="T176" i="34"/>
  <c r="T359" i="34" s="1"/>
  <c r="U176" i="34"/>
  <c r="U359" i="34" s="1"/>
  <c r="V176" i="34"/>
  <c r="V359" i="34" s="1"/>
  <c r="F176" i="16"/>
  <c r="F204" i="16" s="1"/>
  <c r="N176" i="16"/>
  <c r="O176" i="16"/>
  <c r="DD408" i="4"/>
  <c r="DE408" i="4"/>
  <c r="DK408" i="4"/>
  <c r="C176" i="16" s="1"/>
  <c r="DL408" i="4"/>
  <c r="DM408" i="4"/>
  <c r="H176" i="34" s="1"/>
  <c r="H359" i="34" s="1"/>
  <c r="DN408" i="4"/>
  <c r="DO408" i="4"/>
  <c r="K176" i="34" s="1"/>
  <c r="K359" i="34" s="1"/>
  <c r="DP408" i="4"/>
  <c r="I176" i="34" s="1"/>
  <c r="I359" i="34" s="1"/>
  <c r="DQ408" i="4"/>
  <c r="M176" i="34" s="1"/>
  <c r="DR408" i="4"/>
  <c r="J176" i="34" s="1"/>
  <c r="J359" i="34" s="1"/>
  <c r="DS408" i="4"/>
  <c r="L176" i="34" s="1"/>
  <c r="L359" i="34" s="1"/>
  <c r="DT408" i="4"/>
  <c r="DU408" i="4"/>
  <c r="O176" i="34" s="1"/>
  <c r="O359" i="34" s="1"/>
  <c r="DV408" i="4"/>
  <c r="P176" i="34" s="1"/>
  <c r="P359" i="34" s="1"/>
  <c r="DZ408" i="4"/>
  <c r="EF408" i="4"/>
  <c r="EG408" i="4"/>
  <c r="C204" i="16" l="1"/>
  <c r="G176" i="34"/>
  <c r="DF408" i="4"/>
  <c r="EB408" i="4" s="1"/>
  <c r="DY408" i="4"/>
  <c r="P176" i="16"/>
  <c r="Q176" i="34"/>
  <c r="N176" i="34"/>
  <c r="W176" i="34"/>
  <c r="I176" i="16"/>
  <c r="I204" i="16" s="1"/>
  <c r="DW408" i="4"/>
  <c r="EH408" i="4"/>
  <c r="V206" i="34"/>
  <c r="U206" i="34"/>
  <c r="T206" i="34"/>
  <c r="P206" i="34"/>
  <c r="O206" i="34"/>
  <c r="M206" i="34"/>
  <c r="L206" i="34"/>
  <c r="K206" i="34"/>
  <c r="J206" i="34"/>
  <c r="I206" i="34"/>
  <c r="H206" i="34"/>
  <c r="G206" i="34"/>
  <c r="F206" i="34"/>
  <c r="E206" i="34"/>
  <c r="D206" i="34"/>
  <c r="O204" i="16"/>
  <c r="N204" i="16"/>
  <c r="C176" i="34" l="1"/>
  <c r="G359" i="34"/>
  <c r="P204" i="16"/>
  <c r="R176" i="34"/>
  <c r="N359" i="34"/>
  <c r="Q206" i="34"/>
  <c r="Q359" i="34"/>
  <c r="W206" i="34"/>
  <c r="W359" i="34"/>
  <c r="N206" i="34"/>
  <c r="U176" i="16"/>
  <c r="T354" i="34"/>
  <c r="W354" i="34" s="1"/>
  <c r="K354" i="34"/>
  <c r="I354" i="34"/>
  <c r="G354" i="34"/>
  <c r="P354" i="34"/>
  <c r="Q354" i="34" s="1"/>
  <c r="O354" i="34"/>
  <c r="C356" i="34" l="1"/>
  <c r="C359" i="34" s="1"/>
  <c r="C206" i="34"/>
  <c r="U204" i="16"/>
  <c r="Y176" i="34"/>
  <c r="R359" i="34"/>
  <c r="R206" i="34"/>
  <c r="N354" i="34"/>
  <c r="Z354" i="34" s="1"/>
  <c r="D174" i="34"/>
  <c r="Y206" i="34" l="1"/>
  <c r="Y359" i="34"/>
  <c r="R354" i="34"/>
  <c r="Y354" i="34" s="1"/>
  <c r="T174" i="34"/>
  <c r="U174" i="34"/>
  <c r="V174" i="34"/>
  <c r="N174" i="16"/>
  <c r="P174" i="16" s="1"/>
  <c r="O174" i="16"/>
  <c r="DD407" i="4"/>
  <c r="DE407" i="4"/>
  <c r="DF407" i="4"/>
  <c r="EB407" i="4" s="1"/>
  <c r="DK407" i="4"/>
  <c r="G174" i="34" s="1"/>
  <c r="DL407" i="4"/>
  <c r="DM407" i="4"/>
  <c r="H174" i="34" s="1"/>
  <c r="DN407" i="4"/>
  <c r="DO407" i="4"/>
  <c r="DY407" i="4" s="1"/>
  <c r="DP407" i="4"/>
  <c r="I174" i="34" s="1"/>
  <c r="DQ407" i="4"/>
  <c r="M174" i="34" s="1"/>
  <c r="DR407" i="4"/>
  <c r="J174" i="34" s="1"/>
  <c r="DS407" i="4"/>
  <c r="L174" i="34" s="1"/>
  <c r="DT407" i="4"/>
  <c r="DU407" i="4"/>
  <c r="O174" i="34" s="1"/>
  <c r="DV407" i="4"/>
  <c r="P174" i="34" s="1"/>
  <c r="DZ407" i="4"/>
  <c r="EF407" i="4"/>
  <c r="EG407" i="4"/>
  <c r="EJ408" i="4" s="1"/>
  <c r="R176" i="16" l="1"/>
  <c r="R204" i="16" s="1"/>
  <c r="Q176" i="16"/>
  <c r="Q204" i="16" s="1"/>
  <c r="F174" i="16"/>
  <c r="H176" i="16" s="1"/>
  <c r="H204" i="16" s="1"/>
  <c r="EI408" i="4"/>
  <c r="C174" i="16"/>
  <c r="K174" i="34"/>
  <c r="G176" i="16"/>
  <c r="G204" i="16" s="1"/>
  <c r="W174" i="34"/>
  <c r="C174" i="34"/>
  <c r="C354" i="34" s="1"/>
  <c r="N174" i="34"/>
  <c r="Q174" i="34"/>
  <c r="EH407" i="4"/>
  <c r="DW407" i="4"/>
  <c r="U353" i="34"/>
  <c r="T353" i="34"/>
  <c r="K353" i="34"/>
  <c r="G353" i="34"/>
  <c r="I174" i="16" l="1"/>
  <c r="D176" i="16"/>
  <c r="D204" i="16" s="1"/>
  <c r="E176" i="16"/>
  <c r="E204" i="16" s="1"/>
  <c r="J176" i="16"/>
  <c r="K176" i="16"/>
  <c r="K204" i="16" s="1"/>
  <c r="R174" i="34"/>
  <c r="U174" i="16"/>
  <c r="P353" i="34"/>
  <c r="O353" i="34"/>
  <c r="J353" i="34"/>
  <c r="I353" i="34" s="1"/>
  <c r="W176" i="16" l="1"/>
  <c r="W204" i="16" s="1"/>
  <c r="V176" i="16"/>
  <c r="L204" i="16"/>
  <c r="J204" i="16"/>
  <c r="Y174" i="34"/>
  <c r="N353" i="34"/>
  <c r="Q353" i="34"/>
  <c r="W353" i="34"/>
  <c r="D173" i="34"/>
  <c r="X204" i="16" l="1"/>
  <c r="V204" i="16"/>
  <c r="R353" i="34"/>
  <c r="Z353" i="34"/>
  <c r="J173" i="34"/>
  <c r="O173" i="34"/>
  <c r="T173" i="34"/>
  <c r="U173" i="34"/>
  <c r="V173" i="34"/>
  <c r="N173" i="16"/>
  <c r="O173" i="16"/>
  <c r="DD406" i="4"/>
  <c r="DE406" i="4"/>
  <c r="DK406" i="4"/>
  <c r="G173" i="34" s="1"/>
  <c r="DL406" i="4"/>
  <c r="DW406" i="4" s="1"/>
  <c r="DM406" i="4"/>
  <c r="H173" i="34" s="1"/>
  <c r="DN406" i="4"/>
  <c r="DO406" i="4"/>
  <c r="K173" i="34" s="1"/>
  <c r="DP406" i="4"/>
  <c r="I173" i="34" s="1"/>
  <c r="DQ406" i="4"/>
  <c r="M173" i="34" s="1"/>
  <c r="DR406" i="4"/>
  <c r="DS406" i="4"/>
  <c r="L173" i="34" s="1"/>
  <c r="DT406" i="4"/>
  <c r="DY406" i="4" s="1"/>
  <c r="DU406" i="4"/>
  <c r="DV406" i="4"/>
  <c r="P173" i="34" s="1"/>
  <c r="DZ406" i="4"/>
  <c r="EF406" i="4"/>
  <c r="EG406" i="4"/>
  <c r="EJ407" i="4" l="1"/>
  <c r="F173" i="16"/>
  <c r="H174" i="16" s="1"/>
  <c r="EH406" i="4"/>
  <c r="EI407" i="4"/>
  <c r="DF406" i="4"/>
  <c r="C173" i="16"/>
  <c r="D174" i="16" s="1"/>
  <c r="P173" i="16"/>
  <c r="R174" i="16" s="1"/>
  <c r="E174" i="16"/>
  <c r="W173" i="34"/>
  <c r="C173" i="34"/>
  <c r="C353" i="34" s="1"/>
  <c r="Y353" i="34"/>
  <c r="N173" i="34"/>
  <c r="Q173" i="34"/>
  <c r="EB406" i="4"/>
  <c r="U352" i="34"/>
  <c r="T352" i="34"/>
  <c r="W352" i="34" s="1"/>
  <c r="K352" i="34"/>
  <c r="I352" i="34"/>
  <c r="G352" i="34"/>
  <c r="P352" i="34"/>
  <c r="O352" i="34"/>
  <c r="Q352" i="34" s="1"/>
  <c r="J352" i="34"/>
  <c r="I173" i="16" l="1"/>
  <c r="U173" i="16" s="1"/>
  <c r="G174" i="16"/>
  <c r="Q174" i="16"/>
  <c r="K174" i="16"/>
  <c r="J174" i="16"/>
  <c r="R173" i="34"/>
  <c r="N352" i="34"/>
  <c r="Z352" i="34" s="1"/>
  <c r="D172" i="34"/>
  <c r="V174" i="16" l="1"/>
  <c r="W174" i="16"/>
  <c r="R352" i="34"/>
  <c r="Y352" i="34" s="1"/>
  <c r="Y173" i="34"/>
  <c r="I172" i="34"/>
  <c r="M172" i="34"/>
  <c r="T172" i="34"/>
  <c r="U172" i="34"/>
  <c r="V172" i="34"/>
  <c r="N172" i="16"/>
  <c r="O172" i="16"/>
  <c r="DD405" i="4"/>
  <c r="DE405" i="4"/>
  <c r="DF405" i="4"/>
  <c r="EB405" i="4" s="1"/>
  <c r="DK405" i="4"/>
  <c r="G172" i="34" s="1"/>
  <c r="C172" i="34" s="1"/>
  <c r="C352" i="34" s="1"/>
  <c r="DL405" i="4"/>
  <c r="DM405" i="4"/>
  <c r="H172" i="34" s="1"/>
  <c r="DN405" i="4"/>
  <c r="DO405" i="4"/>
  <c r="DP405" i="4"/>
  <c r="DQ405" i="4"/>
  <c r="DR405" i="4"/>
  <c r="J172" i="34" s="1"/>
  <c r="DS405" i="4"/>
  <c r="L172" i="34" s="1"/>
  <c r="DT405" i="4"/>
  <c r="DU405" i="4"/>
  <c r="O172" i="34" s="1"/>
  <c r="DV405" i="4"/>
  <c r="P172" i="34" s="1"/>
  <c r="DZ405" i="4"/>
  <c r="EF405" i="4"/>
  <c r="EI406" i="4" s="1"/>
  <c r="EG405" i="4"/>
  <c r="EJ406" i="4" s="1"/>
  <c r="EH405" i="4" l="1"/>
  <c r="DY405" i="4"/>
  <c r="F172" i="16"/>
  <c r="H173" i="16" s="1"/>
  <c r="C172" i="16"/>
  <c r="E173" i="16" s="1"/>
  <c r="K172" i="34"/>
  <c r="W172" i="34"/>
  <c r="D173" i="16"/>
  <c r="P172" i="16"/>
  <c r="Q172" i="34"/>
  <c r="N172" i="34"/>
  <c r="DW405" i="4"/>
  <c r="U351" i="34"/>
  <c r="T351" i="34"/>
  <c r="K351" i="34"/>
  <c r="G351" i="34"/>
  <c r="P351" i="34"/>
  <c r="O351" i="34"/>
  <c r="J351" i="34"/>
  <c r="I351" i="34" s="1"/>
  <c r="N351" i="34" s="1"/>
  <c r="G173" i="16" l="1"/>
  <c r="I172" i="16"/>
  <c r="J173" i="16" s="1"/>
  <c r="Q173" i="16"/>
  <c r="R173" i="16"/>
  <c r="K173" i="16"/>
  <c r="R172" i="34"/>
  <c r="U172" i="16"/>
  <c r="D171" i="34"/>
  <c r="V173" i="16" l="1"/>
  <c r="W173" i="16"/>
  <c r="Y172" i="34"/>
  <c r="Z351" i="34"/>
  <c r="W351" i="34"/>
  <c r="Q351" i="34"/>
  <c r="R351" i="34" s="1"/>
  <c r="P171" i="34"/>
  <c r="T171" i="34"/>
  <c r="U171" i="34"/>
  <c r="V171" i="34"/>
  <c r="N171" i="16"/>
  <c r="O171" i="16"/>
  <c r="DD404" i="4"/>
  <c r="DF404" i="4" s="1"/>
  <c r="EB404" i="4" s="1"/>
  <c r="DE404" i="4"/>
  <c r="DK404" i="4"/>
  <c r="DL404" i="4"/>
  <c r="G171" i="34" s="1"/>
  <c r="DM404" i="4"/>
  <c r="H171" i="34" s="1"/>
  <c r="DN404" i="4"/>
  <c r="DO404" i="4"/>
  <c r="DP404" i="4"/>
  <c r="I171" i="34" s="1"/>
  <c r="DQ404" i="4"/>
  <c r="M171" i="34" s="1"/>
  <c r="DR404" i="4"/>
  <c r="J171" i="34" s="1"/>
  <c r="DS404" i="4"/>
  <c r="L171" i="34" s="1"/>
  <c r="DT404" i="4"/>
  <c r="K171" i="34" s="1"/>
  <c r="DU404" i="4"/>
  <c r="O171" i="34" s="1"/>
  <c r="DV404" i="4"/>
  <c r="DZ404" i="4"/>
  <c r="EF404" i="4"/>
  <c r="EI405" i="4" s="1"/>
  <c r="EG404" i="4"/>
  <c r="EJ405" i="4" s="1"/>
  <c r="F171" i="16" l="1"/>
  <c r="G172" i="16" s="1"/>
  <c r="C171" i="16"/>
  <c r="DY404" i="4"/>
  <c r="EH404" i="4"/>
  <c r="P171" i="16"/>
  <c r="Q171" i="34"/>
  <c r="Q172" i="16"/>
  <c r="R172" i="16"/>
  <c r="E172" i="16"/>
  <c r="D172" i="16"/>
  <c r="H172" i="16"/>
  <c r="C171" i="34"/>
  <c r="C351" i="34" s="1"/>
  <c r="W171" i="34"/>
  <c r="N171" i="34"/>
  <c r="Y351" i="34"/>
  <c r="I171" i="16"/>
  <c r="DW404" i="4"/>
  <c r="T350" i="34"/>
  <c r="T349" i="34"/>
  <c r="K350" i="34"/>
  <c r="G350" i="34"/>
  <c r="G349" i="34"/>
  <c r="P350" i="34"/>
  <c r="O350" i="34"/>
  <c r="J350" i="34"/>
  <c r="I350" i="34" s="1"/>
  <c r="Q350" i="34" l="1"/>
  <c r="J172" i="16"/>
  <c r="K172" i="16"/>
  <c r="R171" i="34"/>
  <c r="U171" i="16"/>
  <c r="D170" i="34"/>
  <c r="W172" i="16" l="1"/>
  <c r="V172" i="16"/>
  <c r="Y171" i="34"/>
  <c r="W350" i="34"/>
  <c r="N350" i="34"/>
  <c r="Z350" i="34" s="1"/>
  <c r="T170" i="34"/>
  <c r="U170" i="34"/>
  <c r="V170" i="34"/>
  <c r="N170" i="16"/>
  <c r="O170" i="16"/>
  <c r="DD403" i="4"/>
  <c r="DF403" i="4" s="1"/>
  <c r="DE403" i="4"/>
  <c r="DK403" i="4"/>
  <c r="G170" i="34" s="1"/>
  <c r="C170" i="34" s="1"/>
  <c r="C350" i="34" s="1"/>
  <c r="DL403" i="4"/>
  <c r="DM403" i="4"/>
  <c r="H170" i="34" s="1"/>
  <c r="DN403" i="4"/>
  <c r="DO403" i="4"/>
  <c r="DY403" i="4" s="1"/>
  <c r="DP403" i="4"/>
  <c r="I170" i="34" s="1"/>
  <c r="DQ403" i="4"/>
  <c r="M170" i="34" s="1"/>
  <c r="DR403" i="4"/>
  <c r="J170" i="34" s="1"/>
  <c r="DS403" i="4"/>
  <c r="L170" i="34" s="1"/>
  <c r="DT403" i="4"/>
  <c r="DU403" i="4"/>
  <c r="O170" i="34" s="1"/>
  <c r="DV403" i="4"/>
  <c r="P170" i="34" s="1"/>
  <c r="DZ403" i="4"/>
  <c r="EF403" i="4"/>
  <c r="EI404" i="4" s="1"/>
  <c r="EG403" i="4"/>
  <c r="F170" i="16" l="1"/>
  <c r="G171" i="16" s="1"/>
  <c r="EH403" i="4"/>
  <c r="EJ404" i="4"/>
  <c r="EB403" i="4"/>
  <c r="C170" i="16"/>
  <c r="K170" i="34"/>
  <c r="W170" i="34"/>
  <c r="P170" i="16"/>
  <c r="Q171" i="16" s="1"/>
  <c r="E171" i="16"/>
  <c r="D171" i="16"/>
  <c r="Q170" i="34"/>
  <c r="N170" i="34"/>
  <c r="R350" i="34"/>
  <c r="DW403" i="4"/>
  <c r="P349" i="34"/>
  <c r="O349" i="34"/>
  <c r="J349" i="34"/>
  <c r="I349" i="34" s="1"/>
  <c r="W349" i="34"/>
  <c r="K349" i="34"/>
  <c r="D169" i="34"/>
  <c r="H171" i="16" l="1"/>
  <c r="I170" i="16"/>
  <c r="N349" i="34"/>
  <c r="Z349" i="34" s="1"/>
  <c r="R170" i="34"/>
  <c r="Y170" i="34" s="1"/>
  <c r="R171" i="16"/>
  <c r="J171" i="16"/>
  <c r="K171" i="16"/>
  <c r="Y350" i="34"/>
  <c r="U170" i="16"/>
  <c r="Q349" i="34"/>
  <c r="R349" i="34" s="1"/>
  <c r="Y349" i="34" s="1"/>
  <c r="T169" i="34"/>
  <c r="U169" i="34"/>
  <c r="V169" i="34"/>
  <c r="N169" i="16"/>
  <c r="O169" i="16"/>
  <c r="DD402" i="4"/>
  <c r="DE402" i="4"/>
  <c r="DK402" i="4"/>
  <c r="G169" i="34" s="1"/>
  <c r="C169" i="34" s="1"/>
  <c r="C349" i="34" s="1"/>
  <c r="DL402" i="4"/>
  <c r="DM402" i="4"/>
  <c r="H169" i="34" s="1"/>
  <c r="DN402" i="4"/>
  <c r="DO402" i="4"/>
  <c r="K169" i="34" s="1"/>
  <c r="DP402" i="4"/>
  <c r="I169" i="34" s="1"/>
  <c r="DQ402" i="4"/>
  <c r="M169" i="34" s="1"/>
  <c r="DR402" i="4"/>
  <c r="J169" i="34" s="1"/>
  <c r="DS402" i="4"/>
  <c r="L169" i="34" s="1"/>
  <c r="DT402" i="4"/>
  <c r="DY402" i="4" s="1"/>
  <c r="DU402" i="4"/>
  <c r="O169" i="34" s="1"/>
  <c r="DV402" i="4"/>
  <c r="P169" i="34" s="1"/>
  <c r="DZ402" i="4"/>
  <c r="EF402" i="4"/>
  <c r="EG402" i="4"/>
  <c r="EJ403" i="4" s="1"/>
  <c r="DW402" i="4" l="1"/>
  <c r="F169" i="16"/>
  <c r="I169" i="16" s="1"/>
  <c r="EH402" i="4"/>
  <c r="EI403" i="4"/>
  <c r="DF402" i="4"/>
  <c r="EB402" i="4" s="1"/>
  <c r="C169" i="16"/>
  <c r="P169" i="16"/>
  <c r="Q170" i="16" s="1"/>
  <c r="Q169" i="34"/>
  <c r="W171" i="16"/>
  <c r="V171" i="16"/>
  <c r="W169" i="34"/>
  <c r="D170" i="16"/>
  <c r="E170" i="16"/>
  <c r="N169" i="34"/>
  <c r="H170" i="16" l="1"/>
  <c r="G170" i="16"/>
  <c r="R170" i="16"/>
  <c r="R169" i="34"/>
  <c r="Y169" i="34" s="1"/>
  <c r="J170" i="16"/>
  <c r="K170" i="16"/>
  <c r="U169" i="16"/>
  <c r="W170" i="16" l="1"/>
  <c r="V170" i="16"/>
  <c r="F205" i="34" l="1"/>
  <c r="E205" i="34"/>
  <c r="T348" i="34"/>
  <c r="G348" i="34"/>
  <c r="K348" i="34"/>
  <c r="P348" i="34"/>
  <c r="O348" i="34"/>
  <c r="Q348" i="34" s="1"/>
  <c r="J348" i="34"/>
  <c r="I348" i="34" s="1"/>
  <c r="D168" i="34" l="1"/>
  <c r="W348" i="34" l="1"/>
  <c r="N348" i="34"/>
  <c r="O168" i="34"/>
  <c r="T168" i="34"/>
  <c r="U168" i="34"/>
  <c r="V168" i="34"/>
  <c r="N168" i="16"/>
  <c r="O168" i="16"/>
  <c r="DD401" i="4"/>
  <c r="DE401" i="4"/>
  <c r="DF401" i="4" s="1"/>
  <c r="DK401" i="4"/>
  <c r="G168" i="34" s="1"/>
  <c r="C168" i="34" s="1"/>
  <c r="C348" i="34" s="1"/>
  <c r="DL401" i="4"/>
  <c r="FD401" i="4" s="1"/>
  <c r="DM401" i="4"/>
  <c r="H168" i="34" s="1"/>
  <c r="DN401" i="4"/>
  <c r="DO401" i="4"/>
  <c r="K168" i="34" s="1"/>
  <c r="DP401" i="4"/>
  <c r="FG401" i="4" s="1"/>
  <c r="DQ401" i="4"/>
  <c r="M168" i="34" s="1"/>
  <c r="DR401" i="4"/>
  <c r="FH401" i="4" s="1"/>
  <c r="DS401" i="4"/>
  <c r="L168" i="34" s="1"/>
  <c r="DT401" i="4"/>
  <c r="FF401" i="4" s="1"/>
  <c r="DU401" i="4"/>
  <c r="DV401" i="4"/>
  <c r="P168" i="34" s="1"/>
  <c r="DZ401" i="4"/>
  <c r="EF401" i="4"/>
  <c r="EH401" i="4" s="1"/>
  <c r="EG401" i="4"/>
  <c r="EJ402" i="4" s="1"/>
  <c r="F168" i="16" l="1"/>
  <c r="I168" i="16" s="1"/>
  <c r="DW401" i="4"/>
  <c r="FJ401" i="4"/>
  <c r="C168" i="16"/>
  <c r="EI402" i="4"/>
  <c r="J168" i="34"/>
  <c r="DY401" i="4"/>
  <c r="FE401" i="4"/>
  <c r="FC401" i="4"/>
  <c r="I168" i="34"/>
  <c r="P168" i="16"/>
  <c r="Q169" i="16" s="1"/>
  <c r="W168" i="34"/>
  <c r="D169" i="16"/>
  <c r="E169" i="16"/>
  <c r="R348" i="34"/>
  <c r="Z348" i="34"/>
  <c r="Q168" i="34"/>
  <c r="N168" i="34"/>
  <c r="EB401" i="4"/>
  <c r="T347" i="34"/>
  <c r="P347" i="34"/>
  <c r="O347" i="34"/>
  <c r="K347" i="34"/>
  <c r="G347" i="34"/>
  <c r="J347" i="34"/>
  <c r="I347" i="34" s="1"/>
  <c r="H169" i="16" l="1"/>
  <c r="G169" i="16"/>
  <c r="N347" i="34"/>
  <c r="Z347" i="34" s="1"/>
  <c r="FI401" i="4"/>
  <c r="R169" i="16"/>
  <c r="K169" i="16"/>
  <c r="J169" i="16"/>
  <c r="R168" i="34"/>
  <c r="Y168" i="34" s="1"/>
  <c r="Y348" i="34"/>
  <c r="U168" i="16"/>
  <c r="Q347" i="34"/>
  <c r="R347" i="34" s="1"/>
  <c r="W347" i="34"/>
  <c r="D167" i="34"/>
  <c r="V169" i="16" l="1"/>
  <c r="W169" i="16"/>
  <c r="Y347" i="34"/>
  <c r="T167" i="34"/>
  <c r="U167" i="34"/>
  <c r="V167" i="34"/>
  <c r="N167" i="16"/>
  <c r="O167" i="16"/>
  <c r="DD400" i="4"/>
  <c r="DE400" i="4"/>
  <c r="DF400" i="4" s="1"/>
  <c r="EB400" i="4" s="1"/>
  <c r="DK400" i="4"/>
  <c r="G167" i="34" s="1"/>
  <c r="DL400" i="4"/>
  <c r="DM400" i="4"/>
  <c r="H167" i="34" s="1"/>
  <c r="DN400" i="4"/>
  <c r="DO400" i="4"/>
  <c r="K167" i="34" s="1"/>
  <c r="DP400" i="4"/>
  <c r="DQ400" i="4"/>
  <c r="M167" i="34" s="1"/>
  <c r="DR400" i="4"/>
  <c r="FH400" i="4" s="1"/>
  <c r="DS400" i="4"/>
  <c r="L167" i="34" s="1"/>
  <c r="DT400" i="4"/>
  <c r="FF400" i="4" s="1"/>
  <c r="DU400" i="4"/>
  <c r="FJ400" i="4" s="1"/>
  <c r="DV400" i="4"/>
  <c r="P167" i="34" s="1"/>
  <c r="DZ400" i="4"/>
  <c r="EF400" i="4"/>
  <c r="EI401" i="4" s="1"/>
  <c r="EG400" i="4"/>
  <c r="FG400" i="4" l="1"/>
  <c r="FD400" i="4"/>
  <c r="C167" i="16"/>
  <c r="D168" i="16" s="1"/>
  <c r="DY400" i="4"/>
  <c r="FE400" i="4"/>
  <c r="FC400" i="4"/>
  <c r="O167" i="34"/>
  <c r="J167" i="34"/>
  <c r="EH400" i="4"/>
  <c r="EJ401" i="4"/>
  <c r="I167" i="34"/>
  <c r="F167" i="16"/>
  <c r="I167" i="16" s="1"/>
  <c r="P167" i="16"/>
  <c r="Q168" i="16" s="1"/>
  <c r="E168" i="16"/>
  <c r="C167" i="34"/>
  <c r="C347" i="34" s="1"/>
  <c r="W167" i="34"/>
  <c r="Q167" i="34"/>
  <c r="N167" i="34"/>
  <c r="DW400" i="4"/>
  <c r="FI400" i="4" s="1"/>
  <c r="T346" i="34"/>
  <c r="K346" i="34"/>
  <c r="G346" i="34"/>
  <c r="P346" i="34"/>
  <c r="O346" i="34"/>
  <c r="J346" i="34"/>
  <c r="I346" i="34" s="1"/>
  <c r="G168" i="16" l="1"/>
  <c r="H168" i="16"/>
  <c r="R168" i="16"/>
  <c r="J168" i="16"/>
  <c r="K168" i="16"/>
  <c r="R167" i="34"/>
  <c r="Y167" i="34" s="1"/>
  <c r="U167" i="16"/>
  <c r="W346" i="34"/>
  <c r="Q346" i="34"/>
  <c r="N346" i="34"/>
  <c r="D166" i="34"/>
  <c r="V168" i="16" l="1"/>
  <c r="W168" i="16"/>
  <c r="R346" i="34"/>
  <c r="Y346" i="34" s="1"/>
  <c r="Z346" i="34"/>
  <c r="T166" i="34"/>
  <c r="U166" i="34"/>
  <c r="V166" i="34"/>
  <c r="N166" i="16"/>
  <c r="O166" i="16"/>
  <c r="DD399" i="4"/>
  <c r="DE399" i="4"/>
  <c r="DF399" i="4"/>
  <c r="DK399" i="4"/>
  <c r="DL399" i="4"/>
  <c r="DM399" i="4"/>
  <c r="H166" i="34" s="1"/>
  <c r="DN399" i="4"/>
  <c r="DO399" i="4"/>
  <c r="DP399" i="4"/>
  <c r="FG399" i="4" s="1"/>
  <c r="DQ399" i="4"/>
  <c r="M166" i="34" s="1"/>
  <c r="DR399" i="4"/>
  <c r="FH399" i="4" s="1"/>
  <c r="DS399" i="4"/>
  <c r="L166" i="34" s="1"/>
  <c r="DT399" i="4"/>
  <c r="FF399" i="4" s="1"/>
  <c r="DU399" i="4"/>
  <c r="O166" i="34" s="1"/>
  <c r="DV399" i="4"/>
  <c r="P166" i="34" s="1"/>
  <c r="DZ399" i="4"/>
  <c r="EB399" i="4"/>
  <c r="EF399" i="4"/>
  <c r="EG399" i="4"/>
  <c r="EJ400" i="4" s="1"/>
  <c r="DY399" i="4" l="1"/>
  <c r="FE399" i="4"/>
  <c r="FC399" i="4"/>
  <c r="J166" i="34"/>
  <c r="I166" i="34"/>
  <c r="EI400" i="4"/>
  <c r="FJ399" i="4"/>
  <c r="F166" i="16"/>
  <c r="G167" i="16" s="1"/>
  <c r="FD399" i="4"/>
  <c r="C166" i="16"/>
  <c r="K166" i="34"/>
  <c r="G166" i="34"/>
  <c r="C166" i="34" s="1"/>
  <c r="C346" i="34" s="1"/>
  <c r="P166" i="16"/>
  <c r="R167" i="16" s="1"/>
  <c r="E167" i="16"/>
  <c r="D167" i="16"/>
  <c r="W166" i="34"/>
  <c r="Q166" i="34"/>
  <c r="N166" i="34"/>
  <c r="EH399" i="4"/>
  <c r="DW399" i="4"/>
  <c r="FI399" i="4" s="1"/>
  <c r="T345" i="34"/>
  <c r="W345" i="34" s="1"/>
  <c r="P345" i="34"/>
  <c r="O345" i="34"/>
  <c r="Q345" i="34" s="1"/>
  <c r="K345" i="34"/>
  <c r="J345" i="34"/>
  <c r="I345" i="34" s="1"/>
  <c r="N345" i="34" s="1"/>
  <c r="G345" i="34"/>
  <c r="H167" i="16" l="1"/>
  <c r="I166" i="16"/>
  <c r="K167" i="16" s="1"/>
  <c r="Q167" i="16"/>
  <c r="J167" i="16"/>
  <c r="R166" i="34"/>
  <c r="U166" i="16"/>
  <c r="R345" i="34"/>
  <c r="Y345" i="34" s="1"/>
  <c r="Z345" i="34"/>
  <c r="D165" i="34"/>
  <c r="V167" i="16" l="1"/>
  <c r="W167" i="16"/>
  <c r="Y166" i="34"/>
  <c r="T165" i="34"/>
  <c r="U165" i="34"/>
  <c r="V165" i="34"/>
  <c r="N165" i="16"/>
  <c r="O165" i="16"/>
  <c r="EF398" i="4"/>
  <c r="EG398" i="4"/>
  <c r="DK398" i="4"/>
  <c r="FC398" i="4" s="1"/>
  <c r="DL398" i="4"/>
  <c r="DM398" i="4"/>
  <c r="H165" i="34" s="1"/>
  <c r="DN398" i="4"/>
  <c r="DO398" i="4"/>
  <c r="FE398" i="4" s="1"/>
  <c r="DP398" i="4"/>
  <c r="DQ398" i="4"/>
  <c r="M165" i="34" s="1"/>
  <c r="DR398" i="4"/>
  <c r="FH398" i="4" s="1"/>
  <c r="DS398" i="4"/>
  <c r="L165" i="34" s="1"/>
  <c r="DT398" i="4"/>
  <c r="FF398" i="4" s="1"/>
  <c r="DU398" i="4"/>
  <c r="DV398" i="4"/>
  <c r="P165" i="34" s="1"/>
  <c r="DY398" i="4"/>
  <c r="DZ398" i="4"/>
  <c r="DD398" i="4"/>
  <c r="DE398" i="4"/>
  <c r="EB398" i="4" l="1"/>
  <c r="DF398" i="4"/>
  <c r="FJ398" i="4"/>
  <c r="EH398" i="4"/>
  <c r="EI399" i="4"/>
  <c r="FG398" i="4"/>
  <c r="FD398" i="4"/>
  <c r="C165" i="16"/>
  <c r="D166" i="16" s="1"/>
  <c r="K165" i="34"/>
  <c r="O165" i="34"/>
  <c r="F165" i="16"/>
  <c r="G166" i="16" s="1"/>
  <c r="G165" i="34"/>
  <c r="J165" i="34"/>
  <c r="DW398" i="4"/>
  <c r="FI398" i="4" s="1"/>
  <c r="EJ399" i="4"/>
  <c r="I165" i="34"/>
  <c r="N165" i="34" s="1"/>
  <c r="C165" i="34"/>
  <c r="P165" i="16"/>
  <c r="W165" i="34"/>
  <c r="Q165" i="34"/>
  <c r="C441" i="4"/>
  <c r="D441" i="4"/>
  <c r="C442" i="4"/>
  <c r="D442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BU441" i="4"/>
  <c r="BV441" i="4"/>
  <c r="BW441" i="4"/>
  <c r="BX441" i="4"/>
  <c r="BY441" i="4"/>
  <c r="BZ441" i="4"/>
  <c r="CA441" i="4"/>
  <c r="CB441" i="4"/>
  <c r="CC441" i="4"/>
  <c r="CD441" i="4"/>
  <c r="CE441" i="4"/>
  <c r="CF441" i="4"/>
  <c r="CG441" i="4"/>
  <c r="CH441" i="4"/>
  <c r="CI441" i="4"/>
  <c r="CJ441" i="4"/>
  <c r="CK441" i="4"/>
  <c r="CL441" i="4"/>
  <c r="CM441" i="4"/>
  <c r="CN441" i="4"/>
  <c r="CO441" i="4"/>
  <c r="CP441" i="4"/>
  <c r="CQ441" i="4"/>
  <c r="CR441" i="4"/>
  <c r="CS441" i="4"/>
  <c r="CT441" i="4"/>
  <c r="CU441" i="4"/>
  <c r="CV441" i="4"/>
  <c r="CW441" i="4"/>
  <c r="CX441" i="4"/>
  <c r="CY441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BU442" i="4"/>
  <c r="BV442" i="4"/>
  <c r="BW442" i="4"/>
  <c r="BX442" i="4"/>
  <c r="BY442" i="4"/>
  <c r="BZ442" i="4"/>
  <c r="CA442" i="4"/>
  <c r="CB442" i="4"/>
  <c r="CC442" i="4"/>
  <c r="CD442" i="4"/>
  <c r="CE442" i="4"/>
  <c r="CF442" i="4"/>
  <c r="CG442" i="4"/>
  <c r="CH442" i="4"/>
  <c r="CI442" i="4"/>
  <c r="CJ442" i="4"/>
  <c r="CK442" i="4"/>
  <c r="CL442" i="4"/>
  <c r="CM442" i="4"/>
  <c r="CN442" i="4"/>
  <c r="CO442" i="4"/>
  <c r="CP442" i="4"/>
  <c r="CQ442" i="4"/>
  <c r="CR442" i="4"/>
  <c r="CS442" i="4"/>
  <c r="CT442" i="4"/>
  <c r="CU442" i="4"/>
  <c r="CV442" i="4"/>
  <c r="CW442" i="4"/>
  <c r="CX442" i="4"/>
  <c r="CY442" i="4"/>
  <c r="E441" i="4"/>
  <c r="F441" i="4"/>
  <c r="G441" i="4"/>
  <c r="E442" i="4"/>
  <c r="F442" i="4"/>
  <c r="G442" i="4"/>
  <c r="H442" i="4"/>
  <c r="H441" i="4"/>
  <c r="H440" i="4"/>
  <c r="H166" i="16" l="1"/>
  <c r="I165" i="16"/>
  <c r="E166" i="16"/>
  <c r="R166" i="16"/>
  <c r="Q166" i="16"/>
  <c r="U165" i="16"/>
  <c r="K166" i="16"/>
  <c r="J166" i="16"/>
  <c r="R165" i="34"/>
  <c r="C345" i="34"/>
  <c r="T344" i="34"/>
  <c r="W344" i="34" s="1"/>
  <c r="P344" i="34"/>
  <c r="O344" i="34"/>
  <c r="K344" i="34"/>
  <c r="J344" i="34"/>
  <c r="I344" i="34" s="1"/>
  <c r="G344" i="34"/>
  <c r="Q344" i="34" l="1"/>
  <c r="N344" i="34"/>
  <c r="Z344" i="34" s="1"/>
  <c r="W166" i="16"/>
  <c r="V166" i="16"/>
  <c r="Y165" i="34"/>
  <c r="T164" i="34"/>
  <c r="U164" i="34"/>
  <c r="V164" i="34"/>
  <c r="D164" i="34"/>
  <c r="R344" i="34" l="1"/>
  <c r="Y344" i="34" s="1"/>
  <c r="W164" i="34"/>
  <c r="N164" i="16"/>
  <c r="O164" i="16"/>
  <c r="DD397" i="4"/>
  <c r="DF397" i="4" s="1"/>
  <c r="DE397" i="4"/>
  <c r="DK397" i="4"/>
  <c r="DL397" i="4"/>
  <c r="FD397" i="4" s="1"/>
  <c r="DM397" i="4"/>
  <c r="H164" i="34" s="1"/>
  <c r="DN397" i="4"/>
  <c r="DO397" i="4"/>
  <c r="DP397" i="4"/>
  <c r="DQ397" i="4"/>
  <c r="F164" i="16" s="1"/>
  <c r="DR397" i="4"/>
  <c r="DS397" i="4"/>
  <c r="L164" i="34" s="1"/>
  <c r="DT397" i="4"/>
  <c r="FF397" i="4" s="1"/>
  <c r="DU397" i="4"/>
  <c r="FJ397" i="4" s="1"/>
  <c r="DV397" i="4"/>
  <c r="P164" i="34" s="1"/>
  <c r="DZ397" i="4"/>
  <c r="EF397" i="4"/>
  <c r="EI398" i="4" s="1"/>
  <c r="EG397" i="4"/>
  <c r="EJ398" i="4" s="1"/>
  <c r="I164" i="34" l="1"/>
  <c r="FG397" i="4"/>
  <c r="O164" i="34"/>
  <c r="C164" i="16"/>
  <c r="FC397" i="4"/>
  <c r="EB397" i="4"/>
  <c r="DY397" i="4"/>
  <c r="FE397" i="4"/>
  <c r="J164" i="34"/>
  <c r="FH397" i="4"/>
  <c r="E165" i="16"/>
  <c r="D165" i="16"/>
  <c r="G165" i="16"/>
  <c r="H165" i="16"/>
  <c r="G164" i="34"/>
  <c r="C164" i="34" s="1"/>
  <c r="C344" i="34" s="1"/>
  <c r="M164" i="34"/>
  <c r="EH397" i="4"/>
  <c r="K164" i="34"/>
  <c r="Q164" i="34"/>
  <c r="P164" i="16"/>
  <c r="I164" i="16"/>
  <c r="DW397" i="4"/>
  <c r="FI397" i="4" s="1"/>
  <c r="T343" i="34"/>
  <c r="W343" i="34" s="1"/>
  <c r="K343" i="34"/>
  <c r="G343" i="34"/>
  <c r="P343" i="34"/>
  <c r="O343" i="34"/>
  <c r="J343" i="34"/>
  <c r="I343" i="34" s="1"/>
  <c r="N343" i="34" s="1"/>
  <c r="D163" i="34"/>
  <c r="D205" i="34" s="1"/>
  <c r="Q343" i="34" l="1"/>
  <c r="R343" i="34" s="1"/>
  <c r="Y343" i="34" s="1"/>
  <c r="K165" i="16"/>
  <c r="J165" i="16"/>
  <c r="N164" i="34"/>
  <c r="U164" i="16"/>
  <c r="Z343" i="34"/>
  <c r="W165" i="16" l="1"/>
  <c r="V165" i="16"/>
  <c r="R164" i="34"/>
  <c r="Y164" i="34" s="1"/>
  <c r="T163" i="34"/>
  <c r="U163" i="34"/>
  <c r="V163" i="34"/>
  <c r="N163" i="16"/>
  <c r="N203" i="16" s="1"/>
  <c r="O163" i="16"/>
  <c r="DK396" i="4"/>
  <c r="DL396" i="4"/>
  <c r="FD396" i="4" s="1"/>
  <c r="DM396" i="4"/>
  <c r="DN396" i="4"/>
  <c r="H163" i="34" s="1"/>
  <c r="H205" i="34" s="1"/>
  <c r="DO396" i="4"/>
  <c r="DP396" i="4"/>
  <c r="DQ396" i="4"/>
  <c r="M163" i="34" s="1"/>
  <c r="M205" i="34" s="1"/>
  <c r="DR396" i="4"/>
  <c r="DS396" i="4"/>
  <c r="L163" i="34" s="1"/>
  <c r="L205" i="34" s="1"/>
  <c r="DT396" i="4"/>
  <c r="FF396" i="4" s="1"/>
  <c r="DU396" i="4"/>
  <c r="DV396" i="4"/>
  <c r="P163" i="34" s="1"/>
  <c r="DZ396" i="4"/>
  <c r="EF396" i="4"/>
  <c r="EI397" i="4" s="1"/>
  <c r="EG396" i="4"/>
  <c r="EJ397" i="4" s="1"/>
  <c r="DD396" i="4"/>
  <c r="DE396" i="4"/>
  <c r="DF396" i="4" s="1"/>
  <c r="F163" i="16"/>
  <c r="F203" i="16" s="1"/>
  <c r="FJ396" i="4" l="1"/>
  <c r="O163" i="34"/>
  <c r="I163" i="34"/>
  <c r="I205" i="34" s="1"/>
  <c r="FG396" i="4"/>
  <c r="DW396" i="4"/>
  <c r="FE396" i="4"/>
  <c r="C163" i="16"/>
  <c r="FC396" i="4"/>
  <c r="EB396" i="4"/>
  <c r="EH396" i="4"/>
  <c r="J163" i="34"/>
  <c r="J205" i="34" s="1"/>
  <c r="FH396" i="4"/>
  <c r="K163" i="34"/>
  <c r="G163" i="34"/>
  <c r="E164" i="16"/>
  <c r="D164" i="16"/>
  <c r="G164" i="16"/>
  <c r="H164" i="16"/>
  <c r="P163" i="16"/>
  <c r="P203" i="16" s="1"/>
  <c r="U205" i="34"/>
  <c r="P205" i="34"/>
  <c r="V205" i="34"/>
  <c r="Q163" i="34"/>
  <c r="T205" i="34"/>
  <c r="O205" i="34"/>
  <c r="W163" i="34"/>
  <c r="DY396" i="4"/>
  <c r="I163" i="16"/>
  <c r="Y205" i="34"/>
  <c r="O203" i="16"/>
  <c r="C203" i="16"/>
  <c r="FI396" i="4" l="1"/>
  <c r="N163" i="34"/>
  <c r="N205" i="34" s="1"/>
  <c r="K205" i="34"/>
  <c r="C163" i="34"/>
  <c r="C205" i="34" s="1"/>
  <c r="G205" i="34"/>
  <c r="R164" i="16"/>
  <c r="Q164" i="16"/>
  <c r="S204" i="16" s="1"/>
  <c r="K164" i="16"/>
  <c r="J164" i="16"/>
  <c r="U163" i="16"/>
  <c r="U203" i="16" s="1"/>
  <c r="I203" i="16"/>
  <c r="Q205" i="34"/>
  <c r="W205" i="34"/>
  <c r="T341" i="34"/>
  <c r="K341" i="34"/>
  <c r="G341" i="34"/>
  <c r="R163" i="34" l="1"/>
  <c r="Y163" i="34" s="1"/>
  <c r="C343" i="34"/>
  <c r="W164" i="16"/>
  <c r="V164" i="16"/>
  <c r="P341" i="34"/>
  <c r="O341" i="34"/>
  <c r="J341" i="34"/>
  <c r="I341" i="34" s="1"/>
  <c r="R205" i="34" l="1"/>
  <c r="D161" i="34"/>
  <c r="N341" i="34" l="1"/>
  <c r="Z341" i="34" s="1"/>
  <c r="Q341" i="34"/>
  <c r="W341" i="34"/>
  <c r="T161" i="34"/>
  <c r="U161" i="34"/>
  <c r="V161" i="34"/>
  <c r="N161" i="16"/>
  <c r="O161" i="16"/>
  <c r="DD395" i="4"/>
  <c r="DE395" i="4"/>
  <c r="DK395" i="4"/>
  <c r="DL395" i="4"/>
  <c r="DM395" i="4"/>
  <c r="DN395" i="4"/>
  <c r="DO395" i="4"/>
  <c r="DP395" i="4"/>
  <c r="DQ395" i="4"/>
  <c r="M161" i="34" s="1"/>
  <c r="DR395" i="4"/>
  <c r="DS395" i="4"/>
  <c r="L161" i="34" s="1"/>
  <c r="DT395" i="4"/>
  <c r="FF395" i="4" s="1"/>
  <c r="DU395" i="4"/>
  <c r="DV395" i="4"/>
  <c r="P161" i="34" s="1"/>
  <c r="DZ395" i="4"/>
  <c r="EF395" i="4"/>
  <c r="EG395" i="4"/>
  <c r="EJ396" i="4" s="1"/>
  <c r="O161" i="34" l="1"/>
  <c r="FJ395" i="4"/>
  <c r="I161" i="34"/>
  <c r="FG395" i="4"/>
  <c r="FD395" i="4"/>
  <c r="DY395" i="4"/>
  <c r="FE395" i="4"/>
  <c r="G161" i="34"/>
  <c r="C161" i="34" s="1"/>
  <c r="C341" i="34" s="1"/>
  <c r="FC395" i="4"/>
  <c r="J161" i="34"/>
  <c r="FH395" i="4"/>
  <c r="DF395" i="4"/>
  <c r="EB395" i="4" s="1"/>
  <c r="EH395" i="4"/>
  <c r="EI396" i="4"/>
  <c r="H161" i="34"/>
  <c r="F161" i="16"/>
  <c r="G163" i="16" s="1"/>
  <c r="DW395" i="4"/>
  <c r="C161" i="16"/>
  <c r="K161" i="34"/>
  <c r="W161" i="34"/>
  <c r="Q161" i="34"/>
  <c r="P161" i="16"/>
  <c r="R341" i="34"/>
  <c r="Y341" i="34" s="1"/>
  <c r="T340" i="34"/>
  <c r="K340" i="34"/>
  <c r="G340" i="34"/>
  <c r="P340" i="34"/>
  <c r="O340" i="34"/>
  <c r="J340" i="34"/>
  <c r="I340" i="34" s="1"/>
  <c r="FI395" i="4" l="1"/>
  <c r="H163" i="16"/>
  <c r="Q163" i="16"/>
  <c r="R163" i="16"/>
  <c r="R203" i="16" s="1"/>
  <c r="D163" i="16"/>
  <c r="D203" i="16" s="1"/>
  <c r="E163" i="16"/>
  <c r="E203" i="16" s="1"/>
  <c r="I161" i="16"/>
  <c r="K163" i="16" s="1"/>
  <c r="K203" i="16" s="1"/>
  <c r="N161" i="34"/>
  <c r="R161" i="34" s="1"/>
  <c r="Y161" i="34" s="1"/>
  <c r="W340" i="34"/>
  <c r="Q340" i="34"/>
  <c r="N340" i="34"/>
  <c r="Z340" i="34" s="1"/>
  <c r="D160" i="34"/>
  <c r="Q203" i="16" l="1"/>
  <c r="S203" i="16"/>
  <c r="J163" i="16"/>
  <c r="U161" i="16"/>
  <c r="W163" i="16" s="1"/>
  <c r="W203" i="16" s="1"/>
  <c r="R340" i="34"/>
  <c r="Y340" i="34" s="1"/>
  <c r="T160" i="34"/>
  <c r="U160" i="34"/>
  <c r="V160" i="34"/>
  <c r="N160" i="16"/>
  <c r="O160" i="16"/>
  <c r="DD394" i="4"/>
  <c r="DE394" i="4"/>
  <c r="DK394" i="4"/>
  <c r="FC394" i="4" s="1"/>
  <c r="DL394" i="4"/>
  <c r="FD394" i="4" s="1"/>
  <c r="DM394" i="4"/>
  <c r="DN394" i="4"/>
  <c r="DO394" i="4"/>
  <c r="DP394" i="4"/>
  <c r="DQ394" i="4"/>
  <c r="M160" i="34" s="1"/>
  <c r="DR394" i="4"/>
  <c r="DS394" i="4"/>
  <c r="L160" i="34" s="1"/>
  <c r="DT394" i="4"/>
  <c r="FF394" i="4" s="1"/>
  <c r="DU394" i="4"/>
  <c r="DV394" i="4"/>
  <c r="P160" i="34" s="1"/>
  <c r="DZ394" i="4"/>
  <c r="EF394" i="4"/>
  <c r="EG394" i="4"/>
  <c r="EJ395" i="4" s="1"/>
  <c r="I160" i="34" l="1"/>
  <c r="FG394" i="4"/>
  <c r="J160" i="34"/>
  <c r="FH394" i="4"/>
  <c r="O160" i="34"/>
  <c r="FJ394" i="4"/>
  <c r="H160" i="34"/>
  <c r="DF394" i="4"/>
  <c r="EB394" i="4" s="1"/>
  <c r="K160" i="34"/>
  <c r="FE394" i="4"/>
  <c r="J203" i="16"/>
  <c r="L203" i="16"/>
  <c r="G160" i="34"/>
  <c r="C160" i="34" s="1"/>
  <c r="C340" i="34" s="1"/>
  <c r="DY394" i="4"/>
  <c r="P160" i="16"/>
  <c r="Q161" i="16" s="1"/>
  <c r="V163" i="16"/>
  <c r="Q160" i="34"/>
  <c r="C160" i="16"/>
  <c r="D161" i="16" s="1"/>
  <c r="EH394" i="4"/>
  <c r="EI395" i="4"/>
  <c r="F160" i="16"/>
  <c r="H161" i="16" s="1"/>
  <c r="W160" i="34"/>
  <c r="N160" i="34"/>
  <c r="DW394" i="4"/>
  <c r="FI394" i="4" s="1"/>
  <c r="T339" i="34"/>
  <c r="W339" i="34" s="1"/>
  <c r="K339" i="34"/>
  <c r="G339" i="34"/>
  <c r="P339" i="34"/>
  <c r="O339" i="34"/>
  <c r="J339" i="34"/>
  <c r="I339" i="34" s="1"/>
  <c r="N339" i="34" l="1"/>
  <c r="Z339" i="34" s="1"/>
  <c r="X203" i="16"/>
  <c r="V203" i="16"/>
  <c r="Q339" i="34"/>
  <c r="R161" i="16"/>
  <c r="I160" i="16"/>
  <c r="U160" i="16" s="1"/>
  <c r="G161" i="16"/>
  <c r="E161" i="16"/>
  <c r="R160" i="34"/>
  <c r="R339" i="34" l="1"/>
  <c r="Y339" i="34" s="1"/>
  <c r="V161" i="16"/>
  <c r="W161" i="16"/>
  <c r="K161" i="16"/>
  <c r="J161" i="16"/>
  <c r="Y160" i="34"/>
  <c r="D159" i="34"/>
  <c r="T159" i="34" l="1"/>
  <c r="U159" i="34"/>
  <c r="V159" i="34"/>
  <c r="N159" i="16"/>
  <c r="O159" i="16"/>
  <c r="DD393" i="4"/>
  <c r="DE393" i="4"/>
  <c r="DK393" i="4"/>
  <c r="DL393" i="4"/>
  <c r="DM393" i="4"/>
  <c r="DN393" i="4"/>
  <c r="DO393" i="4"/>
  <c r="FE393" i="4" s="1"/>
  <c r="DP393" i="4"/>
  <c r="DQ393" i="4"/>
  <c r="M159" i="34" s="1"/>
  <c r="DR393" i="4"/>
  <c r="DS393" i="4"/>
  <c r="L159" i="34" s="1"/>
  <c r="DT393" i="4"/>
  <c r="FF393" i="4" s="1"/>
  <c r="DU393" i="4"/>
  <c r="DV393" i="4"/>
  <c r="P159" i="34" s="1"/>
  <c r="DZ393" i="4"/>
  <c r="EF393" i="4"/>
  <c r="EG393" i="4"/>
  <c r="EJ394" i="4" s="1"/>
  <c r="FC393" i="4" l="1"/>
  <c r="FD393" i="4"/>
  <c r="J159" i="34"/>
  <c r="FH393" i="4"/>
  <c r="I159" i="34"/>
  <c r="FG393" i="4"/>
  <c r="O159" i="34"/>
  <c r="Q159" i="34" s="1"/>
  <c r="FJ393" i="4"/>
  <c r="DF393" i="4"/>
  <c r="EB393" i="4" s="1"/>
  <c r="EH393" i="4"/>
  <c r="EI394" i="4"/>
  <c r="P159" i="16"/>
  <c r="Q160" i="16" s="1"/>
  <c r="C159" i="16"/>
  <c r="F159" i="16"/>
  <c r="G160" i="16" s="1"/>
  <c r="G159" i="34"/>
  <c r="C159" i="34" s="1"/>
  <c r="C339" i="34" s="1"/>
  <c r="H159" i="34"/>
  <c r="W159" i="34"/>
  <c r="DY393" i="4"/>
  <c r="K159" i="34"/>
  <c r="DW393" i="4"/>
  <c r="T338" i="34"/>
  <c r="K338" i="34"/>
  <c r="G338" i="34"/>
  <c r="P338" i="34"/>
  <c r="O338" i="34"/>
  <c r="J338" i="34"/>
  <c r="I338" i="34" s="1"/>
  <c r="FI393" i="4" l="1"/>
  <c r="R160" i="16"/>
  <c r="I159" i="16"/>
  <c r="K160" i="16" s="1"/>
  <c r="H160" i="16"/>
  <c r="D160" i="16"/>
  <c r="E160" i="16"/>
  <c r="N159" i="34"/>
  <c r="N338" i="34"/>
  <c r="Q338" i="34"/>
  <c r="W338" i="34"/>
  <c r="D158" i="34"/>
  <c r="J160" i="16" l="1"/>
  <c r="U159" i="16"/>
  <c r="R159" i="34"/>
  <c r="R338" i="34"/>
  <c r="Y338" i="34" s="1"/>
  <c r="Z338" i="34"/>
  <c r="V158" i="34"/>
  <c r="U158" i="34"/>
  <c r="T158" i="34"/>
  <c r="N158" i="16"/>
  <c r="O158" i="16"/>
  <c r="DD392" i="4"/>
  <c r="DE392" i="4"/>
  <c r="DK392" i="4"/>
  <c r="DL392" i="4"/>
  <c r="DM392" i="4"/>
  <c r="DN392" i="4"/>
  <c r="DO392" i="4"/>
  <c r="FE392" i="4" s="1"/>
  <c r="DP392" i="4"/>
  <c r="DQ392" i="4"/>
  <c r="M158" i="34" s="1"/>
  <c r="DR392" i="4"/>
  <c r="DS392" i="4"/>
  <c r="L158" i="34" s="1"/>
  <c r="DT392" i="4"/>
  <c r="FF392" i="4" s="1"/>
  <c r="DU392" i="4"/>
  <c r="DV392" i="4"/>
  <c r="P158" i="34" s="1"/>
  <c r="DZ392" i="4"/>
  <c r="EF392" i="4"/>
  <c r="EG392" i="4"/>
  <c r="EJ393" i="4" s="1"/>
  <c r="O158" i="34" l="1"/>
  <c r="Q158" i="34" s="1"/>
  <c r="FJ392" i="4"/>
  <c r="FD392" i="4"/>
  <c r="FC392" i="4"/>
  <c r="J158" i="34"/>
  <c r="FH392" i="4"/>
  <c r="I158" i="34"/>
  <c r="FG392" i="4"/>
  <c r="V160" i="16"/>
  <c r="W160" i="16"/>
  <c r="DF392" i="4"/>
  <c r="EB392" i="4" s="1"/>
  <c r="EH392" i="4"/>
  <c r="EI393" i="4"/>
  <c r="DY392" i="4"/>
  <c r="C158" i="16"/>
  <c r="D159" i="16" s="1"/>
  <c r="H158" i="34"/>
  <c r="DW392" i="4"/>
  <c r="G158" i="34"/>
  <c r="C158" i="34" s="1"/>
  <c r="C338" i="34" s="1"/>
  <c r="K158" i="34"/>
  <c r="P158" i="16"/>
  <c r="F158" i="16"/>
  <c r="G159" i="16" s="1"/>
  <c r="Y159" i="34"/>
  <c r="W158" i="34"/>
  <c r="U337" i="34"/>
  <c r="T337" i="34"/>
  <c r="K337" i="34"/>
  <c r="G337" i="34"/>
  <c r="P337" i="34"/>
  <c r="O337" i="34"/>
  <c r="J337" i="34"/>
  <c r="I337" i="34" s="1"/>
  <c r="W337" i="34" l="1"/>
  <c r="FI392" i="4"/>
  <c r="E159" i="16"/>
  <c r="N158" i="34"/>
  <c r="R158" i="34" s="1"/>
  <c r="I158" i="16"/>
  <c r="U158" i="16" s="1"/>
  <c r="H159" i="16"/>
  <c r="Q159" i="16"/>
  <c r="R159" i="16"/>
  <c r="Q337" i="34"/>
  <c r="N337" i="34"/>
  <c r="Z337" i="34" s="1"/>
  <c r="D157" i="34"/>
  <c r="J159" i="16" l="1"/>
  <c r="K159" i="16"/>
  <c r="V159" i="16"/>
  <c r="W159" i="16"/>
  <c r="Y158" i="34"/>
  <c r="R337" i="34"/>
  <c r="T157" i="34"/>
  <c r="U157" i="34"/>
  <c r="V157" i="34"/>
  <c r="N157" i="16"/>
  <c r="O157" i="16"/>
  <c r="DD391" i="4"/>
  <c r="DE391" i="4"/>
  <c r="DK391" i="4"/>
  <c r="DL391" i="4"/>
  <c r="DM391" i="4"/>
  <c r="DN391" i="4"/>
  <c r="DO391" i="4"/>
  <c r="FE391" i="4" s="1"/>
  <c r="DP391" i="4"/>
  <c r="DQ391" i="4"/>
  <c r="M157" i="34" s="1"/>
  <c r="DR391" i="4"/>
  <c r="DS391" i="4"/>
  <c r="L157" i="34" s="1"/>
  <c r="DT391" i="4"/>
  <c r="FF391" i="4" s="1"/>
  <c r="DU391" i="4"/>
  <c r="DV391" i="4"/>
  <c r="P157" i="34" s="1"/>
  <c r="DZ391" i="4"/>
  <c r="EF391" i="4"/>
  <c r="EI392" i="4" s="1"/>
  <c r="EG391" i="4"/>
  <c r="EJ392" i="4" s="1"/>
  <c r="FD391" i="4" l="1"/>
  <c r="O157" i="34"/>
  <c r="Q157" i="34" s="1"/>
  <c r="FJ391" i="4"/>
  <c r="FC391" i="4"/>
  <c r="J157" i="34"/>
  <c r="FH391" i="4"/>
  <c r="I157" i="34"/>
  <c r="FG391" i="4"/>
  <c r="DF391" i="4"/>
  <c r="EB391" i="4" s="1"/>
  <c r="DW391" i="4"/>
  <c r="P157" i="16"/>
  <c r="R158" i="16" s="1"/>
  <c r="H157" i="34"/>
  <c r="G157" i="34"/>
  <c r="C157" i="34" s="1"/>
  <c r="C337" i="34" s="1"/>
  <c r="DY391" i="4"/>
  <c r="C157" i="16"/>
  <c r="EH391" i="4"/>
  <c r="W157" i="34"/>
  <c r="F157" i="16"/>
  <c r="K157" i="34"/>
  <c r="Y337" i="34"/>
  <c r="T336" i="34"/>
  <c r="W336" i="34" s="1"/>
  <c r="T335" i="34"/>
  <c r="K336" i="34"/>
  <c r="G336" i="34"/>
  <c r="FI391" i="4" l="1"/>
  <c r="Q158" i="16"/>
  <c r="D158" i="16"/>
  <c r="E158" i="16"/>
  <c r="G158" i="16"/>
  <c r="H158" i="16"/>
  <c r="N157" i="34"/>
  <c r="R157" i="34" s="1"/>
  <c r="I157" i="16"/>
  <c r="D156" i="34"/>
  <c r="E156" i="34"/>
  <c r="U157" i="16" l="1"/>
  <c r="K158" i="16"/>
  <c r="J158" i="16"/>
  <c r="Y157" i="34"/>
  <c r="P336" i="34"/>
  <c r="O336" i="34"/>
  <c r="Q336" i="34" s="1"/>
  <c r="J336" i="34"/>
  <c r="I336" i="34" s="1"/>
  <c r="N336" i="34" s="1"/>
  <c r="N156" i="16"/>
  <c r="O156" i="16"/>
  <c r="T156" i="34"/>
  <c r="U156" i="34"/>
  <c r="V156" i="34"/>
  <c r="P156" i="16" l="1"/>
  <c r="Q157" i="16" s="1"/>
  <c r="W158" i="16"/>
  <c r="V158" i="16"/>
  <c r="W156" i="34"/>
  <c r="R336" i="34"/>
  <c r="Z336" i="34"/>
  <c r="EF390" i="4"/>
  <c r="EG390" i="4"/>
  <c r="DZ390" i="4"/>
  <c r="DK390" i="4"/>
  <c r="DL390" i="4"/>
  <c r="DM390" i="4"/>
  <c r="DN390" i="4"/>
  <c r="DO390" i="4"/>
  <c r="FE390" i="4" s="1"/>
  <c r="DP390" i="4"/>
  <c r="DQ390" i="4"/>
  <c r="DR390" i="4"/>
  <c r="DS390" i="4"/>
  <c r="L156" i="34" s="1"/>
  <c r="DT390" i="4"/>
  <c r="FF390" i="4" s="1"/>
  <c r="DU390" i="4"/>
  <c r="DV390" i="4"/>
  <c r="DD390" i="4"/>
  <c r="DE390" i="4"/>
  <c r="FG390" i="4" l="1"/>
  <c r="FD390" i="4"/>
  <c r="FC390" i="4"/>
  <c r="FJ390" i="4"/>
  <c r="FH390" i="4"/>
  <c r="R157" i="16"/>
  <c r="G156" i="34"/>
  <c r="C156" i="34" s="1"/>
  <c r="K156" i="34"/>
  <c r="O156" i="34"/>
  <c r="H156" i="34"/>
  <c r="M156" i="34"/>
  <c r="J156" i="34"/>
  <c r="F156" i="16"/>
  <c r="G157" i="16" s="1"/>
  <c r="P156" i="34"/>
  <c r="DW390" i="4"/>
  <c r="C156" i="16"/>
  <c r="DF390" i="4"/>
  <c r="EB390" i="4" s="1"/>
  <c r="EJ391" i="4"/>
  <c r="EH390" i="4"/>
  <c r="EI391" i="4"/>
  <c r="I156" i="34"/>
  <c r="DY390" i="4"/>
  <c r="Y336" i="34"/>
  <c r="K335" i="34"/>
  <c r="G335" i="34"/>
  <c r="P335" i="34"/>
  <c r="O335" i="34"/>
  <c r="J335" i="34"/>
  <c r="I335" i="34" s="1"/>
  <c r="Q335" i="34" l="1"/>
  <c r="FI390" i="4"/>
  <c r="Q156" i="34"/>
  <c r="H157" i="16"/>
  <c r="N156" i="34"/>
  <c r="E157" i="16"/>
  <c r="D157" i="16"/>
  <c r="I156" i="16"/>
  <c r="C336" i="34"/>
  <c r="D155" i="34"/>
  <c r="R156" i="34" l="1"/>
  <c r="Y156" i="34" s="1"/>
  <c r="J157" i="16"/>
  <c r="K157" i="16"/>
  <c r="U156" i="16"/>
  <c r="W335" i="34"/>
  <c r="N335" i="34"/>
  <c r="Z335" i="34" s="1"/>
  <c r="T155" i="34"/>
  <c r="U155" i="34"/>
  <c r="V155" i="34"/>
  <c r="N155" i="16"/>
  <c r="O155" i="16"/>
  <c r="DD389" i="4"/>
  <c r="DE389" i="4"/>
  <c r="DK389" i="4"/>
  <c r="DL389" i="4"/>
  <c r="DM389" i="4"/>
  <c r="DN389" i="4"/>
  <c r="DO389" i="4"/>
  <c r="FE389" i="4" s="1"/>
  <c r="DP389" i="4"/>
  <c r="DQ389" i="4"/>
  <c r="DR389" i="4"/>
  <c r="DS389" i="4"/>
  <c r="DT389" i="4"/>
  <c r="FF389" i="4" s="1"/>
  <c r="DU389" i="4"/>
  <c r="DV389" i="4"/>
  <c r="DZ389" i="4"/>
  <c r="EF389" i="4"/>
  <c r="EI390" i="4" s="1"/>
  <c r="EG389" i="4"/>
  <c r="EJ390" i="4" s="1"/>
  <c r="FJ389" i="4" l="1"/>
  <c r="FD389" i="4"/>
  <c r="FC389" i="4"/>
  <c r="FH389" i="4"/>
  <c r="FG389" i="4"/>
  <c r="DF389" i="4"/>
  <c r="EB389" i="4" s="1"/>
  <c r="I155" i="34"/>
  <c r="M155" i="34"/>
  <c r="H155" i="34"/>
  <c r="W157" i="16"/>
  <c r="V157" i="16"/>
  <c r="P155" i="34"/>
  <c r="J155" i="34"/>
  <c r="O155" i="34"/>
  <c r="L155" i="34"/>
  <c r="DY389" i="4"/>
  <c r="C155" i="16"/>
  <c r="EH389" i="4"/>
  <c r="G155" i="34"/>
  <c r="P155" i="16"/>
  <c r="DW389" i="4"/>
  <c r="F155" i="16"/>
  <c r="K155" i="34"/>
  <c r="R335" i="34"/>
  <c r="Y335" i="34" s="1"/>
  <c r="W155" i="34"/>
  <c r="U334" i="34"/>
  <c r="T334" i="34"/>
  <c r="K334" i="34"/>
  <c r="G334" i="34"/>
  <c r="P334" i="34"/>
  <c r="O334" i="34"/>
  <c r="J334" i="34"/>
  <c r="I334" i="34" s="1"/>
  <c r="DU388" i="4"/>
  <c r="DT388" i="4"/>
  <c r="FF388" i="4" s="1"/>
  <c r="DS388" i="4"/>
  <c r="DR388" i="4"/>
  <c r="DQ388" i="4"/>
  <c r="DP388" i="4"/>
  <c r="DO388" i="4"/>
  <c r="FE388" i="4" s="1"/>
  <c r="DN388" i="4"/>
  <c r="DM388" i="4"/>
  <c r="DL388" i="4"/>
  <c r="DK388" i="4"/>
  <c r="D154" i="34"/>
  <c r="D153" i="34"/>
  <c r="E152" i="34"/>
  <c r="D152" i="34"/>
  <c r="T154" i="34"/>
  <c r="U154" i="34"/>
  <c r="V154" i="34"/>
  <c r="N154" i="16"/>
  <c r="O154" i="16"/>
  <c r="DD388" i="4"/>
  <c r="DE388" i="4"/>
  <c r="DV388" i="4"/>
  <c r="DZ388" i="4"/>
  <c r="EF388" i="4"/>
  <c r="EG388" i="4"/>
  <c r="EJ389" i="4" s="1"/>
  <c r="DD387" i="4"/>
  <c r="T333" i="34"/>
  <c r="W333" i="34" s="1"/>
  <c r="K333" i="34"/>
  <c r="G333" i="34"/>
  <c r="P333" i="34"/>
  <c r="O333" i="34"/>
  <c r="Q333" i="34" s="1"/>
  <c r="J333" i="34"/>
  <c r="I333" i="34" s="1"/>
  <c r="T153" i="34"/>
  <c r="U153" i="34"/>
  <c r="V153" i="34"/>
  <c r="N153" i="16"/>
  <c r="O153" i="16"/>
  <c r="DE387" i="4"/>
  <c r="DK387" i="4"/>
  <c r="FC387" i="4" s="1"/>
  <c r="DL387" i="4"/>
  <c r="FD387" i="4" s="1"/>
  <c r="DM387" i="4"/>
  <c r="DN387" i="4"/>
  <c r="DO387" i="4"/>
  <c r="FE387" i="4" s="1"/>
  <c r="DP387" i="4"/>
  <c r="DQ387" i="4"/>
  <c r="DR387" i="4"/>
  <c r="DS387" i="4"/>
  <c r="DT387" i="4"/>
  <c r="FF387" i="4" s="1"/>
  <c r="DU387" i="4"/>
  <c r="DV387" i="4"/>
  <c r="DZ387" i="4"/>
  <c r="EF387" i="4"/>
  <c r="EG387" i="4"/>
  <c r="U332" i="34"/>
  <c r="T332" i="34"/>
  <c r="K332" i="34"/>
  <c r="G332" i="34"/>
  <c r="P332" i="34"/>
  <c r="O332" i="34"/>
  <c r="J332" i="34"/>
  <c r="I332" i="34" s="1"/>
  <c r="T152" i="34"/>
  <c r="U152" i="34"/>
  <c r="V152" i="34"/>
  <c r="N152" i="16"/>
  <c r="O152" i="16"/>
  <c r="DD386" i="4"/>
  <c r="DE386" i="4"/>
  <c r="DK386" i="4"/>
  <c r="FC386" i="4" s="1"/>
  <c r="DL386" i="4"/>
  <c r="DM386" i="4"/>
  <c r="DN386" i="4"/>
  <c r="DO386" i="4"/>
  <c r="FE386" i="4" s="1"/>
  <c r="DP386" i="4"/>
  <c r="DQ386" i="4"/>
  <c r="DR386" i="4"/>
  <c r="FH386" i="4" s="1"/>
  <c r="DS386" i="4"/>
  <c r="DT386" i="4"/>
  <c r="DU386" i="4"/>
  <c r="DV386" i="4"/>
  <c r="DZ386" i="4"/>
  <c r="EF386" i="4"/>
  <c r="EG386" i="4"/>
  <c r="T331" i="34"/>
  <c r="W331" i="34" s="1"/>
  <c r="P331" i="34"/>
  <c r="O331" i="34"/>
  <c r="K331" i="34"/>
  <c r="J331" i="34"/>
  <c r="I331" i="34" s="1"/>
  <c r="G331" i="34"/>
  <c r="D151" i="34"/>
  <c r="F204" i="34"/>
  <c r="E204" i="34"/>
  <c r="T151" i="34"/>
  <c r="U151" i="34"/>
  <c r="V151" i="34"/>
  <c r="N151" i="16"/>
  <c r="O151" i="16"/>
  <c r="DD385" i="4"/>
  <c r="DE385" i="4"/>
  <c r="DK385" i="4"/>
  <c r="FC385" i="4" s="1"/>
  <c r="DL385" i="4"/>
  <c r="FD385" i="4" s="1"/>
  <c r="DM385" i="4"/>
  <c r="DN385" i="4"/>
  <c r="DO385" i="4"/>
  <c r="FE385" i="4" s="1"/>
  <c r="DP385" i="4"/>
  <c r="FG385" i="4" s="1"/>
  <c r="DQ385" i="4"/>
  <c r="M151" i="34" s="1"/>
  <c r="DR385" i="4"/>
  <c r="FH385" i="4" s="1"/>
  <c r="DS385" i="4"/>
  <c r="DT385" i="4"/>
  <c r="FF385" i="4" s="1"/>
  <c r="DU385" i="4"/>
  <c r="DV385" i="4"/>
  <c r="P151" i="34" s="1"/>
  <c r="DZ385" i="4"/>
  <c r="EF385" i="4"/>
  <c r="EG385" i="4"/>
  <c r="U328" i="34"/>
  <c r="T330" i="34"/>
  <c r="W330" i="34" s="1"/>
  <c r="K330" i="34"/>
  <c r="G330" i="34"/>
  <c r="D150" i="34"/>
  <c r="P330" i="34"/>
  <c r="O330" i="34"/>
  <c r="J330" i="34"/>
  <c r="I330" i="34" s="1"/>
  <c r="T150" i="34"/>
  <c r="U150" i="34"/>
  <c r="V150" i="34"/>
  <c r="N150" i="16"/>
  <c r="O150" i="16"/>
  <c r="DD384" i="4"/>
  <c r="DE384" i="4"/>
  <c r="DK384" i="4"/>
  <c r="DL384" i="4"/>
  <c r="DM384" i="4"/>
  <c r="DN384" i="4"/>
  <c r="H150" i="34" s="1"/>
  <c r="DO384" i="4"/>
  <c r="FE384" i="4" s="1"/>
  <c r="DP384" i="4"/>
  <c r="DQ384" i="4"/>
  <c r="DR384" i="4"/>
  <c r="FH384" i="4" s="1"/>
  <c r="DS384" i="4"/>
  <c r="DT384" i="4"/>
  <c r="FF384" i="4" s="1"/>
  <c r="DU384" i="4"/>
  <c r="DV384" i="4"/>
  <c r="DZ384" i="4"/>
  <c r="EF384" i="4"/>
  <c r="EG384" i="4"/>
  <c r="T328" i="34"/>
  <c r="K328" i="34"/>
  <c r="G328" i="34"/>
  <c r="D148" i="34"/>
  <c r="P328" i="34"/>
  <c r="O328" i="34"/>
  <c r="J328" i="34"/>
  <c r="I328" i="34"/>
  <c r="N148" i="16"/>
  <c r="O148" i="16"/>
  <c r="T148" i="34"/>
  <c r="U148" i="34"/>
  <c r="V148" i="34"/>
  <c r="DZ383" i="4"/>
  <c r="EF383" i="4"/>
  <c r="EG383" i="4"/>
  <c r="DV383" i="4"/>
  <c r="DK383" i="4"/>
  <c r="DL383" i="4"/>
  <c r="DM383" i="4"/>
  <c r="DN383" i="4"/>
  <c r="DO383" i="4"/>
  <c r="DP383" i="4"/>
  <c r="DQ383" i="4"/>
  <c r="DR383" i="4"/>
  <c r="FH383" i="4" s="1"/>
  <c r="DS383" i="4"/>
  <c r="DT383" i="4"/>
  <c r="FF383" i="4" s="1"/>
  <c r="DU383" i="4"/>
  <c r="DD383" i="4"/>
  <c r="DE383" i="4"/>
  <c r="U327" i="34"/>
  <c r="T327" i="34"/>
  <c r="P327" i="34"/>
  <c r="O327" i="34"/>
  <c r="K327" i="34"/>
  <c r="I327" i="34"/>
  <c r="G327" i="34"/>
  <c r="D147" i="34"/>
  <c r="T147" i="34"/>
  <c r="U147" i="34"/>
  <c r="V147" i="34"/>
  <c r="N147" i="16"/>
  <c r="O147" i="16"/>
  <c r="DD382" i="4"/>
  <c r="DE382" i="4"/>
  <c r="DK382" i="4"/>
  <c r="DL382" i="4"/>
  <c r="DM382" i="4"/>
  <c r="DN382" i="4"/>
  <c r="DO382" i="4"/>
  <c r="DP382" i="4"/>
  <c r="I147" i="34" s="1"/>
  <c r="DQ382" i="4"/>
  <c r="M147" i="34" s="1"/>
  <c r="DR382" i="4"/>
  <c r="DS382" i="4"/>
  <c r="DT382" i="4"/>
  <c r="FF382" i="4" s="1"/>
  <c r="DU382" i="4"/>
  <c r="O147" i="34" s="1"/>
  <c r="DV382" i="4"/>
  <c r="P147" i="34" s="1"/>
  <c r="DZ382" i="4"/>
  <c r="EF382" i="4"/>
  <c r="EG382" i="4"/>
  <c r="P326" i="34"/>
  <c r="O326" i="34"/>
  <c r="T326" i="34"/>
  <c r="W326" i="34" s="1"/>
  <c r="K326" i="34"/>
  <c r="G326" i="34"/>
  <c r="J325" i="34"/>
  <c r="I325" i="34" s="1"/>
  <c r="J326" i="34"/>
  <c r="I326" i="34" s="1"/>
  <c r="DD381" i="4"/>
  <c r="DE381" i="4"/>
  <c r="DK381" i="4"/>
  <c r="DL381" i="4"/>
  <c r="DM381" i="4"/>
  <c r="DN381" i="4"/>
  <c r="DO381" i="4"/>
  <c r="FE381" i="4" s="1"/>
  <c r="DP381" i="4"/>
  <c r="I146" i="34" s="1"/>
  <c r="DQ381" i="4"/>
  <c r="DR381" i="4"/>
  <c r="DS381" i="4"/>
  <c r="DT381" i="4"/>
  <c r="FF381" i="4" s="1"/>
  <c r="DU381" i="4"/>
  <c r="DV381" i="4"/>
  <c r="DZ381" i="4"/>
  <c r="EF381" i="4"/>
  <c r="EG381" i="4"/>
  <c r="EJ382" i="4" s="1"/>
  <c r="D146" i="34"/>
  <c r="L146" i="34"/>
  <c r="T146" i="34"/>
  <c r="U146" i="34"/>
  <c r="V146" i="34"/>
  <c r="N146" i="16"/>
  <c r="O146" i="16"/>
  <c r="U325" i="34"/>
  <c r="T325" i="34"/>
  <c r="P325" i="34"/>
  <c r="O325" i="34"/>
  <c r="K325" i="34"/>
  <c r="G325" i="34"/>
  <c r="D145" i="34"/>
  <c r="T145" i="34"/>
  <c r="U145" i="34"/>
  <c r="V145" i="34"/>
  <c r="DD380" i="4"/>
  <c r="DE380" i="4"/>
  <c r="DK380" i="4"/>
  <c r="DL380" i="4"/>
  <c r="DM380" i="4"/>
  <c r="DN380" i="4"/>
  <c r="DO380" i="4"/>
  <c r="DP380" i="4"/>
  <c r="DQ380" i="4"/>
  <c r="DR380" i="4"/>
  <c r="DS380" i="4"/>
  <c r="DT380" i="4"/>
  <c r="FF380" i="4" s="1"/>
  <c r="DU380" i="4"/>
  <c r="O145" i="34" s="1"/>
  <c r="DV380" i="4"/>
  <c r="P145" i="34" s="1"/>
  <c r="DZ380" i="4"/>
  <c r="EF380" i="4"/>
  <c r="EG380" i="4"/>
  <c r="N145" i="16"/>
  <c r="O145" i="16"/>
  <c r="P324" i="34"/>
  <c r="O324" i="34"/>
  <c r="U324" i="34"/>
  <c r="T324" i="34"/>
  <c r="K324" i="34"/>
  <c r="G324" i="34"/>
  <c r="J324" i="34"/>
  <c r="I324" i="34" s="1"/>
  <c r="D144" i="34"/>
  <c r="T144" i="34"/>
  <c r="U144" i="34"/>
  <c r="V144" i="34"/>
  <c r="N144" i="16"/>
  <c r="O144" i="16"/>
  <c r="DD379" i="4"/>
  <c r="DE379" i="4"/>
  <c r="DK379" i="4"/>
  <c r="DL379" i="4"/>
  <c r="DM379" i="4"/>
  <c r="DN379" i="4"/>
  <c r="DO379" i="4"/>
  <c r="DP379" i="4"/>
  <c r="DQ379" i="4"/>
  <c r="DR379" i="4"/>
  <c r="J144" i="34" s="1"/>
  <c r="DS379" i="4"/>
  <c r="DT379" i="4"/>
  <c r="FF379" i="4" s="1"/>
  <c r="DU379" i="4"/>
  <c r="DV379" i="4"/>
  <c r="P144" i="34" s="1"/>
  <c r="DZ379" i="4"/>
  <c r="EF379" i="4"/>
  <c r="EI380" i="4" s="1"/>
  <c r="EG379" i="4"/>
  <c r="G323" i="34"/>
  <c r="U323" i="34"/>
  <c r="T323" i="34"/>
  <c r="K323" i="34"/>
  <c r="P323" i="34"/>
  <c r="O323" i="34"/>
  <c r="J323" i="34"/>
  <c r="I323" i="34" s="1"/>
  <c r="N210" i="34"/>
  <c r="R210" i="34" s="1"/>
  <c r="N211" i="34"/>
  <c r="R211" i="34" s="1"/>
  <c r="N213" i="34"/>
  <c r="R213" i="34" s="1"/>
  <c r="N214" i="34"/>
  <c r="R214" i="34" s="1"/>
  <c r="N215" i="34"/>
  <c r="R215" i="34" s="1"/>
  <c r="N216" i="34"/>
  <c r="R216" i="34" s="1"/>
  <c r="N218" i="34"/>
  <c r="R218" i="34" s="1"/>
  <c r="N219" i="34"/>
  <c r="R219" i="34" s="1"/>
  <c r="N220" i="34"/>
  <c r="R220" i="34" s="1"/>
  <c r="N221" i="34"/>
  <c r="R221" i="34" s="1"/>
  <c r="N222" i="34"/>
  <c r="R222" i="34" s="1"/>
  <c r="Y222" i="34" s="1"/>
  <c r="N223" i="34"/>
  <c r="N224" i="34"/>
  <c r="R224" i="34" s="1"/>
  <c r="N242" i="34"/>
  <c r="N249" i="34"/>
  <c r="Z249" i="34" s="1"/>
  <c r="N209" i="34"/>
  <c r="R209" i="34" s="1"/>
  <c r="D143" i="34"/>
  <c r="DU378" i="4"/>
  <c r="O143" i="34" s="1"/>
  <c r="DV378" i="4"/>
  <c r="P143" i="34" s="1"/>
  <c r="DP378" i="4"/>
  <c r="I143" i="34" s="1"/>
  <c r="T143" i="34"/>
  <c r="U143" i="34"/>
  <c r="V143" i="34"/>
  <c r="N143" i="16"/>
  <c r="O143" i="16"/>
  <c r="EF378" i="4"/>
  <c r="EG378" i="4"/>
  <c r="EF377" i="4"/>
  <c r="DZ378" i="4"/>
  <c r="DD378" i="4"/>
  <c r="DE378" i="4"/>
  <c r="DK378" i="4"/>
  <c r="DL378" i="4"/>
  <c r="DM378" i="4"/>
  <c r="DN378" i="4"/>
  <c r="DO378" i="4"/>
  <c r="DQ378" i="4"/>
  <c r="DR378" i="4"/>
  <c r="J143" i="34" s="1"/>
  <c r="DS378" i="4"/>
  <c r="DT378" i="4"/>
  <c r="FF378" i="4" s="1"/>
  <c r="DP377" i="4"/>
  <c r="I142" i="34" s="1"/>
  <c r="DD377" i="4"/>
  <c r="G143" i="34"/>
  <c r="U322" i="34"/>
  <c r="T322" i="34"/>
  <c r="K322" i="34"/>
  <c r="G322" i="34"/>
  <c r="D142" i="34"/>
  <c r="J322" i="34"/>
  <c r="I322" i="34" s="1"/>
  <c r="T142" i="34"/>
  <c r="U142" i="34"/>
  <c r="V142" i="34"/>
  <c r="N142" i="16"/>
  <c r="O142" i="16"/>
  <c r="DE377" i="4"/>
  <c r="DK377" i="4"/>
  <c r="DL377" i="4"/>
  <c r="DM377" i="4"/>
  <c r="DN377" i="4"/>
  <c r="DO377" i="4"/>
  <c r="DQ377" i="4"/>
  <c r="DR377" i="4"/>
  <c r="J142" i="34" s="1"/>
  <c r="DS377" i="4"/>
  <c r="DT377" i="4"/>
  <c r="FF377" i="4" s="1"/>
  <c r="DZ377" i="4"/>
  <c r="EG377" i="4"/>
  <c r="V321" i="34"/>
  <c r="U321" i="34"/>
  <c r="T321" i="34"/>
  <c r="K321" i="34"/>
  <c r="G321" i="34"/>
  <c r="J321" i="34"/>
  <c r="I321" i="34" s="1"/>
  <c r="D141" i="34"/>
  <c r="T141" i="34"/>
  <c r="U141" i="34"/>
  <c r="V141" i="34"/>
  <c r="N141" i="16"/>
  <c r="O141" i="16"/>
  <c r="DD376" i="4"/>
  <c r="DE376" i="4"/>
  <c r="DK376" i="4"/>
  <c r="DL376" i="4"/>
  <c r="DM376" i="4"/>
  <c r="DN376" i="4"/>
  <c r="DO376" i="4"/>
  <c r="DP376" i="4"/>
  <c r="DQ376" i="4"/>
  <c r="DR376" i="4"/>
  <c r="J141" i="34" s="1"/>
  <c r="DS376" i="4"/>
  <c r="DT376" i="4"/>
  <c r="FF376" i="4" s="1"/>
  <c r="DZ376" i="4"/>
  <c r="EF376" i="4"/>
  <c r="EG376" i="4"/>
  <c r="V320" i="34"/>
  <c r="U320" i="34"/>
  <c r="T320" i="34"/>
  <c r="K320" i="34"/>
  <c r="G320" i="34"/>
  <c r="G318" i="34"/>
  <c r="J320" i="34"/>
  <c r="I320" i="34" s="1"/>
  <c r="D140" i="34"/>
  <c r="T140" i="34"/>
  <c r="U140" i="34"/>
  <c r="V140" i="34"/>
  <c r="N140" i="16"/>
  <c r="O140" i="16"/>
  <c r="DD375" i="4"/>
  <c r="DE375" i="4"/>
  <c r="DK375" i="4"/>
  <c r="DL375" i="4"/>
  <c r="DM375" i="4"/>
  <c r="DN375" i="4"/>
  <c r="DO375" i="4"/>
  <c r="DP375" i="4"/>
  <c r="DQ375" i="4"/>
  <c r="DR375" i="4"/>
  <c r="DS375" i="4"/>
  <c r="DT375" i="4"/>
  <c r="FF375" i="4" s="1"/>
  <c r="DZ375" i="4"/>
  <c r="EF375" i="4"/>
  <c r="EG375" i="4"/>
  <c r="I140" i="34"/>
  <c r="V319" i="34"/>
  <c r="U319" i="34"/>
  <c r="T319" i="34"/>
  <c r="K319" i="34"/>
  <c r="I319" i="34"/>
  <c r="I318" i="34"/>
  <c r="G319" i="34"/>
  <c r="D139" i="34"/>
  <c r="T139" i="34"/>
  <c r="U139" i="34"/>
  <c r="V139" i="34"/>
  <c r="N139" i="16"/>
  <c r="O139" i="16"/>
  <c r="DD374" i="4"/>
  <c r="DE374" i="4"/>
  <c r="DK374" i="4"/>
  <c r="DL374" i="4"/>
  <c r="DM374" i="4"/>
  <c r="DN374" i="4"/>
  <c r="DO374" i="4"/>
  <c r="DP374" i="4"/>
  <c r="DQ374" i="4"/>
  <c r="DR374" i="4"/>
  <c r="DS374" i="4"/>
  <c r="DT374" i="4"/>
  <c r="FF374" i="4" s="1"/>
  <c r="DZ374" i="4"/>
  <c r="EF374" i="4"/>
  <c r="EG374" i="4"/>
  <c r="V318" i="34"/>
  <c r="U318" i="34"/>
  <c r="T318" i="34"/>
  <c r="K318" i="34"/>
  <c r="G440" i="4"/>
  <c r="DO348" i="4"/>
  <c r="FE348" i="4" s="1"/>
  <c r="ED440" i="4"/>
  <c r="EC440" i="4"/>
  <c r="ED439" i="4"/>
  <c r="EC439" i="4"/>
  <c r="CY440" i="4"/>
  <c r="CX440" i="4"/>
  <c r="CW440" i="4"/>
  <c r="CV440" i="4"/>
  <c r="CU440" i="4"/>
  <c r="CT440" i="4"/>
  <c r="CS440" i="4"/>
  <c r="CR440" i="4"/>
  <c r="CK440" i="4"/>
  <c r="CJ440" i="4"/>
  <c r="CI440" i="4"/>
  <c r="CH440" i="4"/>
  <c r="CG440" i="4"/>
  <c r="CF440" i="4"/>
  <c r="CE440" i="4"/>
  <c r="CD440" i="4"/>
  <c r="CC440" i="4"/>
  <c r="CB440" i="4"/>
  <c r="CA440" i="4"/>
  <c r="BZ440" i="4"/>
  <c r="BY440" i="4"/>
  <c r="BX440" i="4"/>
  <c r="BW440" i="4"/>
  <c r="BV440" i="4"/>
  <c r="BU440" i="4"/>
  <c r="BT440" i="4"/>
  <c r="BS440" i="4"/>
  <c r="BR440" i="4"/>
  <c r="BQ440" i="4"/>
  <c r="BP440" i="4"/>
  <c r="BO440" i="4"/>
  <c r="BN440" i="4"/>
  <c r="BM440" i="4"/>
  <c r="BL440" i="4"/>
  <c r="BK440" i="4"/>
  <c r="BJ440" i="4"/>
  <c r="BI440" i="4"/>
  <c r="BH440" i="4"/>
  <c r="BG440" i="4"/>
  <c r="BF440" i="4"/>
  <c r="BE440" i="4"/>
  <c r="BD440" i="4"/>
  <c r="BC440" i="4"/>
  <c r="BB440" i="4"/>
  <c r="BA440" i="4"/>
  <c r="AZ440" i="4"/>
  <c r="AY440" i="4"/>
  <c r="AX440" i="4"/>
  <c r="AW440" i="4"/>
  <c r="AV440" i="4"/>
  <c r="AU440" i="4"/>
  <c r="AT440" i="4"/>
  <c r="AS440" i="4"/>
  <c r="AR440" i="4"/>
  <c r="AQ440" i="4"/>
  <c r="AP440" i="4"/>
  <c r="AO440" i="4"/>
  <c r="AN440" i="4"/>
  <c r="AM440" i="4"/>
  <c r="AL440" i="4"/>
  <c r="AK440" i="4"/>
  <c r="AJ440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F440" i="4"/>
  <c r="E440" i="4"/>
  <c r="D440" i="4"/>
  <c r="C440" i="4"/>
  <c r="T138" i="34"/>
  <c r="U138" i="34"/>
  <c r="V138" i="34"/>
  <c r="N138" i="16"/>
  <c r="O138" i="16"/>
  <c r="DD373" i="4"/>
  <c r="DE373" i="4"/>
  <c r="DK373" i="4"/>
  <c r="DL373" i="4"/>
  <c r="DM373" i="4"/>
  <c r="DN373" i="4"/>
  <c r="DO373" i="4"/>
  <c r="DP373" i="4"/>
  <c r="DQ373" i="4"/>
  <c r="DR373" i="4"/>
  <c r="DS373" i="4"/>
  <c r="DT373" i="4"/>
  <c r="FF373" i="4" s="1"/>
  <c r="DZ373" i="4"/>
  <c r="EF373" i="4"/>
  <c r="EG373" i="4"/>
  <c r="EJ374" i="4" s="1"/>
  <c r="D138" i="34"/>
  <c r="T317" i="34"/>
  <c r="W317" i="34" s="1"/>
  <c r="K317" i="34"/>
  <c r="I317" i="34"/>
  <c r="G317" i="34"/>
  <c r="D137" i="34"/>
  <c r="T137" i="34"/>
  <c r="U137" i="34"/>
  <c r="V137" i="34"/>
  <c r="DD372" i="4"/>
  <c r="DE372" i="4"/>
  <c r="DK372" i="4"/>
  <c r="DL372" i="4"/>
  <c r="DM372" i="4"/>
  <c r="DN372" i="4"/>
  <c r="DO372" i="4"/>
  <c r="FE372" i="4" s="1"/>
  <c r="DP372" i="4"/>
  <c r="DQ372" i="4"/>
  <c r="DR372" i="4"/>
  <c r="DS372" i="4"/>
  <c r="DT372" i="4"/>
  <c r="DZ372" i="4"/>
  <c r="EF372" i="4"/>
  <c r="EG372" i="4"/>
  <c r="EJ373" i="4" s="1"/>
  <c r="N137" i="16"/>
  <c r="O137" i="16"/>
  <c r="F203" i="34"/>
  <c r="E203" i="34"/>
  <c r="T315" i="34"/>
  <c r="W315" i="34" s="1"/>
  <c r="K315" i="34"/>
  <c r="I315" i="34"/>
  <c r="I314" i="34"/>
  <c r="G315" i="34"/>
  <c r="T135" i="34"/>
  <c r="U135" i="34"/>
  <c r="V135" i="34"/>
  <c r="N135" i="16"/>
  <c r="O135" i="16"/>
  <c r="DD371" i="4"/>
  <c r="DE371" i="4"/>
  <c r="DK371" i="4"/>
  <c r="DL371" i="4"/>
  <c r="DM371" i="4"/>
  <c r="DN371" i="4"/>
  <c r="DO371" i="4"/>
  <c r="DP371" i="4"/>
  <c r="DQ371" i="4"/>
  <c r="DR371" i="4"/>
  <c r="DS371" i="4"/>
  <c r="DT371" i="4"/>
  <c r="FF371" i="4" s="1"/>
  <c r="DZ371" i="4"/>
  <c r="EF371" i="4"/>
  <c r="EG371" i="4"/>
  <c r="D135" i="34"/>
  <c r="T314" i="34"/>
  <c r="W314" i="34" s="1"/>
  <c r="K314" i="34"/>
  <c r="G314" i="34"/>
  <c r="D134" i="34"/>
  <c r="T134" i="34"/>
  <c r="U134" i="34"/>
  <c r="V134" i="34"/>
  <c r="DD370" i="4"/>
  <c r="DE370" i="4"/>
  <c r="DF370" i="4" s="1"/>
  <c r="DK370" i="4"/>
  <c r="DL370" i="4"/>
  <c r="DM370" i="4"/>
  <c r="DN370" i="4"/>
  <c r="DO370" i="4"/>
  <c r="DP370" i="4"/>
  <c r="DQ370" i="4"/>
  <c r="M134" i="34"/>
  <c r="DR370" i="4"/>
  <c r="FH370" i="4" s="1"/>
  <c r="DS370" i="4"/>
  <c r="DT370" i="4"/>
  <c r="FF370" i="4" s="1"/>
  <c r="DZ370" i="4"/>
  <c r="EF370" i="4"/>
  <c r="EG370" i="4"/>
  <c r="N134" i="16"/>
  <c r="O134" i="16"/>
  <c r="FE370" i="4"/>
  <c r="T313" i="34"/>
  <c r="W313" i="34" s="1"/>
  <c r="G313" i="34"/>
  <c r="C313" i="34" s="1"/>
  <c r="K313" i="34"/>
  <c r="I313" i="34"/>
  <c r="D133" i="34"/>
  <c r="T133" i="34"/>
  <c r="U133" i="34"/>
  <c r="V133" i="34"/>
  <c r="N133" i="16"/>
  <c r="O133" i="16"/>
  <c r="DD369" i="4"/>
  <c r="DE369" i="4"/>
  <c r="DK369" i="4"/>
  <c r="DL369" i="4"/>
  <c r="DM369" i="4"/>
  <c r="DN369" i="4"/>
  <c r="DO369" i="4"/>
  <c r="DP369" i="4"/>
  <c r="DQ369" i="4"/>
  <c r="DR369" i="4"/>
  <c r="DS369" i="4"/>
  <c r="DT369" i="4"/>
  <c r="FF369" i="4" s="1"/>
  <c r="DZ369" i="4"/>
  <c r="EF369" i="4"/>
  <c r="EG369" i="4"/>
  <c r="I312" i="34"/>
  <c r="I311" i="34"/>
  <c r="T310" i="34"/>
  <c r="T312" i="34"/>
  <c r="W312" i="34" s="1"/>
  <c r="T311" i="34"/>
  <c r="W311" i="34" s="1"/>
  <c r="K312" i="34"/>
  <c r="G312" i="34"/>
  <c r="C312" i="34" s="1"/>
  <c r="D132" i="34"/>
  <c r="T132" i="34"/>
  <c r="U132" i="34"/>
  <c r="V132" i="34"/>
  <c r="N132" i="16"/>
  <c r="O132" i="16"/>
  <c r="DD368" i="4"/>
  <c r="DE368" i="4"/>
  <c r="DK368" i="4"/>
  <c r="DL368" i="4"/>
  <c r="DM368" i="4"/>
  <c r="DN368" i="4"/>
  <c r="DO368" i="4"/>
  <c r="DP368" i="4"/>
  <c r="DQ368" i="4"/>
  <c r="DR368" i="4"/>
  <c r="DS368" i="4"/>
  <c r="DT368" i="4"/>
  <c r="FF368" i="4" s="1"/>
  <c r="DZ368" i="4"/>
  <c r="EF368" i="4"/>
  <c r="EG368" i="4"/>
  <c r="FC368" i="4"/>
  <c r="K311" i="34"/>
  <c r="I310" i="34"/>
  <c r="G311" i="34"/>
  <c r="C311" i="34" s="1"/>
  <c r="D131" i="34"/>
  <c r="T131" i="34"/>
  <c r="U131" i="34"/>
  <c r="V131" i="34"/>
  <c r="N131" i="16"/>
  <c r="O131" i="16"/>
  <c r="DD367" i="4"/>
  <c r="DE367" i="4"/>
  <c r="DK367" i="4"/>
  <c r="DL367" i="4"/>
  <c r="DM367" i="4"/>
  <c r="DN367" i="4"/>
  <c r="DO367" i="4"/>
  <c r="DP367" i="4"/>
  <c r="DQ367" i="4"/>
  <c r="DR367" i="4"/>
  <c r="DS367" i="4"/>
  <c r="DT367" i="4"/>
  <c r="FF367" i="4" s="1"/>
  <c r="DZ367" i="4"/>
  <c r="EF367" i="4"/>
  <c r="EG367" i="4"/>
  <c r="E310" i="34"/>
  <c r="G310" i="34"/>
  <c r="W310" i="34"/>
  <c r="K310" i="34"/>
  <c r="D130" i="34"/>
  <c r="T130" i="34"/>
  <c r="U130" i="34"/>
  <c r="V130" i="34"/>
  <c r="N130" i="16"/>
  <c r="O130" i="16"/>
  <c r="DK366" i="4"/>
  <c r="DL366" i="4"/>
  <c r="DM366" i="4"/>
  <c r="DN366" i="4"/>
  <c r="DO366" i="4"/>
  <c r="FE366" i="4" s="1"/>
  <c r="DP366" i="4"/>
  <c r="I130" i="34" s="1"/>
  <c r="DQ366" i="4"/>
  <c r="DR366" i="4"/>
  <c r="DS366" i="4"/>
  <c r="DT366" i="4"/>
  <c r="FF366" i="4" s="1"/>
  <c r="DZ366" i="4"/>
  <c r="EF366" i="4"/>
  <c r="EG366" i="4"/>
  <c r="DD366" i="4"/>
  <c r="DE366" i="4"/>
  <c r="J130" i="34"/>
  <c r="G309" i="34"/>
  <c r="E309" i="34"/>
  <c r="I309" i="34"/>
  <c r="I308" i="34"/>
  <c r="K309" i="34"/>
  <c r="T309" i="34"/>
  <c r="W309" i="34" s="1"/>
  <c r="G308" i="34"/>
  <c r="D129" i="34"/>
  <c r="T129" i="34"/>
  <c r="U129" i="34"/>
  <c r="V129" i="34"/>
  <c r="N129" i="16"/>
  <c r="O129" i="16"/>
  <c r="DD365" i="4"/>
  <c r="DF365" i="4" s="1"/>
  <c r="DE365" i="4"/>
  <c r="DK365" i="4"/>
  <c r="DL365" i="4"/>
  <c r="DM365" i="4"/>
  <c r="DN365" i="4"/>
  <c r="DO365" i="4"/>
  <c r="DP365" i="4"/>
  <c r="DQ365" i="4"/>
  <c r="DR365" i="4"/>
  <c r="DS365" i="4"/>
  <c r="DT365" i="4"/>
  <c r="FF365" i="4" s="1"/>
  <c r="DZ365" i="4"/>
  <c r="EF365" i="4"/>
  <c r="EG365" i="4"/>
  <c r="FH365" i="4"/>
  <c r="T308" i="34"/>
  <c r="W308" i="34" s="1"/>
  <c r="K308" i="34"/>
  <c r="K305" i="34"/>
  <c r="K306" i="34"/>
  <c r="K307" i="34"/>
  <c r="E308" i="34"/>
  <c r="D128" i="34"/>
  <c r="T128" i="34"/>
  <c r="U128" i="34"/>
  <c r="V128" i="34"/>
  <c r="N128" i="16"/>
  <c r="O128" i="16"/>
  <c r="DD364" i="4"/>
  <c r="DE364" i="4"/>
  <c r="DK364" i="4"/>
  <c r="DL364" i="4"/>
  <c r="DM364" i="4"/>
  <c r="DN364" i="4"/>
  <c r="DO364" i="4"/>
  <c r="FE364" i="4" s="1"/>
  <c r="DP364" i="4"/>
  <c r="DQ364" i="4"/>
  <c r="DR364" i="4"/>
  <c r="DS364" i="4"/>
  <c r="DT364" i="4"/>
  <c r="FF364" i="4" s="1"/>
  <c r="DZ364" i="4"/>
  <c r="EF364" i="4"/>
  <c r="EG364" i="4"/>
  <c r="T307" i="34"/>
  <c r="I307" i="34"/>
  <c r="E307" i="34"/>
  <c r="G307" i="34"/>
  <c r="W307" i="34"/>
  <c r="D127" i="34"/>
  <c r="T127" i="34"/>
  <c r="U127" i="34"/>
  <c r="V127" i="34"/>
  <c r="N127" i="16"/>
  <c r="O127" i="16"/>
  <c r="DD363" i="4"/>
  <c r="DE363" i="4"/>
  <c r="DK363" i="4"/>
  <c r="DL363" i="4"/>
  <c r="DM363" i="4"/>
  <c r="DN363" i="4"/>
  <c r="DO363" i="4"/>
  <c r="DP363" i="4"/>
  <c r="DQ363" i="4"/>
  <c r="DR363" i="4"/>
  <c r="DS363" i="4"/>
  <c r="DT363" i="4"/>
  <c r="FF363" i="4" s="1"/>
  <c r="DZ363" i="4"/>
  <c r="EF363" i="4"/>
  <c r="EG363" i="4"/>
  <c r="EH363" i="4" s="1"/>
  <c r="FE363" i="4"/>
  <c r="T306" i="34"/>
  <c r="W306" i="34" s="1"/>
  <c r="E306" i="34"/>
  <c r="I306" i="34"/>
  <c r="I305" i="34"/>
  <c r="I304" i="34"/>
  <c r="N304" i="34" s="1"/>
  <c r="I302" i="34"/>
  <c r="N302" i="34" s="1"/>
  <c r="I301" i="34"/>
  <c r="N301" i="34" s="1"/>
  <c r="G306" i="34"/>
  <c r="D126" i="34"/>
  <c r="E202" i="34"/>
  <c r="F202" i="34"/>
  <c r="C438" i="4"/>
  <c r="C439" i="4"/>
  <c r="D439" i="4"/>
  <c r="E439" i="4"/>
  <c r="F439" i="4"/>
  <c r="T126" i="34"/>
  <c r="U126" i="34"/>
  <c r="V126" i="34"/>
  <c r="N126" i="16"/>
  <c r="O126" i="16"/>
  <c r="DK362" i="4"/>
  <c r="DL362" i="4"/>
  <c r="DM362" i="4"/>
  <c r="DN362" i="4"/>
  <c r="DO362" i="4"/>
  <c r="DP362" i="4"/>
  <c r="DQ362" i="4"/>
  <c r="DR362" i="4"/>
  <c r="DS362" i="4"/>
  <c r="L126" i="34" s="1"/>
  <c r="DT362" i="4"/>
  <c r="FF362" i="4" s="1"/>
  <c r="DZ362" i="4"/>
  <c r="EF362" i="4"/>
  <c r="EG362" i="4"/>
  <c r="DD362" i="4"/>
  <c r="DE362" i="4"/>
  <c r="J126" i="34"/>
  <c r="G305" i="34"/>
  <c r="C305" i="34" s="1"/>
  <c r="E305" i="34"/>
  <c r="T305" i="34"/>
  <c r="W305" i="34" s="1"/>
  <c r="D125" i="34"/>
  <c r="T125" i="34"/>
  <c r="U125" i="34"/>
  <c r="V125" i="34"/>
  <c r="N125" i="16"/>
  <c r="O125" i="16"/>
  <c r="DD361" i="4"/>
  <c r="DE361" i="4"/>
  <c r="DK361" i="4"/>
  <c r="DL361" i="4"/>
  <c r="FD361" i="4" s="1"/>
  <c r="DM361" i="4"/>
  <c r="DN361" i="4"/>
  <c r="DO361" i="4"/>
  <c r="FE361" i="4" s="1"/>
  <c r="DP361" i="4"/>
  <c r="DQ361" i="4"/>
  <c r="DR361" i="4"/>
  <c r="DS361" i="4"/>
  <c r="DT361" i="4"/>
  <c r="DZ361" i="4"/>
  <c r="EF361" i="4"/>
  <c r="EG361" i="4"/>
  <c r="EJ362" i="4" s="1"/>
  <c r="R439" i="4"/>
  <c r="J439" i="4"/>
  <c r="K439" i="4"/>
  <c r="L439" i="4"/>
  <c r="M439" i="4"/>
  <c r="N439" i="4"/>
  <c r="O439" i="4"/>
  <c r="P439" i="4"/>
  <c r="Q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BU439" i="4"/>
  <c r="BV439" i="4"/>
  <c r="BW439" i="4"/>
  <c r="BX439" i="4"/>
  <c r="BY439" i="4"/>
  <c r="BZ439" i="4"/>
  <c r="CA439" i="4"/>
  <c r="CB439" i="4"/>
  <c r="CC439" i="4"/>
  <c r="CD439" i="4"/>
  <c r="CE439" i="4"/>
  <c r="CF439" i="4"/>
  <c r="CG439" i="4"/>
  <c r="CH439" i="4"/>
  <c r="CI439" i="4"/>
  <c r="CJ439" i="4"/>
  <c r="CK439" i="4"/>
  <c r="CR439" i="4"/>
  <c r="CS439" i="4"/>
  <c r="CT439" i="4"/>
  <c r="CU439" i="4"/>
  <c r="CV439" i="4"/>
  <c r="CW439" i="4"/>
  <c r="CX439" i="4"/>
  <c r="CY439" i="4"/>
  <c r="G439" i="4"/>
  <c r="H439" i="4"/>
  <c r="I439" i="4"/>
  <c r="O436" i="4"/>
  <c r="O435" i="4"/>
  <c r="ED438" i="4"/>
  <c r="ED437" i="4"/>
  <c r="CT438" i="4"/>
  <c r="DK360" i="4"/>
  <c r="W304" i="34"/>
  <c r="G304" i="34"/>
  <c r="E304" i="34"/>
  <c r="E302" i="34"/>
  <c r="D124" i="34"/>
  <c r="T124" i="34"/>
  <c r="U124" i="34"/>
  <c r="V124" i="34"/>
  <c r="N124" i="16"/>
  <c r="O124" i="16"/>
  <c r="DD360" i="4"/>
  <c r="DE360" i="4"/>
  <c r="DL360" i="4"/>
  <c r="DM360" i="4"/>
  <c r="DN360" i="4"/>
  <c r="DO360" i="4"/>
  <c r="DP360" i="4"/>
  <c r="DQ360" i="4"/>
  <c r="DR360" i="4"/>
  <c r="DS360" i="4"/>
  <c r="DT360" i="4"/>
  <c r="FF360" i="4" s="1"/>
  <c r="DZ360" i="4"/>
  <c r="EF360" i="4"/>
  <c r="EI361" i="4" s="1"/>
  <c r="EG360" i="4"/>
  <c r="FE360" i="4"/>
  <c r="W302" i="34"/>
  <c r="G302" i="34"/>
  <c r="C302" i="34" s="1"/>
  <c r="D122" i="34"/>
  <c r="T122" i="34"/>
  <c r="U122" i="34"/>
  <c r="V122" i="34"/>
  <c r="N122" i="16"/>
  <c r="O122" i="16"/>
  <c r="DD359" i="4"/>
  <c r="DE359" i="4"/>
  <c r="DK359" i="4"/>
  <c r="FC359" i="4" s="1"/>
  <c r="DL359" i="4"/>
  <c r="DM359" i="4"/>
  <c r="DN359" i="4"/>
  <c r="DO359" i="4"/>
  <c r="FE359" i="4" s="1"/>
  <c r="DP359" i="4"/>
  <c r="DQ359" i="4"/>
  <c r="DR359" i="4"/>
  <c r="DS359" i="4"/>
  <c r="DT359" i="4"/>
  <c r="FF359" i="4" s="1"/>
  <c r="DZ359" i="4"/>
  <c r="EF359" i="4"/>
  <c r="EG359" i="4"/>
  <c r="K122" i="34"/>
  <c r="DK357" i="4"/>
  <c r="DK356" i="4"/>
  <c r="DK355" i="4"/>
  <c r="DK354" i="4"/>
  <c r="DK353" i="4"/>
  <c r="DK352" i="4"/>
  <c r="DK351" i="4"/>
  <c r="DK350" i="4"/>
  <c r="DK349" i="4"/>
  <c r="DK348" i="4"/>
  <c r="DK347" i="4"/>
  <c r="DK346" i="4"/>
  <c r="DK345" i="4"/>
  <c r="DK344" i="4"/>
  <c r="DK343" i="4"/>
  <c r="DK342" i="4"/>
  <c r="DK341" i="4"/>
  <c r="DK340" i="4"/>
  <c r="DK339" i="4"/>
  <c r="DK338" i="4"/>
  <c r="DK337" i="4"/>
  <c r="DK336" i="4"/>
  <c r="DK335" i="4"/>
  <c r="DK334" i="4"/>
  <c r="DK333" i="4"/>
  <c r="DK332" i="4"/>
  <c r="DK331" i="4"/>
  <c r="DK330" i="4"/>
  <c r="DK329" i="4"/>
  <c r="DK328" i="4"/>
  <c r="DK327" i="4"/>
  <c r="DK326" i="4"/>
  <c r="DK325" i="4"/>
  <c r="DK324" i="4"/>
  <c r="DK323" i="4"/>
  <c r="DK322" i="4"/>
  <c r="DK321" i="4"/>
  <c r="DK320" i="4"/>
  <c r="DK319" i="4"/>
  <c r="DK318" i="4"/>
  <c r="DK317" i="4"/>
  <c r="DK316" i="4"/>
  <c r="DK315" i="4"/>
  <c r="DK314" i="4"/>
  <c r="DK313" i="4"/>
  <c r="DK312" i="4"/>
  <c r="DK311" i="4"/>
  <c r="DK310" i="4"/>
  <c r="DK309" i="4"/>
  <c r="DK308" i="4"/>
  <c r="DK307" i="4"/>
  <c r="DK306" i="4"/>
  <c r="DK305" i="4"/>
  <c r="DK304" i="4"/>
  <c r="DK303" i="4"/>
  <c r="DK302" i="4"/>
  <c r="DK301" i="4"/>
  <c r="DK300" i="4"/>
  <c r="DK299" i="4"/>
  <c r="DK298" i="4"/>
  <c r="DK297" i="4"/>
  <c r="DK296" i="4"/>
  <c r="DK295" i="4"/>
  <c r="DK294" i="4"/>
  <c r="DK293" i="4"/>
  <c r="DK292" i="4"/>
  <c r="DK291" i="4"/>
  <c r="DK290" i="4"/>
  <c r="DK289" i="4"/>
  <c r="DK288" i="4"/>
  <c r="DK287" i="4"/>
  <c r="DK286" i="4"/>
  <c r="DK285" i="4"/>
  <c r="DK284" i="4"/>
  <c r="DK283" i="4"/>
  <c r="DK282" i="4"/>
  <c r="DK281" i="4"/>
  <c r="DK280" i="4"/>
  <c r="DK279" i="4"/>
  <c r="DK278" i="4"/>
  <c r="DK277" i="4"/>
  <c r="DK276" i="4"/>
  <c r="DK275" i="4"/>
  <c r="DK274" i="4"/>
  <c r="DK273" i="4"/>
  <c r="DK272" i="4"/>
  <c r="DK271" i="4"/>
  <c r="DK270" i="4"/>
  <c r="DK269" i="4"/>
  <c r="DK268" i="4"/>
  <c r="DK267" i="4"/>
  <c r="DK266" i="4"/>
  <c r="DK265" i="4"/>
  <c r="DK264" i="4"/>
  <c r="DK263" i="4"/>
  <c r="DK262" i="4"/>
  <c r="DK261" i="4"/>
  <c r="DK260" i="4"/>
  <c r="DK259" i="4"/>
  <c r="DK258" i="4"/>
  <c r="DK257" i="4"/>
  <c r="DK256" i="4"/>
  <c r="DK255" i="4"/>
  <c r="DK254" i="4"/>
  <c r="DK253" i="4"/>
  <c r="DK252" i="4"/>
  <c r="DK251" i="4"/>
  <c r="DK250" i="4"/>
  <c r="DK249" i="4"/>
  <c r="DK248" i="4"/>
  <c r="DK247" i="4"/>
  <c r="DK246" i="4"/>
  <c r="DK245" i="4"/>
  <c r="DK244" i="4"/>
  <c r="DK243" i="4"/>
  <c r="DK242" i="4"/>
  <c r="DK241" i="4"/>
  <c r="DK240" i="4"/>
  <c r="DK239" i="4"/>
  <c r="DK238" i="4"/>
  <c r="DK237" i="4"/>
  <c r="DK236" i="4"/>
  <c r="DK235" i="4"/>
  <c r="DK234" i="4"/>
  <c r="DK233" i="4"/>
  <c r="DK232" i="4"/>
  <c r="DK231" i="4"/>
  <c r="DK230" i="4"/>
  <c r="DK229" i="4"/>
  <c r="DK228" i="4"/>
  <c r="DK227" i="4"/>
  <c r="DK226" i="4"/>
  <c r="DK225" i="4"/>
  <c r="DK224" i="4"/>
  <c r="DK223" i="4"/>
  <c r="DK222" i="4"/>
  <c r="DK221" i="4"/>
  <c r="DK220" i="4"/>
  <c r="DK219" i="4"/>
  <c r="DK218" i="4"/>
  <c r="DK217" i="4"/>
  <c r="DK216" i="4"/>
  <c r="DK215" i="4"/>
  <c r="DK214" i="4"/>
  <c r="DK213" i="4"/>
  <c r="DK212" i="4"/>
  <c r="DK211" i="4"/>
  <c r="DK210" i="4"/>
  <c r="DK209" i="4"/>
  <c r="DK208" i="4"/>
  <c r="DK207" i="4"/>
  <c r="DK206" i="4"/>
  <c r="DK205" i="4"/>
  <c r="DK204" i="4"/>
  <c r="DK203" i="4"/>
  <c r="DK202" i="4"/>
  <c r="DK201" i="4"/>
  <c r="DK200" i="4"/>
  <c r="DK199" i="4"/>
  <c r="DK198" i="4"/>
  <c r="DK197" i="4"/>
  <c r="DK196" i="4"/>
  <c r="DK195" i="4"/>
  <c r="DK194" i="4"/>
  <c r="DK193" i="4"/>
  <c r="DK192" i="4"/>
  <c r="DK191" i="4"/>
  <c r="DK190" i="4"/>
  <c r="DK189" i="4"/>
  <c r="DK188" i="4"/>
  <c r="DK187" i="4"/>
  <c r="DK186" i="4"/>
  <c r="DK185" i="4"/>
  <c r="DK184" i="4"/>
  <c r="DK183" i="4"/>
  <c r="DK182" i="4"/>
  <c r="DK181" i="4"/>
  <c r="DK180" i="4"/>
  <c r="DK179" i="4"/>
  <c r="DK178" i="4"/>
  <c r="DK177" i="4"/>
  <c r="DK176" i="4"/>
  <c r="DK175" i="4"/>
  <c r="DK174" i="4"/>
  <c r="DK173" i="4"/>
  <c r="DK172" i="4"/>
  <c r="DK171" i="4"/>
  <c r="DK170" i="4"/>
  <c r="DK169" i="4"/>
  <c r="DK168" i="4"/>
  <c r="DK167" i="4"/>
  <c r="DK166" i="4"/>
  <c r="DK165" i="4"/>
  <c r="DK164" i="4"/>
  <c r="DK163" i="4"/>
  <c r="DK162" i="4"/>
  <c r="DK161" i="4"/>
  <c r="DK160" i="4"/>
  <c r="DK159" i="4"/>
  <c r="DK158" i="4"/>
  <c r="DK157" i="4"/>
  <c r="DK156" i="4"/>
  <c r="DK155" i="4"/>
  <c r="DK154" i="4"/>
  <c r="DK153" i="4"/>
  <c r="DK152" i="4"/>
  <c r="DK151" i="4"/>
  <c r="DK150" i="4"/>
  <c r="DK149" i="4"/>
  <c r="DK148" i="4"/>
  <c r="DK147" i="4"/>
  <c r="DK146" i="4"/>
  <c r="DK145" i="4"/>
  <c r="DK144" i="4"/>
  <c r="DK143" i="4"/>
  <c r="DK142" i="4"/>
  <c r="DK141" i="4"/>
  <c r="DK140" i="4"/>
  <c r="DK139" i="4"/>
  <c r="DK138" i="4"/>
  <c r="DK137" i="4"/>
  <c r="DK136" i="4"/>
  <c r="DK135" i="4"/>
  <c r="DK134" i="4"/>
  <c r="DK133" i="4"/>
  <c r="DK132" i="4"/>
  <c r="DK131" i="4"/>
  <c r="DK130" i="4"/>
  <c r="DK129" i="4"/>
  <c r="DK128" i="4"/>
  <c r="DK127" i="4"/>
  <c r="DK126" i="4"/>
  <c r="DK125" i="4"/>
  <c r="DK124" i="4"/>
  <c r="DK123" i="4"/>
  <c r="DK122" i="4"/>
  <c r="DK121" i="4"/>
  <c r="DK120" i="4"/>
  <c r="DK119" i="4"/>
  <c r="DK118" i="4"/>
  <c r="DK117" i="4"/>
  <c r="DK116" i="4"/>
  <c r="DK115" i="4"/>
  <c r="DK114" i="4"/>
  <c r="DK113" i="4"/>
  <c r="DK112" i="4"/>
  <c r="DK111" i="4"/>
  <c r="DK110" i="4"/>
  <c r="DK109" i="4"/>
  <c r="DK108" i="4"/>
  <c r="DK107" i="4"/>
  <c r="DK106" i="4"/>
  <c r="DK105" i="4"/>
  <c r="DK104" i="4"/>
  <c r="DK103" i="4"/>
  <c r="DK102" i="4"/>
  <c r="DK101" i="4"/>
  <c r="DK100" i="4"/>
  <c r="DK99" i="4"/>
  <c r="DK98" i="4"/>
  <c r="DK97" i="4"/>
  <c r="DK96" i="4"/>
  <c r="DK95" i="4"/>
  <c r="DK94" i="4"/>
  <c r="DK93" i="4"/>
  <c r="DK92" i="4"/>
  <c r="DK91" i="4"/>
  <c r="DK90" i="4"/>
  <c r="DK89" i="4"/>
  <c r="DK88" i="4"/>
  <c r="DK87" i="4"/>
  <c r="DK86" i="4"/>
  <c r="DK85" i="4"/>
  <c r="DK84" i="4"/>
  <c r="DK83" i="4"/>
  <c r="DK82" i="4"/>
  <c r="DK81" i="4"/>
  <c r="DK80" i="4"/>
  <c r="DK79" i="4"/>
  <c r="DK78" i="4"/>
  <c r="DK77" i="4"/>
  <c r="DK76" i="4"/>
  <c r="DK75" i="4"/>
  <c r="DK74" i="4"/>
  <c r="DK73" i="4"/>
  <c r="DK72" i="4"/>
  <c r="DK71" i="4"/>
  <c r="DK70" i="4"/>
  <c r="DK69" i="4"/>
  <c r="DK68" i="4"/>
  <c r="DK67" i="4"/>
  <c r="DK66" i="4"/>
  <c r="DK65" i="4"/>
  <c r="DK64" i="4"/>
  <c r="DK63" i="4"/>
  <c r="DK62" i="4"/>
  <c r="DK61" i="4"/>
  <c r="DK60" i="4"/>
  <c r="DK59" i="4"/>
  <c r="DK58" i="4"/>
  <c r="DK57" i="4"/>
  <c r="DK56" i="4"/>
  <c r="DK55" i="4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K32" i="4"/>
  <c r="DK31" i="4"/>
  <c r="DK30" i="4"/>
  <c r="DK29" i="4"/>
  <c r="DK28" i="4"/>
  <c r="DK27" i="4"/>
  <c r="DK26" i="4"/>
  <c r="DK25" i="4"/>
  <c r="DK24" i="4"/>
  <c r="DK23" i="4"/>
  <c r="DK22" i="4"/>
  <c r="DK21" i="4"/>
  <c r="DK20" i="4"/>
  <c r="DK19" i="4"/>
  <c r="DK18" i="4"/>
  <c r="DK17" i="4"/>
  <c r="DK16" i="4"/>
  <c r="DK15" i="4"/>
  <c r="DK14" i="4"/>
  <c r="DK13" i="4"/>
  <c r="DK12" i="4"/>
  <c r="DK358" i="4"/>
  <c r="N117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1" i="16"/>
  <c r="N112" i="16"/>
  <c r="N113" i="16"/>
  <c r="N114" i="16"/>
  <c r="N115" i="16"/>
  <c r="N116" i="16"/>
  <c r="N118" i="16"/>
  <c r="N119" i="16"/>
  <c r="N120" i="16"/>
  <c r="N121" i="16"/>
  <c r="U85" i="34"/>
  <c r="U86" i="34"/>
  <c r="U87" i="34"/>
  <c r="U88" i="34"/>
  <c r="U89" i="34"/>
  <c r="U90" i="34"/>
  <c r="U91" i="34"/>
  <c r="U92" i="34"/>
  <c r="U93" i="34"/>
  <c r="U94" i="34"/>
  <c r="U95" i="34"/>
  <c r="U96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1" i="34"/>
  <c r="U112" i="34"/>
  <c r="U113" i="34"/>
  <c r="U114" i="34"/>
  <c r="U115" i="34"/>
  <c r="U116" i="34"/>
  <c r="U117" i="34"/>
  <c r="U118" i="34"/>
  <c r="U119" i="34"/>
  <c r="U120" i="34"/>
  <c r="U121" i="34"/>
  <c r="W301" i="34"/>
  <c r="G301" i="34"/>
  <c r="E301" i="34"/>
  <c r="D121" i="34"/>
  <c r="O121" i="16"/>
  <c r="T121" i="34"/>
  <c r="V121" i="34"/>
  <c r="DL358" i="4"/>
  <c r="FD358" i="4" s="1"/>
  <c r="DM358" i="4"/>
  <c r="DN358" i="4"/>
  <c r="DO358" i="4"/>
  <c r="DP358" i="4"/>
  <c r="DQ358" i="4"/>
  <c r="DR358" i="4"/>
  <c r="DS358" i="4"/>
  <c r="DT358" i="4"/>
  <c r="DZ358" i="4"/>
  <c r="EF358" i="4"/>
  <c r="EG358" i="4"/>
  <c r="DD358" i="4"/>
  <c r="DE358" i="4"/>
  <c r="J121" i="34"/>
  <c r="FH358" i="4"/>
  <c r="W300" i="34"/>
  <c r="I300" i="34"/>
  <c r="N300" i="34" s="1"/>
  <c r="G300" i="34"/>
  <c r="E300" i="34"/>
  <c r="D120" i="34"/>
  <c r="O120" i="16"/>
  <c r="T120" i="34"/>
  <c r="V120" i="34"/>
  <c r="EF357" i="4"/>
  <c r="EG357" i="4"/>
  <c r="DZ357" i="4"/>
  <c r="DL357" i="4"/>
  <c r="DM357" i="4"/>
  <c r="DN357" i="4"/>
  <c r="DO357" i="4"/>
  <c r="DP357" i="4"/>
  <c r="DQ357" i="4"/>
  <c r="DR357" i="4"/>
  <c r="DS357" i="4"/>
  <c r="DT357" i="4"/>
  <c r="FF357" i="4" s="1"/>
  <c r="DD357" i="4"/>
  <c r="DE357" i="4"/>
  <c r="T119" i="34"/>
  <c r="V119" i="34"/>
  <c r="W299" i="34"/>
  <c r="G299" i="34"/>
  <c r="E299" i="34"/>
  <c r="D119" i="34"/>
  <c r="I299" i="34"/>
  <c r="N299" i="34" s="1"/>
  <c r="O119" i="16"/>
  <c r="EF356" i="4"/>
  <c r="EG356" i="4"/>
  <c r="DL356" i="4"/>
  <c r="DM356" i="4"/>
  <c r="DN356" i="4"/>
  <c r="DO356" i="4"/>
  <c r="FE356" i="4" s="1"/>
  <c r="DP356" i="4"/>
  <c r="I119" i="34" s="1"/>
  <c r="DQ356" i="4"/>
  <c r="M119" i="34" s="1"/>
  <c r="DR356" i="4"/>
  <c r="DS356" i="4"/>
  <c r="DT356" i="4"/>
  <c r="FF356" i="4" s="1"/>
  <c r="DZ356" i="4"/>
  <c r="DE356" i="4"/>
  <c r="DD356" i="4"/>
  <c r="D118" i="34"/>
  <c r="W298" i="34"/>
  <c r="I298" i="34"/>
  <c r="N298" i="34" s="1"/>
  <c r="G298" i="34"/>
  <c r="E298" i="34"/>
  <c r="C298" i="34" s="1"/>
  <c r="T118" i="34"/>
  <c r="V118" i="34"/>
  <c r="O118" i="16"/>
  <c r="EF355" i="4"/>
  <c r="DL355" i="4"/>
  <c r="DM355" i="4"/>
  <c r="DN355" i="4"/>
  <c r="DO355" i="4"/>
  <c r="DP355" i="4"/>
  <c r="DQ355" i="4"/>
  <c r="DR355" i="4"/>
  <c r="DS355" i="4"/>
  <c r="DT355" i="4"/>
  <c r="FF355" i="4" s="1"/>
  <c r="DZ355" i="4"/>
  <c r="EG355" i="4"/>
  <c r="DD355" i="4"/>
  <c r="DE355" i="4"/>
  <c r="W297" i="34"/>
  <c r="I297" i="34"/>
  <c r="N297" i="34" s="1"/>
  <c r="E297" i="34"/>
  <c r="G297" i="34"/>
  <c r="D117" i="34"/>
  <c r="T117" i="34"/>
  <c r="V117" i="34"/>
  <c r="O117" i="16"/>
  <c r="EF354" i="4"/>
  <c r="EG354" i="4"/>
  <c r="DL354" i="4"/>
  <c r="DM354" i="4"/>
  <c r="DN354" i="4"/>
  <c r="DO354" i="4"/>
  <c r="FE354" i="4" s="1"/>
  <c r="DP354" i="4"/>
  <c r="DQ354" i="4"/>
  <c r="DR354" i="4"/>
  <c r="DS354" i="4"/>
  <c r="DT354" i="4"/>
  <c r="FF354" i="4" s="1"/>
  <c r="DZ354" i="4"/>
  <c r="DE354" i="4"/>
  <c r="DD354" i="4"/>
  <c r="D116" i="34"/>
  <c r="W296" i="34"/>
  <c r="I296" i="34"/>
  <c r="N296" i="34" s="1"/>
  <c r="I295" i="34"/>
  <c r="N295" i="34" s="1"/>
  <c r="G296" i="34"/>
  <c r="E296" i="34"/>
  <c r="CR437" i="4"/>
  <c r="CS437" i="4"/>
  <c r="CT437" i="4"/>
  <c r="CU437" i="4"/>
  <c r="CV437" i="4"/>
  <c r="CW437" i="4"/>
  <c r="CX437" i="4"/>
  <c r="CY437" i="4"/>
  <c r="CR438" i="4"/>
  <c r="CS438" i="4"/>
  <c r="CU438" i="4"/>
  <c r="CV438" i="4"/>
  <c r="CW438" i="4"/>
  <c r="CX438" i="4"/>
  <c r="CY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BU438" i="4"/>
  <c r="BV438" i="4"/>
  <c r="BW438" i="4"/>
  <c r="BX438" i="4"/>
  <c r="BY438" i="4"/>
  <c r="BZ438" i="4"/>
  <c r="CA438" i="4"/>
  <c r="CB438" i="4"/>
  <c r="CC438" i="4"/>
  <c r="CD438" i="4"/>
  <c r="CE438" i="4"/>
  <c r="CF438" i="4"/>
  <c r="CG438" i="4"/>
  <c r="CH438" i="4"/>
  <c r="CI438" i="4"/>
  <c r="CJ438" i="4"/>
  <c r="CK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Q437" i="4"/>
  <c r="T116" i="34"/>
  <c r="V116" i="34"/>
  <c r="O116" i="16"/>
  <c r="EF353" i="4"/>
  <c r="EG353" i="4"/>
  <c r="DZ353" i="4"/>
  <c r="DL353" i="4"/>
  <c r="DM353" i="4"/>
  <c r="DN353" i="4"/>
  <c r="FD353" i="4" s="1"/>
  <c r="DO353" i="4"/>
  <c r="DY353" i="4" s="1"/>
  <c r="DP353" i="4"/>
  <c r="DQ353" i="4"/>
  <c r="DR353" i="4"/>
  <c r="DS353" i="4"/>
  <c r="DT353" i="4"/>
  <c r="FF353" i="4" s="1"/>
  <c r="DD353" i="4"/>
  <c r="DE353" i="4"/>
  <c r="DP352" i="4"/>
  <c r="DQ323" i="4"/>
  <c r="DQ324" i="4"/>
  <c r="DQ325" i="4"/>
  <c r="DQ326" i="4"/>
  <c r="M87" i="34" s="1"/>
  <c r="DQ327" i="4"/>
  <c r="DQ328" i="4"/>
  <c r="DQ329" i="4"/>
  <c r="M90" i="34" s="1"/>
  <c r="DP330" i="4"/>
  <c r="DQ330" i="4"/>
  <c r="M91" i="34" s="1"/>
  <c r="DP331" i="4"/>
  <c r="DQ331" i="4"/>
  <c r="M92" i="34" s="1"/>
  <c r="DP332" i="4"/>
  <c r="DQ332" i="4"/>
  <c r="M93" i="34" s="1"/>
  <c r="DP333" i="4"/>
  <c r="DQ333" i="4"/>
  <c r="DP334" i="4"/>
  <c r="DQ334" i="4"/>
  <c r="DP335" i="4"/>
  <c r="DQ335" i="4"/>
  <c r="DP336" i="4"/>
  <c r="DQ336" i="4"/>
  <c r="DP337" i="4"/>
  <c r="DQ337" i="4"/>
  <c r="M99" i="34" s="1"/>
  <c r="DP338" i="4"/>
  <c r="DQ338" i="4"/>
  <c r="M100" i="34" s="1"/>
  <c r="DP339" i="4"/>
  <c r="DQ339" i="4"/>
  <c r="DP340" i="4"/>
  <c r="DQ340" i="4"/>
  <c r="M102" i="34" s="1"/>
  <c r="DP341" i="4"/>
  <c r="DQ341" i="4"/>
  <c r="M103" i="34" s="1"/>
  <c r="DP342" i="4"/>
  <c r="DQ342" i="4"/>
  <c r="DP343" i="4"/>
  <c r="DQ343" i="4"/>
  <c r="DP344" i="4"/>
  <c r="DQ344" i="4"/>
  <c r="M106" i="34" s="1"/>
  <c r="DP345" i="4"/>
  <c r="DQ345" i="4"/>
  <c r="DP346" i="4"/>
  <c r="DQ346" i="4"/>
  <c r="M108" i="34" s="1"/>
  <c r="DP347" i="4"/>
  <c r="DQ347" i="4"/>
  <c r="DP348" i="4"/>
  <c r="DQ348" i="4"/>
  <c r="DP349" i="4"/>
  <c r="DQ349" i="4"/>
  <c r="M112" i="34" s="1"/>
  <c r="DP350" i="4"/>
  <c r="DQ350" i="4"/>
  <c r="M113" i="34" s="1"/>
  <c r="DP351" i="4"/>
  <c r="DQ351" i="4"/>
  <c r="DQ352" i="4"/>
  <c r="G295" i="34"/>
  <c r="E295" i="34"/>
  <c r="D115" i="34"/>
  <c r="W295" i="34"/>
  <c r="T115" i="34"/>
  <c r="V115" i="34"/>
  <c r="O115" i="16"/>
  <c r="DD352" i="4"/>
  <c r="DE352" i="4"/>
  <c r="DL352" i="4"/>
  <c r="DM352" i="4"/>
  <c r="DN352" i="4"/>
  <c r="DO352" i="4"/>
  <c r="DR352" i="4"/>
  <c r="FH352" i="4" s="1"/>
  <c r="DS352" i="4"/>
  <c r="DT352" i="4"/>
  <c r="DY352" i="4" s="1"/>
  <c r="DZ352" i="4"/>
  <c r="EF352" i="4"/>
  <c r="EI353" i="4" s="1"/>
  <c r="EG352" i="4"/>
  <c r="W294" i="34"/>
  <c r="I294" i="34"/>
  <c r="N294" i="34" s="1"/>
  <c r="E294" i="34"/>
  <c r="G294" i="34"/>
  <c r="D114" i="34"/>
  <c r="T114" i="34"/>
  <c r="V114" i="34"/>
  <c r="O114" i="16"/>
  <c r="DD351" i="4"/>
  <c r="DE351" i="4"/>
  <c r="DL351" i="4"/>
  <c r="DM351" i="4"/>
  <c r="DN351" i="4"/>
  <c r="DO351" i="4"/>
  <c r="FE351" i="4" s="1"/>
  <c r="DR351" i="4"/>
  <c r="DS351" i="4"/>
  <c r="DT351" i="4"/>
  <c r="DZ351" i="4"/>
  <c r="EF351" i="4"/>
  <c r="EG351" i="4"/>
  <c r="W293" i="34"/>
  <c r="I293" i="34"/>
  <c r="N293" i="34" s="1"/>
  <c r="G293" i="34"/>
  <c r="E293" i="34"/>
  <c r="D113" i="34"/>
  <c r="T113" i="34"/>
  <c r="V113" i="34"/>
  <c r="O113" i="16"/>
  <c r="DD350" i="4"/>
  <c r="DE350" i="4"/>
  <c r="DF350" i="4" s="1"/>
  <c r="DL350" i="4"/>
  <c r="DM350" i="4"/>
  <c r="DN350" i="4"/>
  <c r="DO350" i="4"/>
  <c r="DR350" i="4"/>
  <c r="DS350" i="4"/>
  <c r="DT350" i="4"/>
  <c r="FF350" i="4" s="1"/>
  <c r="DZ350" i="4"/>
  <c r="EF350" i="4"/>
  <c r="EG350" i="4"/>
  <c r="W292" i="34"/>
  <c r="E292" i="34"/>
  <c r="C292" i="34" s="1"/>
  <c r="G292" i="34"/>
  <c r="G291" i="34"/>
  <c r="I292" i="34"/>
  <c r="N292" i="34" s="1"/>
  <c r="D112" i="34"/>
  <c r="T112" i="34"/>
  <c r="V112" i="34"/>
  <c r="O112" i="16"/>
  <c r="DD349" i="4"/>
  <c r="DF349" i="4" s="1"/>
  <c r="DE349" i="4"/>
  <c r="DL349" i="4"/>
  <c r="DM349" i="4"/>
  <c r="DN349" i="4"/>
  <c r="DO349" i="4"/>
  <c r="DR349" i="4"/>
  <c r="DS349" i="4"/>
  <c r="DT349" i="4"/>
  <c r="FF349" i="4" s="1"/>
  <c r="DZ349" i="4"/>
  <c r="EF349" i="4"/>
  <c r="EG349" i="4"/>
  <c r="E291" i="34"/>
  <c r="W291" i="34"/>
  <c r="I291" i="34"/>
  <c r="N291" i="34" s="1"/>
  <c r="R291" i="34" s="1"/>
  <c r="I288" i="34"/>
  <c r="N288" i="34" s="1"/>
  <c r="D111" i="34"/>
  <c r="V111" i="34"/>
  <c r="T111" i="34"/>
  <c r="O111" i="16"/>
  <c r="DD348" i="4"/>
  <c r="DE348" i="4"/>
  <c r="DL348" i="4"/>
  <c r="FD348" i="4" s="1"/>
  <c r="DM348" i="4"/>
  <c r="DN348" i="4"/>
  <c r="DR348" i="4"/>
  <c r="DS348" i="4"/>
  <c r="DT348" i="4"/>
  <c r="DZ348" i="4"/>
  <c r="EF348" i="4"/>
  <c r="EI349" i="4" s="1"/>
  <c r="EG348" i="4"/>
  <c r="F201" i="34"/>
  <c r="E201" i="34"/>
  <c r="G289" i="34"/>
  <c r="E289" i="34"/>
  <c r="W289" i="34"/>
  <c r="I289" i="34"/>
  <c r="N289" i="34" s="1"/>
  <c r="D109" i="34"/>
  <c r="T109" i="34"/>
  <c r="V109" i="34"/>
  <c r="O109" i="16"/>
  <c r="DD347" i="4"/>
  <c r="DE347" i="4"/>
  <c r="DL347" i="4"/>
  <c r="DM347" i="4"/>
  <c r="DN347" i="4"/>
  <c r="DO347" i="4"/>
  <c r="DR347" i="4"/>
  <c r="DS347" i="4"/>
  <c r="DT347" i="4"/>
  <c r="FF347" i="4" s="1"/>
  <c r="DZ347" i="4"/>
  <c r="EF347" i="4"/>
  <c r="EG347" i="4"/>
  <c r="I280" i="34"/>
  <c r="N280" i="34" s="1"/>
  <c r="G280" i="34"/>
  <c r="I281" i="34"/>
  <c r="N281" i="34" s="1"/>
  <c r="G281" i="34"/>
  <c r="I282" i="34"/>
  <c r="N282" i="34" s="1"/>
  <c r="G282" i="34"/>
  <c r="I283" i="34"/>
  <c r="N283" i="34" s="1"/>
  <c r="G283" i="34"/>
  <c r="G284" i="34"/>
  <c r="I284" i="34"/>
  <c r="N284" i="34" s="1"/>
  <c r="G285" i="34"/>
  <c r="I285" i="34"/>
  <c r="N285" i="34" s="1"/>
  <c r="Z285" i="34" s="1"/>
  <c r="I286" i="34"/>
  <c r="N286" i="34" s="1"/>
  <c r="Z286" i="34" s="1"/>
  <c r="G286" i="34"/>
  <c r="I287" i="34"/>
  <c r="N287" i="34" s="1"/>
  <c r="G287" i="34"/>
  <c r="G288" i="34"/>
  <c r="T7" i="34"/>
  <c r="U7" i="34"/>
  <c r="V7" i="34"/>
  <c r="T8" i="34"/>
  <c r="U8" i="34"/>
  <c r="V8" i="34"/>
  <c r="T9" i="34"/>
  <c r="U9" i="34"/>
  <c r="V9" i="34"/>
  <c r="T10" i="34"/>
  <c r="U10" i="34"/>
  <c r="V10" i="34"/>
  <c r="T11" i="34"/>
  <c r="U11" i="34"/>
  <c r="V11" i="34"/>
  <c r="T12" i="34"/>
  <c r="U12" i="34"/>
  <c r="V12" i="34"/>
  <c r="T13" i="34"/>
  <c r="U13" i="34"/>
  <c r="V13" i="34"/>
  <c r="T14" i="34"/>
  <c r="U14" i="34"/>
  <c r="V14" i="34"/>
  <c r="T15" i="34"/>
  <c r="U15" i="34"/>
  <c r="V15" i="34"/>
  <c r="T16" i="34"/>
  <c r="U16" i="34"/>
  <c r="V16" i="34"/>
  <c r="T17" i="34"/>
  <c r="U17" i="34"/>
  <c r="V17" i="34"/>
  <c r="T18" i="34"/>
  <c r="U18" i="34"/>
  <c r="V18" i="34"/>
  <c r="T20" i="34"/>
  <c r="U20" i="34"/>
  <c r="V20" i="34"/>
  <c r="T21" i="34"/>
  <c r="U21" i="34"/>
  <c r="V21" i="34"/>
  <c r="T22" i="34"/>
  <c r="U22" i="34"/>
  <c r="V22" i="34"/>
  <c r="T23" i="34"/>
  <c r="U23" i="34"/>
  <c r="V23" i="34"/>
  <c r="T24" i="34"/>
  <c r="U24" i="34"/>
  <c r="V24" i="34"/>
  <c r="T25" i="34"/>
  <c r="U25" i="34"/>
  <c r="V25" i="34"/>
  <c r="T26" i="34"/>
  <c r="U26" i="34"/>
  <c r="V26" i="34"/>
  <c r="T27" i="34"/>
  <c r="U27" i="34"/>
  <c r="V27" i="34"/>
  <c r="T28" i="34"/>
  <c r="U28" i="34"/>
  <c r="V28" i="34"/>
  <c r="T29" i="34"/>
  <c r="U29" i="34"/>
  <c r="V29" i="34"/>
  <c r="T30" i="34"/>
  <c r="U30" i="34"/>
  <c r="V30" i="34"/>
  <c r="T31" i="34"/>
  <c r="U31" i="34"/>
  <c r="V31" i="34"/>
  <c r="T33" i="34"/>
  <c r="U33" i="34"/>
  <c r="V33" i="34"/>
  <c r="T34" i="34"/>
  <c r="U34" i="34"/>
  <c r="V34" i="34"/>
  <c r="T35" i="34"/>
  <c r="U35" i="34"/>
  <c r="V35" i="34"/>
  <c r="T36" i="34"/>
  <c r="U36" i="34"/>
  <c r="V36" i="34"/>
  <c r="T37" i="34"/>
  <c r="U37" i="34"/>
  <c r="V37" i="34"/>
  <c r="T38" i="34"/>
  <c r="U38" i="34"/>
  <c r="V38" i="34"/>
  <c r="T39" i="34"/>
  <c r="U39" i="34"/>
  <c r="V39" i="34"/>
  <c r="T40" i="34"/>
  <c r="U40" i="34"/>
  <c r="V40" i="34"/>
  <c r="T41" i="34"/>
  <c r="U41" i="34"/>
  <c r="V41" i="34"/>
  <c r="T42" i="34"/>
  <c r="U42" i="34"/>
  <c r="V42" i="34"/>
  <c r="T43" i="34"/>
  <c r="U43" i="34"/>
  <c r="V43" i="34"/>
  <c r="T44" i="34"/>
  <c r="U44" i="34"/>
  <c r="V44" i="34"/>
  <c r="T46" i="34"/>
  <c r="U46" i="34"/>
  <c r="V46" i="34"/>
  <c r="T47" i="34"/>
  <c r="U47" i="34"/>
  <c r="V47" i="34"/>
  <c r="T48" i="34"/>
  <c r="U48" i="34"/>
  <c r="V48" i="34"/>
  <c r="T49" i="34"/>
  <c r="U49" i="34"/>
  <c r="V49" i="34"/>
  <c r="T50" i="34"/>
  <c r="U50" i="34"/>
  <c r="V50" i="34"/>
  <c r="T51" i="34"/>
  <c r="U51" i="34"/>
  <c r="V51" i="34"/>
  <c r="T52" i="34"/>
  <c r="U52" i="34"/>
  <c r="V52" i="34"/>
  <c r="T53" i="34"/>
  <c r="U53" i="34"/>
  <c r="V53" i="34"/>
  <c r="T54" i="34"/>
  <c r="U54" i="34"/>
  <c r="V54" i="34"/>
  <c r="T55" i="34"/>
  <c r="U55" i="34"/>
  <c r="V55" i="34"/>
  <c r="T56" i="34"/>
  <c r="U56" i="34"/>
  <c r="V56" i="34"/>
  <c r="T57" i="34"/>
  <c r="U57" i="34"/>
  <c r="V57" i="34"/>
  <c r="D59" i="34"/>
  <c r="T59" i="34"/>
  <c r="U59" i="34"/>
  <c r="V59" i="34"/>
  <c r="D60" i="34"/>
  <c r="T60" i="34"/>
  <c r="U60" i="34"/>
  <c r="V60" i="34"/>
  <c r="D61" i="34"/>
  <c r="T61" i="34"/>
  <c r="U61" i="34"/>
  <c r="V61" i="34"/>
  <c r="D62" i="34"/>
  <c r="T62" i="34"/>
  <c r="U62" i="34"/>
  <c r="V62" i="34"/>
  <c r="D63" i="34"/>
  <c r="T63" i="34"/>
  <c r="U63" i="34"/>
  <c r="V63" i="34"/>
  <c r="D64" i="34"/>
  <c r="T64" i="34"/>
  <c r="U64" i="34"/>
  <c r="V64" i="34"/>
  <c r="D65" i="34"/>
  <c r="T65" i="34"/>
  <c r="U65" i="34"/>
  <c r="V65" i="34"/>
  <c r="D66" i="34"/>
  <c r="T66" i="34"/>
  <c r="U66" i="34"/>
  <c r="V66" i="34"/>
  <c r="D67" i="34"/>
  <c r="T67" i="34"/>
  <c r="U67" i="34"/>
  <c r="V67" i="34"/>
  <c r="D68" i="34"/>
  <c r="T68" i="34"/>
  <c r="U68" i="34"/>
  <c r="V68" i="34"/>
  <c r="D69" i="34"/>
  <c r="T69" i="34"/>
  <c r="U69" i="34"/>
  <c r="V69" i="34"/>
  <c r="D70" i="34"/>
  <c r="T70" i="34"/>
  <c r="U70" i="34"/>
  <c r="V70" i="34"/>
  <c r="D72" i="34"/>
  <c r="T72" i="34"/>
  <c r="U72" i="34"/>
  <c r="V72" i="34"/>
  <c r="D73" i="34"/>
  <c r="T73" i="34"/>
  <c r="U73" i="34"/>
  <c r="V73" i="34"/>
  <c r="D74" i="34"/>
  <c r="T74" i="34"/>
  <c r="U74" i="34"/>
  <c r="V74" i="34"/>
  <c r="D75" i="34"/>
  <c r="T75" i="34"/>
  <c r="U75" i="34"/>
  <c r="V75" i="34"/>
  <c r="D76" i="34"/>
  <c r="T76" i="34"/>
  <c r="U76" i="34"/>
  <c r="V76" i="34"/>
  <c r="D77" i="34"/>
  <c r="T77" i="34"/>
  <c r="U77" i="34"/>
  <c r="V77" i="34"/>
  <c r="D78" i="34"/>
  <c r="T78" i="34"/>
  <c r="U78" i="34"/>
  <c r="V78" i="34"/>
  <c r="D79" i="34"/>
  <c r="T79" i="34"/>
  <c r="U79" i="34"/>
  <c r="V79" i="34"/>
  <c r="D80" i="34"/>
  <c r="T80" i="34"/>
  <c r="U80" i="34"/>
  <c r="V80" i="34"/>
  <c r="D81" i="34"/>
  <c r="T81" i="34"/>
  <c r="U81" i="34"/>
  <c r="V81" i="34"/>
  <c r="D82" i="34"/>
  <c r="T82" i="34"/>
  <c r="U82" i="34"/>
  <c r="V82" i="34"/>
  <c r="D83" i="34"/>
  <c r="T83" i="34"/>
  <c r="U83" i="34"/>
  <c r="V83" i="34"/>
  <c r="D85" i="34"/>
  <c r="T85" i="34"/>
  <c r="V85" i="34"/>
  <c r="D86" i="34"/>
  <c r="T86" i="34"/>
  <c r="V86" i="34"/>
  <c r="D87" i="34"/>
  <c r="T87" i="34"/>
  <c r="V87" i="34"/>
  <c r="D88" i="34"/>
  <c r="T88" i="34"/>
  <c r="V88" i="34"/>
  <c r="D89" i="34"/>
  <c r="T89" i="34"/>
  <c r="V89" i="34"/>
  <c r="D90" i="34"/>
  <c r="T90" i="34"/>
  <c r="V90" i="34"/>
  <c r="D91" i="34"/>
  <c r="T91" i="34"/>
  <c r="V91" i="34"/>
  <c r="D92" i="34"/>
  <c r="T92" i="34"/>
  <c r="V92" i="34"/>
  <c r="D93" i="34"/>
  <c r="T93" i="34"/>
  <c r="V93" i="34"/>
  <c r="D94" i="34"/>
  <c r="T94" i="34"/>
  <c r="V94" i="34"/>
  <c r="D95" i="34"/>
  <c r="T95" i="34"/>
  <c r="V95" i="34"/>
  <c r="D96" i="34"/>
  <c r="T96" i="34"/>
  <c r="V96" i="34"/>
  <c r="D98" i="34"/>
  <c r="T98" i="34"/>
  <c r="V98" i="34"/>
  <c r="D99" i="34"/>
  <c r="T99" i="34"/>
  <c r="V99" i="34"/>
  <c r="D100" i="34"/>
  <c r="T100" i="34"/>
  <c r="V100" i="34"/>
  <c r="D101" i="34"/>
  <c r="T101" i="34"/>
  <c r="V101" i="34"/>
  <c r="D102" i="34"/>
  <c r="T102" i="34"/>
  <c r="V102" i="34"/>
  <c r="D103" i="34"/>
  <c r="T103" i="34"/>
  <c r="V103" i="34"/>
  <c r="D104" i="34"/>
  <c r="T104" i="34"/>
  <c r="V104" i="34"/>
  <c r="D105" i="34"/>
  <c r="T105" i="34"/>
  <c r="V105" i="34"/>
  <c r="D106" i="34"/>
  <c r="T106" i="34"/>
  <c r="V106" i="34"/>
  <c r="D107" i="34"/>
  <c r="T107" i="34"/>
  <c r="V107" i="34"/>
  <c r="D108" i="34"/>
  <c r="T108" i="34"/>
  <c r="V108" i="34"/>
  <c r="E197" i="34"/>
  <c r="F197" i="34"/>
  <c r="E198" i="34"/>
  <c r="F198" i="34"/>
  <c r="E199" i="34"/>
  <c r="F199" i="34"/>
  <c r="E200" i="34"/>
  <c r="F200" i="34"/>
  <c r="W209" i="34"/>
  <c r="W210" i="34"/>
  <c r="W211" i="34"/>
  <c r="W213" i="34"/>
  <c r="W214" i="34"/>
  <c r="W215" i="34"/>
  <c r="W216" i="34"/>
  <c r="G217" i="34"/>
  <c r="I217" i="34"/>
  <c r="N217" i="34" s="1"/>
  <c r="W217" i="34"/>
  <c r="W218" i="34"/>
  <c r="W219" i="34"/>
  <c r="W220" i="34"/>
  <c r="W221" i="34"/>
  <c r="W223" i="34"/>
  <c r="W224" i="34"/>
  <c r="I226" i="34"/>
  <c r="N226" i="34" s="1"/>
  <c r="R226" i="34" s="1"/>
  <c r="W226" i="34"/>
  <c r="I227" i="34"/>
  <c r="N227" i="34" s="1"/>
  <c r="R227" i="34" s="1"/>
  <c r="W227" i="34"/>
  <c r="I228" i="34"/>
  <c r="N228" i="34" s="1"/>
  <c r="R228" i="34" s="1"/>
  <c r="W228" i="34"/>
  <c r="I229" i="34"/>
  <c r="N229" i="34" s="1"/>
  <c r="W229" i="34"/>
  <c r="I230" i="34"/>
  <c r="N230" i="34" s="1"/>
  <c r="R230" i="34" s="1"/>
  <c r="W230" i="34"/>
  <c r="I231" i="34"/>
  <c r="N231" i="34" s="1"/>
  <c r="W231" i="34"/>
  <c r="I232" i="34"/>
  <c r="N232" i="34" s="1"/>
  <c r="W232" i="34"/>
  <c r="I233" i="34"/>
  <c r="N233" i="34" s="1"/>
  <c r="R233" i="34" s="1"/>
  <c r="W233" i="34"/>
  <c r="I234" i="34"/>
  <c r="N234" i="34" s="1"/>
  <c r="R234" i="34" s="1"/>
  <c r="W234" i="34"/>
  <c r="I235" i="34"/>
  <c r="N235" i="34" s="1"/>
  <c r="W235" i="34"/>
  <c r="I236" i="34"/>
  <c r="N236" i="34" s="1"/>
  <c r="R236" i="34" s="1"/>
  <c r="W236" i="34"/>
  <c r="I237" i="34"/>
  <c r="N237" i="34" s="1"/>
  <c r="R237" i="34" s="1"/>
  <c r="W237" i="34"/>
  <c r="G239" i="34"/>
  <c r="C239" i="34" s="1"/>
  <c r="I239" i="34"/>
  <c r="N239" i="34" s="1"/>
  <c r="Z239" i="34" s="1"/>
  <c r="W239" i="34"/>
  <c r="G240" i="34"/>
  <c r="C240" i="34" s="1"/>
  <c r="I240" i="34"/>
  <c r="N240" i="34" s="1"/>
  <c r="W240" i="34"/>
  <c r="G241" i="34"/>
  <c r="C241" i="34" s="1"/>
  <c r="I241" i="34"/>
  <c r="N241" i="34" s="1"/>
  <c r="W241" i="34"/>
  <c r="G242" i="34"/>
  <c r="C242" i="34" s="1"/>
  <c r="W242" i="34"/>
  <c r="G243" i="34"/>
  <c r="C243" i="34" s="1"/>
  <c r="I243" i="34"/>
  <c r="N243" i="34" s="1"/>
  <c r="W243" i="34"/>
  <c r="G244" i="34"/>
  <c r="I244" i="34"/>
  <c r="N244" i="34" s="1"/>
  <c r="Z244" i="34" s="1"/>
  <c r="W244" i="34"/>
  <c r="G245" i="34"/>
  <c r="C245" i="34" s="1"/>
  <c r="I245" i="34"/>
  <c r="N245" i="34" s="1"/>
  <c r="W245" i="34"/>
  <c r="G246" i="34"/>
  <c r="C246" i="34" s="1"/>
  <c r="I246" i="34"/>
  <c r="N246" i="34" s="1"/>
  <c r="W246" i="34"/>
  <c r="G247" i="34"/>
  <c r="C247" i="34" s="1"/>
  <c r="I247" i="34"/>
  <c r="N247" i="34" s="1"/>
  <c r="W247" i="34"/>
  <c r="G248" i="34"/>
  <c r="C248" i="34" s="1"/>
  <c r="I248" i="34"/>
  <c r="N248" i="34" s="1"/>
  <c r="W248" i="34"/>
  <c r="G249" i="34"/>
  <c r="C249" i="34" s="1"/>
  <c r="W249" i="34"/>
  <c r="G250" i="34"/>
  <c r="C250" i="34"/>
  <c r="I250" i="34"/>
  <c r="N250" i="34" s="1"/>
  <c r="W250" i="34"/>
  <c r="G252" i="34"/>
  <c r="C252" i="34" s="1"/>
  <c r="I252" i="34"/>
  <c r="N252" i="34" s="1"/>
  <c r="Z252" i="34" s="1"/>
  <c r="W252" i="34"/>
  <c r="G253" i="34"/>
  <c r="C253" i="34" s="1"/>
  <c r="I253" i="34"/>
  <c r="N253" i="34" s="1"/>
  <c r="W253" i="34"/>
  <c r="G254" i="34"/>
  <c r="C254" i="34" s="1"/>
  <c r="I254" i="34"/>
  <c r="N254" i="34" s="1"/>
  <c r="W254" i="34"/>
  <c r="G255" i="34"/>
  <c r="C255" i="34" s="1"/>
  <c r="I255" i="34"/>
  <c r="N255" i="34" s="1"/>
  <c r="W255" i="34"/>
  <c r="G256" i="34"/>
  <c r="C256" i="34" s="1"/>
  <c r="I256" i="34"/>
  <c r="N256" i="34" s="1"/>
  <c r="W256" i="34"/>
  <c r="G257" i="34"/>
  <c r="C257" i="34" s="1"/>
  <c r="I257" i="34"/>
  <c r="N257" i="34" s="1"/>
  <c r="W257" i="34"/>
  <c r="G258" i="34"/>
  <c r="C258" i="34" s="1"/>
  <c r="I258" i="34"/>
  <c r="N258" i="34" s="1"/>
  <c r="W258" i="34"/>
  <c r="G259" i="34"/>
  <c r="C259" i="34" s="1"/>
  <c r="I259" i="34"/>
  <c r="N259" i="34" s="1"/>
  <c r="W259" i="34"/>
  <c r="G260" i="34"/>
  <c r="C260" i="34" s="1"/>
  <c r="I260" i="34"/>
  <c r="N260" i="34" s="1"/>
  <c r="Z260" i="34" s="1"/>
  <c r="W260" i="34"/>
  <c r="G261" i="34"/>
  <c r="C261" i="34" s="1"/>
  <c r="I261" i="34"/>
  <c r="N261" i="34" s="1"/>
  <c r="W261" i="34"/>
  <c r="G262" i="34"/>
  <c r="C262" i="34" s="1"/>
  <c r="I262" i="34"/>
  <c r="N262" i="34" s="1"/>
  <c r="Z262" i="34" s="1"/>
  <c r="W262" i="34"/>
  <c r="G263" i="34"/>
  <c r="C263" i="34" s="1"/>
  <c r="I263" i="34"/>
  <c r="N263" i="34" s="1"/>
  <c r="Z263" i="34" s="1"/>
  <c r="W263" i="34"/>
  <c r="G265" i="34"/>
  <c r="C265" i="34" s="1"/>
  <c r="I265" i="34"/>
  <c r="N265" i="34" s="1"/>
  <c r="W265" i="34"/>
  <c r="G266" i="34"/>
  <c r="C266" i="34" s="1"/>
  <c r="I266" i="34"/>
  <c r="N266" i="34" s="1"/>
  <c r="W266" i="34"/>
  <c r="G267" i="34"/>
  <c r="C267" i="34" s="1"/>
  <c r="I267" i="34"/>
  <c r="N267" i="34" s="1"/>
  <c r="R267" i="34" s="1"/>
  <c r="W267" i="34"/>
  <c r="G268" i="34"/>
  <c r="C268" i="34" s="1"/>
  <c r="I268" i="34"/>
  <c r="N268" i="34" s="1"/>
  <c r="W268" i="34"/>
  <c r="G269" i="34"/>
  <c r="C269" i="34" s="1"/>
  <c r="I269" i="34"/>
  <c r="N269" i="34" s="1"/>
  <c r="W269" i="34"/>
  <c r="G270" i="34"/>
  <c r="C270" i="34" s="1"/>
  <c r="I270" i="34"/>
  <c r="N270" i="34" s="1"/>
  <c r="W270" i="34"/>
  <c r="G271" i="34"/>
  <c r="C271" i="34" s="1"/>
  <c r="I271" i="34"/>
  <c r="N271" i="34" s="1"/>
  <c r="W271" i="34"/>
  <c r="G272" i="34"/>
  <c r="C272" i="34" s="1"/>
  <c r="I272" i="34"/>
  <c r="N272" i="34" s="1"/>
  <c r="Z272" i="34" s="1"/>
  <c r="W272" i="34"/>
  <c r="G273" i="34"/>
  <c r="C273" i="34" s="1"/>
  <c r="I273" i="34"/>
  <c r="N273" i="34" s="1"/>
  <c r="W273" i="34"/>
  <c r="G274" i="34"/>
  <c r="C274" i="34" s="1"/>
  <c r="I274" i="34"/>
  <c r="N274" i="34" s="1"/>
  <c r="W274" i="34"/>
  <c r="G275" i="34"/>
  <c r="C275" i="34" s="1"/>
  <c r="I275" i="34"/>
  <c r="N275" i="34" s="1"/>
  <c r="W275" i="34"/>
  <c r="G276" i="34"/>
  <c r="C276" i="34" s="1"/>
  <c r="I276" i="34"/>
  <c r="N276" i="34" s="1"/>
  <c r="W276" i="34"/>
  <c r="G278" i="34"/>
  <c r="C278" i="34" s="1"/>
  <c r="I278" i="34"/>
  <c r="N278" i="34" s="1"/>
  <c r="Z278" i="34" s="1"/>
  <c r="W278" i="34"/>
  <c r="G279" i="34"/>
  <c r="C279" i="34" s="1"/>
  <c r="I279" i="34"/>
  <c r="N279" i="34" s="1"/>
  <c r="Z279" i="34" s="1"/>
  <c r="W279" i="34"/>
  <c r="E280" i="34"/>
  <c r="C280" i="34" s="1"/>
  <c r="W280" i="34"/>
  <c r="E281" i="34"/>
  <c r="W281" i="34"/>
  <c r="E282" i="34"/>
  <c r="W282" i="34"/>
  <c r="E283" i="34"/>
  <c r="W283" i="34"/>
  <c r="E284" i="34"/>
  <c r="W284" i="34"/>
  <c r="E285" i="34"/>
  <c r="W285" i="34"/>
  <c r="E286" i="34"/>
  <c r="W286" i="34"/>
  <c r="E287" i="34"/>
  <c r="W287" i="34"/>
  <c r="E288" i="34"/>
  <c r="W288" i="34"/>
  <c r="D197" i="34"/>
  <c r="C244" i="34"/>
  <c r="C286" i="34"/>
  <c r="C281" i="34"/>
  <c r="O108" i="16"/>
  <c r="DD346" i="4"/>
  <c r="DE346" i="4"/>
  <c r="DL346" i="4"/>
  <c r="DM346" i="4"/>
  <c r="DN346" i="4"/>
  <c r="DO346" i="4"/>
  <c r="DR346" i="4"/>
  <c r="FH346" i="4" s="1"/>
  <c r="DS346" i="4"/>
  <c r="DT346" i="4"/>
  <c r="FF346" i="4" s="1"/>
  <c r="DZ346" i="4"/>
  <c r="EF346" i="4"/>
  <c r="EG346" i="4"/>
  <c r="EJ346" i="4" s="1"/>
  <c r="O107" i="16"/>
  <c r="DD345" i="4"/>
  <c r="DE345" i="4"/>
  <c r="DL345" i="4"/>
  <c r="DM345" i="4"/>
  <c r="DN345" i="4"/>
  <c r="DO345" i="4"/>
  <c r="DR345" i="4"/>
  <c r="DS345" i="4"/>
  <c r="DT345" i="4"/>
  <c r="FF345" i="4" s="1"/>
  <c r="DZ345" i="4"/>
  <c r="EF345" i="4"/>
  <c r="EG345" i="4"/>
  <c r="FH345" i="4"/>
  <c r="O106" i="16"/>
  <c r="DD344" i="4"/>
  <c r="DE344" i="4"/>
  <c r="DL344" i="4"/>
  <c r="DM344" i="4"/>
  <c r="DN344" i="4"/>
  <c r="DO344" i="4"/>
  <c r="DR344" i="4"/>
  <c r="DS344" i="4"/>
  <c r="DT344" i="4"/>
  <c r="DZ344" i="4"/>
  <c r="EF344" i="4"/>
  <c r="EG344" i="4"/>
  <c r="DZ343" i="4"/>
  <c r="DD343" i="4"/>
  <c r="DE342" i="4"/>
  <c r="DE341" i="4"/>
  <c r="DE340" i="4"/>
  <c r="DE339" i="4"/>
  <c r="DE338" i="4"/>
  <c r="DE337" i="4"/>
  <c r="DE336" i="4"/>
  <c r="DE335" i="4"/>
  <c r="DE334" i="4"/>
  <c r="DE333" i="4"/>
  <c r="DE332" i="4"/>
  <c r="DE331" i="4"/>
  <c r="DE330" i="4"/>
  <c r="DE329" i="4"/>
  <c r="DE328" i="4"/>
  <c r="DE327" i="4"/>
  <c r="DE326" i="4"/>
  <c r="DE325" i="4"/>
  <c r="DE324" i="4"/>
  <c r="DE323" i="4"/>
  <c r="DE322" i="4"/>
  <c r="DE321" i="4"/>
  <c r="DE320" i="4"/>
  <c r="DE319" i="4"/>
  <c r="DE318" i="4"/>
  <c r="DE317" i="4"/>
  <c r="DE316" i="4"/>
  <c r="DE315" i="4"/>
  <c r="DE314" i="4"/>
  <c r="DE313" i="4"/>
  <c r="DE312" i="4"/>
  <c r="DE311" i="4"/>
  <c r="DE310" i="4"/>
  <c r="DE309" i="4"/>
  <c r="DE308" i="4"/>
  <c r="DE307" i="4"/>
  <c r="DE306" i="4"/>
  <c r="DE305" i="4"/>
  <c r="DE304" i="4"/>
  <c r="DE303" i="4"/>
  <c r="DE302" i="4"/>
  <c r="DE301" i="4"/>
  <c r="DE300" i="4"/>
  <c r="DE299" i="4"/>
  <c r="DE298" i="4"/>
  <c r="DE297" i="4"/>
  <c r="DE296" i="4"/>
  <c r="DE295" i="4"/>
  <c r="DE294" i="4"/>
  <c r="DE293" i="4"/>
  <c r="DE292" i="4"/>
  <c r="DE291" i="4"/>
  <c r="DE290" i="4"/>
  <c r="DE289" i="4"/>
  <c r="DE288" i="4"/>
  <c r="DE287" i="4"/>
  <c r="DE286" i="4"/>
  <c r="DE285" i="4"/>
  <c r="DE284" i="4"/>
  <c r="DE283" i="4"/>
  <c r="DE282" i="4"/>
  <c r="DE281" i="4"/>
  <c r="DE280" i="4"/>
  <c r="DE279" i="4"/>
  <c r="DE278" i="4"/>
  <c r="DE277" i="4"/>
  <c r="DE276" i="4"/>
  <c r="DE275" i="4"/>
  <c r="DE274" i="4"/>
  <c r="DE273" i="4"/>
  <c r="DE272" i="4"/>
  <c r="DE271" i="4"/>
  <c r="DE270" i="4"/>
  <c r="DE269" i="4"/>
  <c r="DE268" i="4"/>
  <c r="DE267" i="4"/>
  <c r="DE266" i="4"/>
  <c r="DE265" i="4"/>
  <c r="DE264" i="4"/>
  <c r="DE263" i="4"/>
  <c r="DE262" i="4"/>
  <c r="DE261" i="4"/>
  <c r="DE260" i="4"/>
  <c r="DE259" i="4"/>
  <c r="DE258" i="4"/>
  <c r="DE257" i="4"/>
  <c r="DE256" i="4"/>
  <c r="DE255" i="4"/>
  <c r="DE254" i="4"/>
  <c r="DE253" i="4"/>
  <c r="DE252" i="4"/>
  <c r="DE251" i="4"/>
  <c r="DE250" i="4"/>
  <c r="DE249" i="4"/>
  <c r="DE248" i="4"/>
  <c r="DE247" i="4"/>
  <c r="DE246" i="4"/>
  <c r="DE245" i="4"/>
  <c r="DE244" i="4"/>
  <c r="DE243" i="4"/>
  <c r="DE242" i="4"/>
  <c r="DE241" i="4"/>
  <c r="DE240" i="4"/>
  <c r="DE239" i="4"/>
  <c r="DE238" i="4"/>
  <c r="DE237" i="4"/>
  <c r="DE236" i="4"/>
  <c r="DE235" i="4"/>
  <c r="DE234" i="4"/>
  <c r="DE233" i="4"/>
  <c r="DE232" i="4"/>
  <c r="DE231" i="4"/>
  <c r="DE230" i="4"/>
  <c r="DE229" i="4"/>
  <c r="DE228" i="4"/>
  <c r="DE227" i="4"/>
  <c r="DE226" i="4"/>
  <c r="DE225" i="4"/>
  <c r="DE224" i="4"/>
  <c r="DE223" i="4"/>
  <c r="DE222" i="4"/>
  <c r="DE221" i="4"/>
  <c r="DE220" i="4"/>
  <c r="DE219" i="4"/>
  <c r="DE218" i="4"/>
  <c r="DE217" i="4"/>
  <c r="DE216" i="4"/>
  <c r="DE215" i="4"/>
  <c r="DE214" i="4"/>
  <c r="DE213" i="4"/>
  <c r="DE212" i="4"/>
  <c r="DE211" i="4"/>
  <c r="DE210" i="4"/>
  <c r="DE209" i="4"/>
  <c r="DE208" i="4"/>
  <c r="DE207" i="4"/>
  <c r="DE206" i="4"/>
  <c r="DE205" i="4"/>
  <c r="DE204" i="4"/>
  <c r="DE203" i="4"/>
  <c r="DE202" i="4"/>
  <c r="DE201" i="4"/>
  <c r="DE200" i="4"/>
  <c r="DE199" i="4"/>
  <c r="DE198" i="4"/>
  <c r="DE197" i="4"/>
  <c r="DE196" i="4"/>
  <c r="DE195" i="4"/>
  <c r="DE194" i="4"/>
  <c r="DE193" i="4"/>
  <c r="DE192" i="4"/>
  <c r="DE191" i="4"/>
  <c r="DE190" i="4"/>
  <c r="DE189" i="4"/>
  <c r="DE188" i="4"/>
  <c r="DE187" i="4"/>
  <c r="DE186" i="4"/>
  <c r="DE185" i="4"/>
  <c r="DE184" i="4"/>
  <c r="DE183" i="4"/>
  <c r="DE182" i="4"/>
  <c r="DE181" i="4"/>
  <c r="DE180" i="4"/>
  <c r="DE179" i="4"/>
  <c r="DE178" i="4"/>
  <c r="DE177" i="4"/>
  <c r="DE176" i="4"/>
  <c r="DE175" i="4"/>
  <c r="DE174" i="4"/>
  <c r="DE173" i="4"/>
  <c r="DE172" i="4"/>
  <c r="DE171" i="4"/>
  <c r="DE170" i="4"/>
  <c r="DE169" i="4"/>
  <c r="DE168" i="4"/>
  <c r="DE167" i="4"/>
  <c r="DE166" i="4"/>
  <c r="DE165" i="4"/>
  <c r="DE164" i="4"/>
  <c r="DE163" i="4"/>
  <c r="DE162" i="4"/>
  <c r="DE161" i="4"/>
  <c r="DE160" i="4"/>
  <c r="DE159" i="4"/>
  <c r="DE158" i="4"/>
  <c r="DE157" i="4"/>
  <c r="DE156" i="4"/>
  <c r="DE155" i="4"/>
  <c r="DE154" i="4"/>
  <c r="DE153" i="4"/>
  <c r="DE152" i="4"/>
  <c r="DE151" i="4"/>
  <c r="DE150" i="4"/>
  <c r="DE149" i="4"/>
  <c r="DE148" i="4"/>
  <c r="DE147" i="4"/>
  <c r="DE146" i="4"/>
  <c r="DE145" i="4"/>
  <c r="DE144" i="4"/>
  <c r="DE143" i="4"/>
  <c r="DE142" i="4"/>
  <c r="DE141" i="4"/>
  <c r="DE140" i="4"/>
  <c r="DE139" i="4"/>
  <c r="DE138" i="4"/>
  <c r="DE137" i="4"/>
  <c r="DE136" i="4"/>
  <c r="DE135" i="4"/>
  <c r="DE134" i="4"/>
  <c r="DE133" i="4"/>
  <c r="DE132" i="4"/>
  <c r="DE131" i="4"/>
  <c r="DE130" i="4"/>
  <c r="DE129" i="4"/>
  <c r="DE128" i="4"/>
  <c r="DE127" i="4"/>
  <c r="DE126" i="4"/>
  <c r="DE125" i="4"/>
  <c r="DE124" i="4"/>
  <c r="DE123" i="4"/>
  <c r="DE122" i="4"/>
  <c r="DE121" i="4"/>
  <c r="DE120" i="4"/>
  <c r="DE119" i="4"/>
  <c r="DE118" i="4"/>
  <c r="DE117" i="4"/>
  <c r="DE116" i="4"/>
  <c r="DE115" i="4"/>
  <c r="DE114" i="4"/>
  <c r="DE113" i="4"/>
  <c r="DE112" i="4"/>
  <c r="DE111" i="4"/>
  <c r="DE110" i="4"/>
  <c r="DE109" i="4"/>
  <c r="DE108" i="4"/>
  <c r="DE107" i="4"/>
  <c r="DE106" i="4"/>
  <c r="DE105" i="4"/>
  <c r="DE104" i="4"/>
  <c r="DE103" i="4"/>
  <c r="DE102" i="4"/>
  <c r="DE101" i="4"/>
  <c r="DE100" i="4"/>
  <c r="DE99" i="4"/>
  <c r="DE98" i="4"/>
  <c r="DE97" i="4"/>
  <c r="DE96" i="4"/>
  <c r="DE95" i="4"/>
  <c r="DE94" i="4"/>
  <c r="DE93" i="4"/>
  <c r="DE92" i="4"/>
  <c r="DE91" i="4"/>
  <c r="DE90" i="4"/>
  <c r="DE89" i="4"/>
  <c r="DE88" i="4"/>
  <c r="DE87" i="4"/>
  <c r="DE86" i="4"/>
  <c r="DE85" i="4"/>
  <c r="DE84" i="4"/>
  <c r="DE83" i="4"/>
  <c r="DE82" i="4"/>
  <c r="DE81" i="4"/>
  <c r="DE80" i="4"/>
  <c r="DE79" i="4"/>
  <c r="DE78" i="4"/>
  <c r="DE77" i="4"/>
  <c r="DE76" i="4"/>
  <c r="DE75" i="4"/>
  <c r="DE74" i="4"/>
  <c r="DE73" i="4"/>
  <c r="DE72" i="4"/>
  <c r="DE71" i="4"/>
  <c r="DE70" i="4"/>
  <c r="DE69" i="4"/>
  <c r="DE68" i="4"/>
  <c r="DE67" i="4"/>
  <c r="DE66" i="4"/>
  <c r="DE65" i="4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DE22" i="4"/>
  <c r="DE21" i="4"/>
  <c r="DE20" i="4"/>
  <c r="DE19" i="4"/>
  <c r="DE18" i="4"/>
  <c r="DE17" i="4"/>
  <c r="DE16" i="4"/>
  <c r="DE15" i="4"/>
  <c r="DE14" i="4"/>
  <c r="DE13" i="4"/>
  <c r="DE12" i="4"/>
  <c r="DE343" i="4"/>
  <c r="O105" i="16"/>
  <c r="DL343" i="4"/>
  <c r="DM343" i="4"/>
  <c r="DN343" i="4"/>
  <c r="H105" i="34" s="1"/>
  <c r="DO343" i="4"/>
  <c r="DR343" i="4"/>
  <c r="DS343" i="4"/>
  <c r="DT343" i="4"/>
  <c r="FF343" i="4" s="1"/>
  <c r="EF343" i="4"/>
  <c r="EI344" i="4" s="1"/>
  <c r="EG343" i="4"/>
  <c r="J437" i="4"/>
  <c r="K437" i="4"/>
  <c r="L437" i="4"/>
  <c r="M437" i="4"/>
  <c r="N437" i="4"/>
  <c r="O437" i="4"/>
  <c r="P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BU437" i="4"/>
  <c r="BV437" i="4"/>
  <c r="BW437" i="4"/>
  <c r="BX437" i="4"/>
  <c r="BY437" i="4"/>
  <c r="BZ437" i="4"/>
  <c r="CA437" i="4"/>
  <c r="CB437" i="4"/>
  <c r="CC437" i="4"/>
  <c r="CD437" i="4"/>
  <c r="CE437" i="4"/>
  <c r="CF437" i="4"/>
  <c r="CG437" i="4"/>
  <c r="CH437" i="4"/>
  <c r="CI437" i="4"/>
  <c r="CJ437" i="4"/>
  <c r="CK437" i="4"/>
  <c r="H437" i="4"/>
  <c r="I437" i="4"/>
  <c r="G437" i="4"/>
  <c r="O104" i="16"/>
  <c r="DD342" i="4"/>
  <c r="DL342" i="4"/>
  <c r="DM342" i="4"/>
  <c r="DN342" i="4"/>
  <c r="DO342" i="4"/>
  <c r="DR342" i="4"/>
  <c r="DS342" i="4"/>
  <c r="DT342" i="4"/>
  <c r="FF342" i="4" s="1"/>
  <c r="DZ342" i="4"/>
  <c r="EF342" i="4"/>
  <c r="EG342" i="4"/>
  <c r="O103" i="16"/>
  <c r="DD341" i="4"/>
  <c r="DL341" i="4"/>
  <c r="DM341" i="4"/>
  <c r="DN341" i="4"/>
  <c r="DO341" i="4"/>
  <c r="FE341" i="4" s="1"/>
  <c r="DR341" i="4"/>
  <c r="DS341" i="4"/>
  <c r="DT341" i="4"/>
  <c r="FF341" i="4" s="1"/>
  <c r="DZ341" i="4"/>
  <c r="EF341" i="4"/>
  <c r="EG341" i="4"/>
  <c r="O102" i="16"/>
  <c r="DD340" i="4"/>
  <c r="DL340" i="4"/>
  <c r="DM340" i="4"/>
  <c r="DN340" i="4"/>
  <c r="DO340" i="4"/>
  <c r="FE340" i="4" s="1"/>
  <c r="DR340" i="4"/>
  <c r="DS340" i="4"/>
  <c r="DT340" i="4"/>
  <c r="DZ340" i="4"/>
  <c r="EF340" i="4"/>
  <c r="EH340" i="4" s="1"/>
  <c r="EG340" i="4"/>
  <c r="L102" i="34"/>
  <c r="FH340" i="4"/>
  <c r="DD339" i="4"/>
  <c r="DL339" i="4"/>
  <c r="DM339" i="4"/>
  <c r="DN339" i="4"/>
  <c r="DO339" i="4"/>
  <c r="FE339" i="4" s="1"/>
  <c r="DR339" i="4"/>
  <c r="DS339" i="4"/>
  <c r="DT339" i="4"/>
  <c r="FF339" i="4" s="1"/>
  <c r="DZ339" i="4"/>
  <c r="EF339" i="4"/>
  <c r="EG339" i="4"/>
  <c r="O101" i="16"/>
  <c r="O100" i="16"/>
  <c r="DD338" i="4"/>
  <c r="DL338" i="4"/>
  <c r="DM338" i="4"/>
  <c r="DN338" i="4"/>
  <c r="DO338" i="4"/>
  <c r="DR338" i="4"/>
  <c r="DS338" i="4"/>
  <c r="DT338" i="4"/>
  <c r="DZ338" i="4"/>
  <c r="EF338" i="4"/>
  <c r="EG338" i="4"/>
  <c r="DD337" i="4"/>
  <c r="DL337" i="4"/>
  <c r="DM337" i="4"/>
  <c r="FC337" i="4" s="1"/>
  <c r="DN337" i="4"/>
  <c r="DO337" i="4"/>
  <c r="DR337" i="4"/>
  <c r="DS337" i="4"/>
  <c r="DT337" i="4"/>
  <c r="FF337" i="4" s="1"/>
  <c r="DZ337" i="4"/>
  <c r="EF337" i="4"/>
  <c r="EI338" i="4" s="1"/>
  <c r="EG337" i="4"/>
  <c r="O99" i="16"/>
  <c r="FH337" i="4"/>
  <c r="FU294" i="4"/>
  <c r="FU295" i="4"/>
  <c r="FU296" i="4"/>
  <c r="FU297" i="4"/>
  <c r="FU298" i="4"/>
  <c r="FU299" i="4"/>
  <c r="FU300" i="4"/>
  <c r="FU301" i="4"/>
  <c r="FU302" i="4"/>
  <c r="FU303" i="4"/>
  <c r="FU304" i="4"/>
  <c r="FU305" i="4"/>
  <c r="FU306" i="4"/>
  <c r="FU307" i="4"/>
  <c r="FU308" i="4"/>
  <c r="FU309" i="4"/>
  <c r="FU310" i="4"/>
  <c r="FU311" i="4"/>
  <c r="FU312" i="4"/>
  <c r="FU313" i="4"/>
  <c r="FU314" i="4"/>
  <c r="FU315" i="4"/>
  <c r="FU316" i="4"/>
  <c r="FU317" i="4"/>
  <c r="FU318" i="4"/>
  <c r="FU319" i="4"/>
  <c r="FU320" i="4"/>
  <c r="FU321" i="4"/>
  <c r="FU322" i="4"/>
  <c r="FU323" i="4"/>
  <c r="FU324" i="4"/>
  <c r="FU325" i="4"/>
  <c r="FU326" i="4"/>
  <c r="FU327" i="4"/>
  <c r="FU328" i="4"/>
  <c r="FU329" i="4"/>
  <c r="FU330" i="4"/>
  <c r="FU331" i="4"/>
  <c r="FU332" i="4"/>
  <c r="FU333" i="4"/>
  <c r="FU334" i="4"/>
  <c r="FU335" i="4"/>
  <c r="FU336" i="4"/>
  <c r="FU293" i="4"/>
  <c r="O98" i="16"/>
  <c r="DD336" i="4"/>
  <c r="DL336" i="4"/>
  <c r="DM336" i="4"/>
  <c r="DN336" i="4"/>
  <c r="DO336" i="4"/>
  <c r="DR336" i="4"/>
  <c r="DS336" i="4"/>
  <c r="DT336" i="4"/>
  <c r="DZ336" i="4"/>
  <c r="EF336" i="4"/>
  <c r="EG336" i="4"/>
  <c r="O96" i="16"/>
  <c r="DD335" i="4"/>
  <c r="DL335" i="4"/>
  <c r="DM335" i="4"/>
  <c r="DN335" i="4"/>
  <c r="H96" i="34" s="1"/>
  <c r="DO335" i="4"/>
  <c r="DR335" i="4"/>
  <c r="DS335" i="4"/>
  <c r="DT335" i="4"/>
  <c r="FF335" i="4" s="1"/>
  <c r="DZ335" i="4"/>
  <c r="EF335" i="4"/>
  <c r="EI336" i="4" s="1"/>
  <c r="EG335" i="4"/>
  <c r="L96" i="34"/>
  <c r="O95" i="16"/>
  <c r="DD334" i="4"/>
  <c r="DL334" i="4"/>
  <c r="DM334" i="4"/>
  <c r="DN334" i="4"/>
  <c r="DO334" i="4"/>
  <c r="FE334" i="4" s="1"/>
  <c r="DR334" i="4"/>
  <c r="DS334" i="4"/>
  <c r="DT334" i="4"/>
  <c r="DZ334" i="4"/>
  <c r="EF334" i="4"/>
  <c r="EG334" i="4"/>
  <c r="DL333" i="4"/>
  <c r="O94" i="16"/>
  <c r="DD333" i="4"/>
  <c r="DM333" i="4"/>
  <c r="DN333" i="4"/>
  <c r="DO333" i="4"/>
  <c r="FE333" i="4" s="1"/>
  <c r="DR333" i="4"/>
  <c r="FH333" i="4" s="1"/>
  <c r="DS333" i="4"/>
  <c r="DT333" i="4"/>
  <c r="FF333" i="4" s="1"/>
  <c r="DZ333" i="4"/>
  <c r="EF333" i="4"/>
  <c r="EG333" i="4"/>
  <c r="O93" i="16"/>
  <c r="DD332" i="4"/>
  <c r="DL332" i="4"/>
  <c r="DM332" i="4"/>
  <c r="DN332" i="4"/>
  <c r="H93" i="34" s="1"/>
  <c r="DO332" i="4"/>
  <c r="FE332" i="4" s="1"/>
  <c r="DR332" i="4"/>
  <c r="DS332" i="4"/>
  <c r="DT332" i="4"/>
  <c r="FF332" i="4" s="1"/>
  <c r="DZ332" i="4"/>
  <c r="EF332" i="4"/>
  <c r="EG332" i="4"/>
  <c r="O92" i="16"/>
  <c r="DD331" i="4"/>
  <c r="DL331" i="4"/>
  <c r="DM331" i="4"/>
  <c r="DN331" i="4"/>
  <c r="DO331" i="4"/>
  <c r="DR331" i="4"/>
  <c r="DS331" i="4"/>
  <c r="DT331" i="4"/>
  <c r="FF331" i="4" s="1"/>
  <c r="DZ331" i="4"/>
  <c r="EF331" i="4"/>
  <c r="EI332" i="4" s="1"/>
  <c r="EG331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DZ329" i="4"/>
  <c r="DZ328" i="4"/>
  <c r="DZ327" i="4"/>
  <c r="DZ326" i="4"/>
  <c r="DZ325" i="4"/>
  <c r="DZ324" i="4"/>
  <c r="DZ323" i="4"/>
  <c r="DZ322" i="4"/>
  <c r="DZ321" i="4"/>
  <c r="DZ320" i="4"/>
  <c r="DZ319" i="4"/>
  <c r="DZ318" i="4"/>
  <c r="DZ317" i="4"/>
  <c r="DZ316" i="4"/>
  <c r="DZ315" i="4"/>
  <c r="DZ314" i="4"/>
  <c r="DZ313" i="4"/>
  <c r="DZ312" i="4"/>
  <c r="DZ311" i="4"/>
  <c r="DZ310" i="4"/>
  <c r="DZ309" i="4"/>
  <c r="DZ308" i="4"/>
  <c r="DZ307" i="4"/>
  <c r="DZ306" i="4"/>
  <c r="DZ305" i="4"/>
  <c r="DZ304" i="4"/>
  <c r="DZ303" i="4"/>
  <c r="DZ302" i="4"/>
  <c r="DZ301" i="4"/>
  <c r="DZ300" i="4"/>
  <c r="DZ299" i="4"/>
  <c r="DZ298" i="4"/>
  <c r="DZ297" i="4"/>
  <c r="DZ296" i="4"/>
  <c r="DZ295" i="4"/>
  <c r="DZ294" i="4"/>
  <c r="DZ293" i="4"/>
  <c r="DZ292" i="4"/>
  <c r="DZ291" i="4"/>
  <c r="DZ290" i="4"/>
  <c r="DZ289" i="4"/>
  <c r="DZ288" i="4"/>
  <c r="DZ287" i="4"/>
  <c r="DZ286" i="4"/>
  <c r="DZ285" i="4"/>
  <c r="DZ284" i="4"/>
  <c r="DZ283" i="4"/>
  <c r="DZ282" i="4"/>
  <c r="DZ281" i="4"/>
  <c r="DZ280" i="4"/>
  <c r="DZ279" i="4"/>
  <c r="DZ278" i="4"/>
  <c r="DZ277" i="4"/>
  <c r="DZ276" i="4"/>
  <c r="DZ275" i="4"/>
  <c r="DZ274" i="4"/>
  <c r="DZ273" i="4"/>
  <c r="DZ272" i="4"/>
  <c r="DZ271" i="4"/>
  <c r="DZ270" i="4"/>
  <c r="DZ269" i="4"/>
  <c r="DZ268" i="4"/>
  <c r="DZ267" i="4"/>
  <c r="DZ266" i="4"/>
  <c r="DZ265" i="4"/>
  <c r="DZ264" i="4"/>
  <c r="DZ263" i="4"/>
  <c r="DZ262" i="4"/>
  <c r="DZ261" i="4"/>
  <c r="DZ260" i="4"/>
  <c r="DZ259" i="4"/>
  <c r="DZ258" i="4"/>
  <c r="DZ257" i="4"/>
  <c r="DZ256" i="4"/>
  <c r="DZ255" i="4"/>
  <c r="DZ254" i="4"/>
  <c r="DZ253" i="4"/>
  <c r="DZ252" i="4"/>
  <c r="DZ251" i="4"/>
  <c r="DZ250" i="4"/>
  <c r="DZ249" i="4"/>
  <c r="DZ248" i="4"/>
  <c r="DZ247" i="4"/>
  <c r="DZ246" i="4"/>
  <c r="DZ245" i="4"/>
  <c r="DZ244" i="4"/>
  <c r="DZ243" i="4"/>
  <c r="DZ242" i="4"/>
  <c r="DZ241" i="4"/>
  <c r="DZ240" i="4"/>
  <c r="DZ239" i="4"/>
  <c r="DZ238" i="4"/>
  <c r="DZ237" i="4"/>
  <c r="DZ236" i="4"/>
  <c r="DZ235" i="4"/>
  <c r="DZ234" i="4"/>
  <c r="DZ233" i="4"/>
  <c r="DZ232" i="4"/>
  <c r="DZ231" i="4"/>
  <c r="DZ230" i="4"/>
  <c r="DZ229" i="4"/>
  <c r="DZ228" i="4"/>
  <c r="DZ227" i="4"/>
  <c r="DZ226" i="4"/>
  <c r="DZ225" i="4"/>
  <c r="DZ224" i="4"/>
  <c r="DZ223" i="4"/>
  <c r="DZ222" i="4"/>
  <c r="DZ221" i="4"/>
  <c r="DZ220" i="4"/>
  <c r="DZ219" i="4"/>
  <c r="DZ218" i="4"/>
  <c r="DZ217" i="4"/>
  <c r="DZ216" i="4"/>
  <c r="DZ215" i="4"/>
  <c r="DZ214" i="4"/>
  <c r="DZ213" i="4"/>
  <c r="DZ212" i="4"/>
  <c r="DZ211" i="4"/>
  <c r="DZ210" i="4"/>
  <c r="DZ209" i="4"/>
  <c r="DZ208" i="4"/>
  <c r="DZ207" i="4"/>
  <c r="DZ206" i="4"/>
  <c r="DZ205" i="4"/>
  <c r="DZ204" i="4"/>
  <c r="DZ203" i="4"/>
  <c r="DZ202" i="4"/>
  <c r="DZ201" i="4"/>
  <c r="DZ200" i="4"/>
  <c r="DZ199" i="4"/>
  <c r="DZ198" i="4"/>
  <c r="DZ197" i="4"/>
  <c r="DZ196" i="4"/>
  <c r="DZ195" i="4"/>
  <c r="DZ194" i="4"/>
  <c r="DZ193" i="4"/>
  <c r="DZ192" i="4"/>
  <c r="DZ191" i="4"/>
  <c r="DZ190" i="4"/>
  <c r="DZ189" i="4"/>
  <c r="DZ188" i="4"/>
  <c r="DZ187" i="4"/>
  <c r="DZ186" i="4"/>
  <c r="DZ185" i="4"/>
  <c r="DZ184" i="4"/>
  <c r="DZ183" i="4"/>
  <c r="DZ182" i="4"/>
  <c r="DZ181" i="4"/>
  <c r="DZ180" i="4"/>
  <c r="DZ179" i="4"/>
  <c r="DZ178" i="4"/>
  <c r="DZ177" i="4"/>
  <c r="DZ176" i="4"/>
  <c r="DZ175" i="4"/>
  <c r="DZ174" i="4"/>
  <c r="DZ173" i="4"/>
  <c r="DZ172" i="4"/>
  <c r="DZ171" i="4"/>
  <c r="DZ170" i="4"/>
  <c r="DZ169" i="4"/>
  <c r="DZ168" i="4"/>
  <c r="DZ167" i="4"/>
  <c r="DZ166" i="4"/>
  <c r="DZ165" i="4"/>
  <c r="DZ164" i="4"/>
  <c r="DZ163" i="4"/>
  <c r="DZ162" i="4"/>
  <c r="DZ161" i="4"/>
  <c r="DZ160" i="4"/>
  <c r="DZ159" i="4"/>
  <c r="DZ158" i="4"/>
  <c r="DZ157" i="4"/>
  <c r="DZ156" i="4"/>
  <c r="DZ155" i="4"/>
  <c r="DZ154" i="4"/>
  <c r="DZ153" i="4"/>
  <c r="DZ152" i="4"/>
  <c r="DZ151" i="4"/>
  <c r="DZ150" i="4"/>
  <c r="DZ149" i="4"/>
  <c r="DZ148" i="4"/>
  <c r="DZ147" i="4"/>
  <c r="DZ146" i="4"/>
  <c r="DZ145" i="4"/>
  <c r="DZ144" i="4"/>
  <c r="DZ143" i="4"/>
  <c r="DZ142" i="4"/>
  <c r="DZ141" i="4"/>
  <c r="DZ140" i="4"/>
  <c r="DZ139" i="4"/>
  <c r="DZ138" i="4"/>
  <c r="DZ137" i="4"/>
  <c r="DZ136" i="4"/>
  <c r="DZ135" i="4"/>
  <c r="DZ134" i="4"/>
  <c r="DZ133" i="4"/>
  <c r="DZ132" i="4"/>
  <c r="DZ131" i="4"/>
  <c r="DZ130" i="4"/>
  <c r="DZ129" i="4"/>
  <c r="DZ128" i="4"/>
  <c r="DZ127" i="4"/>
  <c r="DZ126" i="4"/>
  <c r="DZ125" i="4"/>
  <c r="DZ124" i="4"/>
  <c r="DZ123" i="4"/>
  <c r="DZ122" i="4"/>
  <c r="DZ121" i="4"/>
  <c r="DZ120" i="4"/>
  <c r="DZ119" i="4"/>
  <c r="DZ118" i="4"/>
  <c r="DZ117" i="4"/>
  <c r="DZ116" i="4"/>
  <c r="DZ115" i="4"/>
  <c r="DZ114" i="4"/>
  <c r="DZ113" i="4"/>
  <c r="DZ112" i="4"/>
  <c r="DZ111" i="4"/>
  <c r="DZ110" i="4"/>
  <c r="DZ109" i="4"/>
  <c r="DZ108" i="4"/>
  <c r="DZ107" i="4"/>
  <c r="DZ106" i="4"/>
  <c r="DZ105" i="4"/>
  <c r="DZ104" i="4"/>
  <c r="DZ103" i="4"/>
  <c r="DZ102" i="4"/>
  <c r="DZ101" i="4"/>
  <c r="DZ100" i="4"/>
  <c r="DZ99" i="4"/>
  <c r="DZ98" i="4"/>
  <c r="DZ97" i="4"/>
  <c r="DZ96" i="4"/>
  <c r="DZ95" i="4"/>
  <c r="DZ94" i="4"/>
  <c r="DZ93" i="4"/>
  <c r="DZ92" i="4"/>
  <c r="DZ91" i="4"/>
  <c r="DZ90" i="4"/>
  <c r="DZ89" i="4"/>
  <c r="DZ88" i="4"/>
  <c r="DZ87" i="4"/>
  <c r="DZ86" i="4"/>
  <c r="DZ85" i="4"/>
  <c r="DZ84" i="4"/>
  <c r="DZ83" i="4"/>
  <c r="DZ82" i="4"/>
  <c r="DZ81" i="4"/>
  <c r="DZ80" i="4"/>
  <c r="DZ79" i="4"/>
  <c r="DZ78" i="4"/>
  <c r="DZ77" i="4"/>
  <c r="DZ76" i="4"/>
  <c r="DZ75" i="4"/>
  <c r="DZ74" i="4"/>
  <c r="DZ73" i="4"/>
  <c r="DZ72" i="4"/>
  <c r="DZ71" i="4"/>
  <c r="DZ70" i="4"/>
  <c r="DZ69" i="4"/>
  <c r="DZ68" i="4"/>
  <c r="DZ67" i="4"/>
  <c r="DZ66" i="4"/>
  <c r="DZ65" i="4"/>
  <c r="DZ64" i="4"/>
  <c r="DZ63" i="4"/>
  <c r="DZ62" i="4"/>
  <c r="DZ61" i="4"/>
  <c r="DZ60" i="4"/>
  <c r="DZ59" i="4"/>
  <c r="DZ58" i="4"/>
  <c r="DZ57" i="4"/>
  <c r="DZ56" i="4"/>
  <c r="DZ55" i="4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Z32" i="4"/>
  <c r="DZ31" i="4"/>
  <c r="DZ30" i="4"/>
  <c r="DZ29" i="4"/>
  <c r="DZ28" i="4"/>
  <c r="DZ27" i="4"/>
  <c r="DZ26" i="4"/>
  <c r="DZ25" i="4"/>
  <c r="DZ24" i="4"/>
  <c r="DZ23" i="4"/>
  <c r="DZ22" i="4"/>
  <c r="DZ21" i="4"/>
  <c r="DZ20" i="4"/>
  <c r="DZ19" i="4"/>
  <c r="DZ18" i="4"/>
  <c r="DZ17" i="4"/>
  <c r="DZ16" i="4"/>
  <c r="DZ15" i="4"/>
  <c r="DZ14" i="4"/>
  <c r="DZ13" i="4"/>
  <c r="DZ12" i="4"/>
  <c r="DZ330" i="4"/>
  <c r="EJ332" i="4"/>
  <c r="FC331" i="4"/>
  <c r="O91" i="16"/>
  <c r="DD330" i="4"/>
  <c r="DL330" i="4"/>
  <c r="DM330" i="4"/>
  <c r="DN330" i="4"/>
  <c r="DO330" i="4"/>
  <c r="FE330" i="4" s="1"/>
  <c r="DR330" i="4"/>
  <c r="DS330" i="4"/>
  <c r="DT330" i="4"/>
  <c r="FF330" i="4"/>
  <c r="EF330" i="4"/>
  <c r="EG330" i="4"/>
  <c r="DR329" i="4"/>
  <c r="J90" i="34" s="1"/>
  <c r="DL329" i="4"/>
  <c r="DO329" i="4"/>
  <c r="O90" i="16"/>
  <c r="DD329" i="4"/>
  <c r="DM329" i="4"/>
  <c r="DN329" i="4"/>
  <c r="DP329" i="4"/>
  <c r="DS329" i="4"/>
  <c r="DT329" i="4"/>
  <c r="FF329" i="4" s="1"/>
  <c r="EF329" i="4"/>
  <c r="EH329" i="4" s="1"/>
  <c r="EG329" i="4"/>
  <c r="EJ330" i="4"/>
  <c r="O89" i="16"/>
  <c r="DD328" i="4"/>
  <c r="DL328" i="4"/>
  <c r="DM328" i="4"/>
  <c r="DN328" i="4"/>
  <c r="DO328" i="4"/>
  <c r="DP328" i="4"/>
  <c r="DR328" i="4"/>
  <c r="J89" i="34" s="1"/>
  <c r="DS328" i="4"/>
  <c r="DT328" i="4"/>
  <c r="FF328" i="4" s="1"/>
  <c r="EF328" i="4"/>
  <c r="EG328" i="4"/>
  <c r="DL327" i="4"/>
  <c r="O88" i="16"/>
  <c r="DD327" i="4"/>
  <c r="DM327" i="4"/>
  <c r="DN327" i="4"/>
  <c r="DO327" i="4"/>
  <c r="FE327" i="4" s="1"/>
  <c r="DP327" i="4"/>
  <c r="DR327" i="4"/>
  <c r="DS327" i="4"/>
  <c r="DT327" i="4"/>
  <c r="FF327" i="4" s="1"/>
  <c r="EF327" i="4"/>
  <c r="EG327" i="4"/>
  <c r="O87" i="16"/>
  <c r="DD326" i="4"/>
  <c r="DL326" i="4"/>
  <c r="DM326" i="4"/>
  <c r="DN326" i="4"/>
  <c r="DO326" i="4"/>
  <c r="DP326" i="4"/>
  <c r="DR326" i="4"/>
  <c r="DS326" i="4"/>
  <c r="DT326" i="4"/>
  <c r="FF326" i="4" s="1"/>
  <c r="EF326" i="4"/>
  <c r="EH326" i="4" s="1"/>
  <c r="EG326" i="4"/>
  <c r="O86" i="16"/>
  <c r="DD325" i="4"/>
  <c r="DL325" i="4"/>
  <c r="DM325" i="4"/>
  <c r="DN325" i="4"/>
  <c r="DO325" i="4"/>
  <c r="DP325" i="4"/>
  <c r="DR325" i="4"/>
  <c r="DS325" i="4"/>
  <c r="DT325" i="4"/>
  <c r="FF325" i="4" s="1"/>
  <c r="EF325" i="4"/>
  <c r="EG325" i="4"/>
  <c r="EJ326" i="4" s="1"/>
  <c r="O85" i="16"/>
  <c r="DD324" i="4"/>
  <c r="DL324" i="4"/>
  <c r="DM324" i="4"/>
  <c r="DN324" i="4"/>
  <c r="DO324" i="4"/>
  <c r="FE324" i="4" s="1"/>
  <c r="DP324" i="4"/>
  <c r="DR324" i="4"/>
  <c r="J85" i="34" s="1"/>
  <c r="DS324" i="4"/>
  <c r="DT324" i="4"/>
  <c r="EF324" i="4"/>
  <c r="EI325" i="4" s="1"/>
  <c r="EG324" i="4"/>
  <c r="A324" i="4"/>
  <c r="A323" i="4"/>
  <c r="CY436" i="4"/>
  <c r="CX436" i="4"/>
  <c r="CW436" i="4"/>
  <c r="CV436" i="4"/>
  <c r="CU436" i="4"/>
  <c r="CT436" i="4"/>
  <c r="CK436" i="4"/>
  <c r="CJ436" i="4"/>
  <c r="CI436" i="4"/>
  <c r="CH436" i="4"/>
  <c r="CG436" i="4"/>
  <c r="CF436" i="4"/>
  <c r="CE436" i="4"/>
  <c r="CD436" i="4"/>
  <c r="CC436" i="4"/>
  <c r="CB436" i="4"/>
  <c r="CA436" i="4"/>
  <c r="BZ436" i="4"/>
  <c r="BX436" i="4"/>
  <c r="BW436" i="4"/>
  <c r="BV436" i="4"/>
  <c r="BU436" i="4"/>
  <c r="BT436" i="4"/>
  <c r="BS436" i="4"/>
  <c r="BR436" i="4"/>
  <c r="BQ436" i="4"/>
  <c r="BP436" i="4"/>
  <c r="BO436" i="4"/>
  <c r="BN436" i="4"/>
  <c r="BM436" i="4"/>
  <c r="BL436" i="4"/>
  <c r="BK436" i="4"/>
  <c r="BJ436" i="4"/>
  <c r="BI436" i="4"/>
  <c r="BH436" i="4"/>
  <c r="BG436" i="4"/>
  <c r="BF436" i="4"/>
  <c r="BE436" i="4"/>
  <c r="BD436" i="4"/>
  <c r="BC436" i="4"/>
  <c r="BB436" i="4"/>
  <c r="BA436" i="4"/>
  <c r="AZ436" i="4"/>
  <c r="AY436" i="4"/>
  <c r="AX436" i="4"/>
  <c r="AW436" i="4"/>
  <c r="AV436" i="4"/>
  <c r="AU436" i="4"/>
  <c r="AT436" i="4"/>
  <c r="AS436" i="4"/>
  <c r="AR436" i="4"/>
  <c r="AQ436" i="4"/>
  <c r="AP436" i="4"/>
  <c r="AO436" i="4"/>
  <c r="AN436" i="4"/>
  <c r="AM436" i="4"/>
  <c r="AL436" i="4"/>
  <c r="AK436" i="4"/>
  <c r="AJ436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N436" i="4"/>
  <c r="M436" i="4"/>
  <c r="L436" i="4"/>
  <c r="K436" i="4"/>
  <c r="J436" i="4"/>
  <c r="I436" i="4"/>
  <c r="H436" i="4"/>
  <c r="G436" i="4"/>
  <c r="N83" i="16"/>
  <c r="O83" i="16"/>
  <c r="EF323" i="4"/>
  <c r="EG323" i="4"/>
  <c r="DD323" i="4"/>
  <c r="DL323" i="4"/>
  <c r="DM323" i="4"/>
  <c r="DN323" i="4"/>
  <c r="DO323" i="4"/>
  <c r="DP323" i="4"/>
  <c r="I83" i="34" s="1"/>
  <c r="DR323" i="4"/>
  <c r="DS323" i="4"/>
  <c r="DT323" i="4"/>
  <c r="FF323" i="4" s="1"/>
  <c r="A321" i="4"/>
  <c r="A322" i="4"/>
  <c r="A320" i="4"/>
  <c r="FF324" i="4"/>
  <c r="DO319" i="4"/>
  <c r="FE319" i="4" s="1"/>
  <c r="DO320" i="4"/>
  <c r="FE320" i="4" s="1"/>
  <c r="DO321" i="4"/>
  <c r="DO322" i="4"/>
  <c r="DT317" i="4"/>
  <c r="FF317" i="4" s="1"/>
  <c r="DT318" i="4"/>
  <c r="FF318" i="4" s="1"/>
  <c r="DT319" i="4"/>
  <c r="DT320" i="4"/>
  <c r="DT321" i="4"/>
  <c r="FF321" i="4" s="1"/>
  <c r="DT322" i="4"/>
  <c r="FF322" i="4" s="1"/>
  <c r="DL312" i="4"/>
  <c r="DL313" i="4"/>
  <c r="DL314" i="4"/>
  <c r="DL315" i="4"/>
  <c r="DL316" i="4"/>
  <c r="DL317" i="4"/>
  <c r="DL318" i="4"/>
  <c r="DL319" i="4"/>
  <c r="DL320" i="4"/>
  <c r="DL321" i="4"/>
  <c r="DL322" i="4"/>
  <c r="DP312" i="4"/>
  <c r="I72" i="34" s="1"/>
  <c r="DP313" i="4"/>
  <c r="DP314" i="4"/>
  <c r="DP315" i="4"/>
  <c r="DP316" i="4"/>
  <c r="DP317" i="4"/>
  <c r="DP318" i="4"/>
  <c r="I78" i="34" s="1"/>
  <c r="DP319" i="4"/>
  <c r="DP320" i="4"/>
  <c r="DP321" i="4"/>
  <c r="DP322" i="4"/>
  <c r="N80" i="16"/>
  <c r="N81" i="16"/>
  <c r="N82" i="16"/>
  <c r="N79" i="16"/>
  <c r="N73" i="16"/>
  <c r="N74" i="16"/>
  <c r="N75" i="16"/>
  <c r="N76" i="16"/>
  <c r="N77" i="16"/>
  <c r="N78" i="16"/>
  <c r="N72" i="16"/>
  <c r="DS322" i="4"/>
  <c r="O82" i="16"/>
  <c r="DD322" i="4"/>
  <c r="DM322" i="4"/>
  <c r="DN322" i="4"/>
  <c r="DR322" i="4"/>
  <c r="EF322" i="4"/>
  <c r="EG322" i="4"/>
  <c r="A310" i="4"/>
  <c r="A311" i="4"/>
  <c r="A312" i="4"/>
  <c r="A313" i="4"/>
  <c r="A314" i="4"/>
  <c r="A315" i="4"/>
  <c r="A316" i="4"/>
  <c r="A317" i="4"/>
  <c r="A318" i="4"/>
  <c r="A319" i="4"/>
  <c r="A309" i="4"/>
  <c r="O81" i="16"/>
  <c r="DD321" i="4"/>
  <c r="DM321" i="4"/>
  <c r="DN321" i="4"/>
  <c r="DR321" i="4"/>
  <c r="DS321" i="4"/>
  <c r="EF321" i="4"/>
  <c r="EG321" i="4"/>
  <c r="O80" i="16"/>
  <c r="DD320" i="4"/>
  <c r="DM320" i="4"/>
  <c r="DN320" i="4"/>
  <c r="DR320" i="4"/>
  <c r="J80" i="34" s="1"/>
  <c r="DS320" i="4"/>
  <c r="EF320" i="4"/>
  <c r="EG320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6" i="4"/>
  <c r="DP67" i="4"/>
  <c r="DP68" i="4"/>
  <c r="DP69" i="4"/>
  <c r="DP70" i="4"/>
  <c r="DP71" i="4"/>
  <c r="DP72" i="4"/>
  <c r="DP73" i="4"/>
  <c r="DP74" i="4"/>
  <c r="DP75" i="4"/>
  <c r="DP76" i="4"/>
  <c r="DP77" i="4"/>
  <c r="DP78" i="4"/>
  <c r="DP79" i="4"/>
  <c r="DP80" i="4"/>
  <c r="DP81" i="4"/>
  <c r="DP82" i="4"/>
  <c r="DP83" i="4"/>
  <c r="DP84" i="4"/>
  <c r="DP85" i="4"/>
  <c r="DP86" i="4"/>
  <c r="DP87" i="4"/>
  <c r="DP88" i="4"/>
  <c r="DP89" i="4"/>
  <c r="DP90" i="4"/>
  <c r="DP91" i="4"/>
  <c r="DP92" i="4"/>
  <c r="DP93" i="4"/>
  <c r="DP94" i="4"/>
  <c r="DP95" i="4"/>
  <c r="DP96" i="4"/>
  <c r="DP97" i="4"/>
  <c r="DP98" i="4"/>
  <c r="DP99" i="4"/>
  <c r="DP100" i="4"/>
  <c r="DP101" i="4"/>
  <c r="DP102" i="4"/>
  <c r="DP103" i="4"/>
  <c r="DP104" i="4"/>
  <c r="DP105" i="4"/>
  <c r="DP106" i="4"/>
  <c r="DP107" i="4"/>
  <c r="DP108" i="4"/>
  <c r="DP109" i="4"/>
  <c r="DP110" i="4"/>
  <c r="DP111" i="4"/>
  <c r="DP112" i="4"/>
  <c r="DP113" i="4"/>
  <c r="DP114" i="4"/>
  <c r="DP115" i="4"/>
  <c r="DP116" i="4"/>
  <c r="DP117" i="4"/>
  <c r="DP118" i="4"/>
  <c r="DP119" i="4"/>
  <c r="DP120" i="4"/>
  <c r="DP121" i="4"/>
  <c r="DP122" i="4"/>
  <c r="DP123" i="4"/>
  <c r="DP124" i="4"/>
  <c r="DP125" i="4"/>
  <c r="DP126" i="4"/>
  <c r="DP127" i="4"/>
  <c r="DP128" i="4"/>
  <c r="DP129" i="4"/>
  <c r="DP130" i="4"/>
  <c r="DP131" i="4"/>
  <c r="DP132" i="4"/>
  <c r="DP133" i="4"/>
  <c r="DP134" i="4"/>
  <c r="DP135" i="4"/>
  <c r="DP136" i="4"/>
  <c r="DP137" i="4"/>
  <c r="DP138" i="4"/>
  <c r="DP139" i="4"/>
  <c r="DP140" i="4"/>
  <c r="DP141" i="4"/>
  <c r="DP142" i="4"/>
  <c r="DP143" i="4"/>
  <c r="DP144" i="4"/>
  <c r="DP145" i="4"/>
  <c r="DP146" i="4"/>
  <c r="DP147" i="4"/>
  <c r="DP148" i="4"/>
  <c r="DP149" i="4"/>
  <c r="DP150" i="4"/>
  <c r="DP151" i="4"/>
  <c r="DP152" i="4"/>
  <c r="DP153" i="4"/>
  <c r="DP154" i="4"/>
  <c r="DP155" i="4"/>
  <c r="DP156" i="4"/>
  <c r="DP157" i="4"/>
  <c r="DP158" i="4"/>
  <c r="DP159" i="4"/>
  <c r="DP160" i="4"/>
  <c r="DP161" i="4"/>
  <c r="DP162" i="4"/>
  <c r="DP163" i="4"/>
  <c r="DP164" i="4"/>
  <c r="DP165" i="4"/>
  <c r="DP166" i="4"/>
  <c r="DP167" i="4"/>
  <c r="DP168" i="4"/>
  <c r="DP169" i="4"/>
  <c r="DP170" i="4"/>
  <c r="DP171" i="4"/>
  <c r="DP172" i="4"/>
  <c r="DP173" i="4"/>
  <c r="DP174" i="4"/>
  <c r="DP175" i="4"/>
  <c r="DP176" i="4"/>
  <c r="DP177" i="4"/>
  <c r="DP178" i="4"/>
  <c r="DP179" i="4"/>
  <c r="DP180" i="4"/>
  <c r="DP181" i="4"/>
  <c r="DP182" i="4"/>
  <c r="DP183" i="4"/>
  <c r="DP184" i="4"/>
  <c r="DP185" i="4"/>
  <c r="DP186" i="4"/>
  <c r="DP187" i="4"/>
  <c r="DP188" i="4"/>
  <c r="DP189" i="4"/>
  <c r="DP190" i="4"/>
  <c r="DP191" i="4"/>
  <c r="DP192" i="4"/>
  <c r="DP193" i="4"/>
  <c r="DP194" i="4"/>
  <c r="DP195" i="4"/>
  <c r="DP196" i="4"/>
  <c r="DP197" i="4"/>
  <c r="DP198" i="4"/>
  <c r="DP199" i="4"/>
  <c r="DP200" i="4"/>
  <c r="DP201" i="4"/>
  <c r="DP202" i="4"/>
  <c r="DP203" i="4"/>
  <c r="DP204" i="4"/>
  <c r="DP205" i="4"/>
  <c r="DP206" i="4"/>
  <c r="DP207" i="4"/>
  <c r="DP208" i="4"/>
  <c r="DP209" i="4"/>
  <c r="DP210" i="4"/>
  <c r="DP211" i="4"/>
  <c r="DP212" i="4"/>
  <c r="DP213" i="4"/>
  <c r="DP214" i="4"/>
  <c r="DP215" i="4"/>
  <c r="DP216" i="4"/>
  <c r="DP217" i="4"/>
  <c r="DP218" i="4"/>
  <c r="DP219" i="4"/>
  <c r="DP220" i="4"/>
  <c r="DP221" i="4"/>
  <c r="DP222" i="4"/>
  <c r="DP223" i="4"/>
  <c r="DP224" i="4"/>
  <c r="DP225" i="4"/>
  <c r="DP226" i="4"/>
  <c r="DP227" i="4"/>
  <c r="DP228" i="4"/>
  <c r="DP229" i="4"/>
  <c r="DP230" i="4"/>
  <c r="DP231" i="4"/>
  <c r="DP232" i="4"/>
  <c r="DP233" i="4"/>
  <c r="DP234" i="4"/>
  <c r="DP235" i="4"/>
  <c r="DP236" i="4"/>
  <c r="DP237" i="4"/>
  <c r="DP238" i="4"/>
  <c r="DP239" i="4"/>
  <c r="DP240" i="4"/>
  <c r="DP241" i="4"/>
  <c r="DP242" i="4"/>
  <c r="DP243" i="4"/>
  <c r="DP244" i="4"/>
  <c r="DP245" i="4"/>
  <c r="DP246" i="4"/>
  <c r="DP247" i="4"/>
  <c r="DP248" i="4"/>
  <c r="DP249" i="4"/>
  <c r="DP250" i="4"/>
  <c r="DP251" i="4"/>
  <c r="DP252" i="4"/>
  <c r="DP253" i="4"/>
  <c r="I8" i="34" s="1"/>
  <c r="DP254" i="4"/>
  <c r="DP255" i="4"/>
  <c r="DP256" i="4"/>
  <c r="DP257" i="4"/>
  <c r="DP258" i="4"/>
  <c r="I13" i="34" s="1"/>
  <c r="DP259" i="4"/>
  <c r="DP260" i="4"/>
  <c r="I15" i="34" s="1"/>
  <c r="DP261" i="4"/>
  <c r="I16" i="34" s="1"/>
  <c r="DP262" i="4"/>
  <c r="DP263" i="4"/>
  <c r="DP264" i="4"/>
  <c r="DP265" i="4"/>
  <c r="DP266" i="4"/>
  <c r="DP267" i="4"/>
  <c r="DP268" i="4"/>
  <c r="DP269" i="4"/>
  <c r="DP270" i="4"/>
  <c r="DP271" i="4"/>
  <c r="DP272" i="4"/>
  <c r="DP273" i="4"/>
  <c r="DP274" i="4"/>
  <c r="DP275" i="4"/>
  <c r="DP276" i="4"/>
  <c r="DP277" i="4"/>
  <c r="I34" i="34" s="1"/>
  <c r="DP278" i="4"/>
  <c r="DP279" i="4"/>
  <c r="DP280" i="4"/>
  <c r="I37" i="34" s="1"/>
  <c r="DP281" i="4"/>
  <c r="DP282" i="4"/>
  <c r="DP283" i="4"/>
  <c r="DP284" i="4"/>
  <c r="I41" i="34" s="1"/>
  <c r="DP285" i="4"/>
  <c r="DP286" i="4"/>
  <c r="I43" i="34" s="1"/>
  <c r="DP287" i="4"/>
  <c r="DP288" i="4"/>
  <c r="I46" i="34" s="1"/>
  <c r="DP289" i="4"/>
  <c r="DP290" i="4"/>
  <c r="DP291" i="4"/>
  <c r="DP292" i="4"/>
  <c r="DP293" i="4"/>
  <c r="I51" i="34" s="1"/>
  <c r="DP294" i="4"/>
  <c r="DP295" i="4"/>
  <c r="DP296" i="4"/>
  <c r="I54" i="34" s="1"/>
  <c r="DP297" i="4"/>
  <c r="DP298" i="4"/>
  <c r="I56" i="34" s="1"/>
  <c r="DP299" i="4"/>
  <c r="DP300" i="4"/>
  <c r="DP301" i="4"/>
  <c r="DP302" i="4"/>
  <c r="DP303" i="4"/>
  <c r="DP304" i="4"/>
  <c r="I63" i="34" s="1"/>
  <c r="DP305" i="4"/>
  <c r="DP306" i="4"/>
  <c r="DP307" i="4"/>
  <c r="DP308" i="4"/>
  <c r="DP309" i="4"/>
  <c r="I68" i="34" s="1"/>
  <c r="DP310" i="4"/>
  <c r="DP311" i="4"/>
  <c r="I70" i="34" s="1"/>
  <c r="DP12" i="4"/>
  <c r="DD319" i="4"/>
  <c r="DR319" i="4"/>
  <c r="O79" i="16"/>
  <c r="EF319" i="4"/>
  <c r="EG319" i="4"/>
  <c r="DM319" i="4"/>
  <c r="DN319" i="4"/>
  <c r="DS319" i="4"/>
  <c r="DN318" i="4"/>
  <c r="DO318" i="4"/>
  <c r="FE318" i="4" s="1"/>
  <c r="EH322" i="4"/>
  <c r="O78" i="16"/>
  <c r="EF318" i="4"/>
  <c r="EG318" i="4"/>
  <c r="DM318" i="4"/>
  <c r="DR318" i="4"/>
  <c r="DS318" i="4"/>
  <c r="DD318" i="4"/>
  <c r="DD317" i="4"/>
  <c r="DO317" i="4"/>
  <c r="DS317" i="4"/>
  <c r="DR317" i="4"/>
  <c r="DN317" i="4"/>
  <c r="DM317" i="4"/>
  <c r="L78" i="34"/>
  <c r="O77" i="16"/>
  <c r="EF317" i="4"/>
  <c r="EI318" i="4" s="1"/>
  <c r="EG317" i="4"/>
  <c r="H435" i="4"/>
  <c r="G435" i="4"/>
  <c r="BZ411" i="4"/>
  <c r="DR316" i="4"/>
  <c r="O76" i="16"/>
  <c r="DD316" i="4"/>
  <c r="DF316" i="4" s="1"/>
  <c r="DM316" i="4"/>
  <c r="DN316" i="4"/>
  <c r="H76" i="34" s="1"/>
  <c r="DO316" i="4"/>
  <c r="FE316" i="4" s="1"/>
  <c r="DS316" i="4"/>
  <c r="DT316" i="4"/>
  <c r="EF316" i="4"/>
  <c r="EG316" i="4"/>
  <c r="O74" i="16"/>
  <c r="O75" i="16"/>
  <c r="DD314" i="4"/>
  <c r="DM314" i="4"/>
  <c r="DN314" i="4"/>
  <c r="DO314" i="4"/>
  <c r="DR314" i="4"/>
  <c r="DS314" i="4"/>
  <c r="DT314" i="4"/>
  <c r="EF314" i="4"/>
  <c r="EG314" i="4"/>
  <c r="DD315" i="4"/>
  <c r="DM315" i="4"/>
  <c r="DN315" i="4"/>
  <c r="DO315" i="4"/>
  <c r="DR315" i="4"/>
  <c r="DS315" i="4"/>
  <c r="L75" i="34" s="1"/>
  <c r="DT315" i="4"/>
  <c r="EF315" i="4"/>
  <c r="EG315" i="4"/>
  <c r="O73" i="16"/>
  <c r="O72" i="16"/>
  <c r="DD312" i="4"/>
  <c r="DM312" i="4"/>
  <c r="DN312" i="4"/>
  <c r="DO312" i="4"/>
  <c r="DR312" i="4"/>
  <c r="DS312" i="4"/>
  <c r="DT312" i="4"/>
  <c r="EF312" i="4"/>
  <c r="EG312" i="4"/>
  <c r="DD313" i="4"/>
  <c r="DM313" i="4"/>
  <c r="DN313" i="4"/>
  <c r="DO313" i="4"/>
  <c r="DR313" i="4"/>
  <c r="DS313" i="4"/>
  <c r="DT313" i="4"/>
  <c r="EF313" i="4"/>
  <c r="EG313" i="4"/>
  <c r="FH316" i="4"/>
  <c r="J76" i="34"/>
  <c r="N67" i="16"/>
  <c r="O67" i="16"/>
  <c r="N68" i="16"/>
  <c r="O68" i="16"/>
  <c r="N69" i="16"/>
  <c r="O69" i="16"/>
  <c r="N70" i="16"/>
  <c r="O70" i="16"/>
  <c r="EG308" i="4"/>
  <c r="EG309" i="4"/>
  <c r="EG310" i="4"/>
  <c r="EG311" i="4"/>
  <c r="EF308" i="4"/>
  <c r="EF309" i="4"/>
  <c r="EF310" i="4"/>
  <c r="EF3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83" i="4"/>
  <c r="DL84" i="4"/>
  <c r="DL85" i="4"/>
  <c r="DL86" i="4"/>
  <c r="DL87" i="4"/>
  <c r="DL88" i="4"/>
  <c r="DL89" i="4"/>
  <c r="DL90" i="4"/>
  <c r="DL91" i="4"/>
  <c r="DL92" i="4"/>
  <c r="DL93" i="4"/>
  <c r="DL94" i="4"/>
  <c r="DL95" i="4"/>
  <c r="DL96" i="4"/>
  <c r="DL97" i="4"/>
  <c r="DL98" i="4"/>
  <c r="DL99" i="4"/>
  <c r="DL100" i="4"/>
  <c r="DL101" i="4"/>
  <c r="DL102" i="4"/>
  <c r="DL103" i="4"/>
  <c r="DL104" i="4"/>
  <c r="DL105" i="4"/>
  <c r="DL106" i="4"/>
  <c r="DL107" i="4"/>
  <c r="DL108" i="4"/>
  <c r="DL109" i="4"/>
  <c r="DL110" i="4"/>
  <c r="DL111" i="4"/>
  <c r="DL112" i="4"/>
  <c r="DL113" i="4"/>
  <c r="DL114" i="4"/>
  <c r="DL115" i="4"/>
  <c r="DL116" i="4"/>
  <c r="DL117" i="4"/>
  <c r="DL118" i="4"/>
  <c r="DL119" i="4"/>
  <c r="DL120" i="4"/>
  <c r="DL121" i="4"/>
  <c r="DL122" i="4"/>
  <c r="DL123" i="4"/>
  <c r="DL124" i="4"/>
  <c r="DL125" i="4"/>
  <c r="DL126" i="4"/>
  <c r="DL127" i="4"/>
  <c r="DL128" i="4"/>
  <c r="DL129" i="4"/>
  <c r="DL130" i="4"/>
  <c r="DL131" i="4"/>
  <c r="DL132" i="4"/>
  <c r="DL133" i="4"/>
  <c r="DL134" i="4"/>
  <c r="DL135" i="4"/>
  <c r="DL136" i="4"/>
  <c r="DL137" i="4"/>
  <c r="DL138" i="4"/>
  <c r="DL139" i="4"/>
  <c r="DL140" i="4"/>
  <c r="DL141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154" i="4"/>
  <c r="DL155" i="4"/>
  <c r="DL156" i="4"/>
  <c r="DL157" i="4"/>
  <c r="DL158" i="4"/>
  <c r="DL159" i="4"/>
  <c r="DL160" i="4"/>
  <c r="DL161" i="4"/>
  <c r="DL162" i="4"/>
  <c r="DL163" i="4"/>
  <c r="DL164" i="4"/>
  <c r="DL165" i="4"/>
  <c r="DL166" i="4"/>
  <c r="DL167" i="4"/>
  <c r="DL168" i="4"/>
  <c r="DL169" i="4"/>
  <c r="DL170" i="4"/>
  <c r="DL171" i="4"/>
  <c r="DL172" i="4"/>
  <c r="DL173" i="4"/>
  <c r="DL174" i="4"/>
  <c r="DL175" i="4"/>
  <c r="DL176" i="4"/>
  <c r="DL177" i="4"/>
  <c r="DL178" i="4"/>
  <c r="DL179" i="4"/>
  <c r="DL180" i="4"/>
  <c r="DL181" i="4"/>
  <c r="DL182" i="4"/>
  <c r="DL183" i="4"/>
  <c r="DL184" i="4"/>
  <c r="DL185" i="4"/>
  <c r="DL186" i="4"/>
  <c r="DL187" i="4"/>
  <c r="DL188" i="4"/>
  <c r="DL189" i="4"/>
  <c r="DL190" i="4"/>
  <c r="DL191" i="4"/>
  <c r="DL192" i="4"/>
  <c r="DL193" i="4"/>
  <c r="DL194" i="4"/>
  <c r="DL195" i="4"/>
  <c r="DL196" i="4"/>
  <c r="DL197" i="4"/>
  <c r="DL198" i="4"/>
  <c r="DL199" i="4"/>
  <c r="DL200" i="4"/>
  <c r="DL201" i="4"/>
  <c r="DL202" i="4"/>
  <c r="DL203" i="4"/>
  <c r="DL204" i="4"/>
  <c r="DL205" i="4"/>
  <c r="DL206" i="4"/>
  <c r="DL207" i="4"/>
  <c r="DL208" i="4"/>
  <c r="DL209" i="4"/>
  <c r="DL210" i="4"/>
  <c r="DL211" i="4"/>
  <c r="DL212" i="4"/>
  <c r="DL213" i="4"/>
  <c r="DL214" i="4"/>
  <c r="DL215" i="4"/>
  <c r="DL216" i="4"/>
  <c r="DL217" i="4"/>
  <c r="DL218" i="4"/>
  <c r="DL219" i="4"/>
  <c r="DL220" i="4"/>
  <c r="DL221" i="4"/>
  <c r="DL222" i="4"/>
  <c r="DL223" i="4"/>
  <c r="DL224" i="4"/>
  <c r="DL225" i="4"/>
  <c r="DL226" i="4"/>
  <c r="DL227" i="4"/>
  <c r="DL228" i="4"/>
  <c r="DL229" i="4"/>
  <c r="DL230" i="4"/>
  <c r="DL231" i="4"/>
  <c r="DL232" i="4"/>
  <c r="DL233" i="4"/>
  <c r="DL234" i="4"/>
  <c r="DL235" i="4"/>
  <c r="DL236" i="4"/>
  <c r="DL237" i="4"/>
  <c r="DL238" i="4"/>
  <c r="DL239" i="4"/>
  <c r="DL240" i="4"/>
  <c r="DL241" i="4"/>
  <c r="DL242" i="4"/>
  <c r="DL243" i="4"/>
  <c r="DL244" i="4"/>
  <c r="DL245" i="4"/>
  <c r="DL246" i="4"/>
  <c r="DL247" i="4"/>
  <c r="DL248" i="4"/>
  <c r="DL249" i="4"/>
  <c r="DL250" i="4"/>
  <c r="DL251" i="4"/>
  <c r="DL252" i="4"/>
  <c r="DL253" i="4"/>
  <c r="DL254" i="4"/>
  <c r="DL255" i="4"/>
  <c r="DL256" i="4"/>
  <c r="DL257" i="4"/>
  <c r="DL258" i="4"/>
  <c r="DL259" i="4"/>
  <c r="DL260" i="4"/>
  <c r="DL261" i="4"/>
  <c r="DL262" i="4"/>
  <c r="DL263" i="4"/>
  <c r="DL264" i="4"/>
  <c r="DL265" i="4"/>
  <c r="DL266" i="4"/>
  <c r="DL267" i="4"/>
  <c r="DL268" i="4"/>
  <c r="DL269" i="4"/>
  <c r="DL270" i="4"/>
  <c r="DL271" i="4"/>
  <c r="DL272" i="4"/>
  <c r="DL273" i="4"/>
  <c r="DL274" i="4"/>
  <c r="DL275" i="4"/>
  <c r="DL276" i="4"/>
  <c r="DL277" i="4"/>
  <c r="DL278" i="4"/>
  <c r="DL279" i="4"/>
  <c r="DL280" i="4"/>
  <c r="DL281" i="4"/>
  <c r="DL282" i="4"/>
  <c r="DL283" i="4"/>
  <c r="DL284" i="4"/>
  <c r="DL285" i="4"/>
  <c r="DL286" i="4"/>
  <c r="DL287" i="4"/>
  <c r="DL288" i="4"/>
  <c r="DL289" i="4"/>
  <c r="DL290" i="4"/>
  <c r="DL291" i="4"/>
  <c r="DL292" i="4"/>
  <c r="DL293" i="4"/>
  <c r="DL294" i="4"/>
  <c r="DL295" i="4"/>
  <c r="DL296" i="4"/>
  <c r="DL297" i="4"/>
  <c r="DL298" i="4"/>
  <c r="DL299" i="4"/>
  <c r="DL300" i="4"/>
  <c r="DL301" i="4"/>
  <c r="DL302" i="4"/>
  <c r="DL303" i="4"/>
  <c r="DL304" i="4"/>
  <c r="DL305" i="4"/>
  <c r="DL306" i="4"/>
  <c r="DL307" i="4"/>
  <c r="DL308" i="4"/>
  <c r="DL309" i="4"/>
  <c r="DL310" i="4"/>
  <c r="DL311" i="4"/>
  <c r="DM308" i="4"/>
  <c r="DN308" i="4"/>
  <c r="DO308" i="4"/>
  <c r="DR308" i="4"/>
  <c r="DS308" i="4"/>
  <c r="L67" i="34" s="1"/>
  <c r="DT308" i="4"/>
  <c r="DM309" i="4"/>
  <c r="DN309" i="4"/>
  <c r="DO309" i="4"/>
  <c r="DR309" i="4"/>
  <c r="DS309" i="4"/>
  <c r="DT309" i="4"/>
  <c r="DM310" i="4"/>
  <c r="DN310" i="4"/>
  <c r="DO310" i="4"/>
  <c r="DR310" i="4"/>
  <c r="DS310" i="4"/>
  <c r="DT310" i="4"/>
  <c r="DM311" i="4"/>
  <c r="DN311" i="4"/>
  <c r="DO311" i="4"/>
  <c r="DR311" i="4"/>
  <c r="DS311" i="4"/>
  <c r="DT311" i="4"/>
  <c r="DD308" i="4"/>
  <c r="DF308" i="4" s="1"/>
  <c r="DD309" i="4"/>
  <c r="DD310" i="4"/>
  <c r="DD311" i="4"/>
  <c r="I435" i="4"/>
  <c r="J435" i="4"/>
  <c r="K435" i="4"/>
  <c r="M435" i="4"/>
  <c r="N435" i="4"/>
  <c r="P435" i="4"/>
  <c r="Q435" i="4"/>
  <c r="R435" i="4"/>
  <c r="S435" i="4"/>
  <c r="T435" i="4"/>
  <c r="U435" i="4"/>
  <c r="V435" i="4"/>
  <c r="W435" i="4"/>
  <c r="X435" i="4"/>
  <c r="Y435" i="4"/>
  <c r="Z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BA435" i="4"/>
  <c r="BC435" i="4"/>
  <c r="BE435" i="4"/>
  <c r="BF435" i="4"/>
  <c r="BG435" i="4"/>
  <c r="BH435" i="4"/>
  <c r="BI435" i="4"/>
  <c r="BJ435" i="4"/>
  <c r="BK435" i="4"/>
  <c r="BL435" i="4"/>
  <c r="BN435" i="4"/>
  <c r="BO435" i="4"/>
  <c r="BQ435" i="4"/>
  <c r="BR435" i="4"/>
  <c r="BS435" i="4"/>
  <c r="BT435" i="4"/>
  <c r="BU435" i="4"/>
  <c r="BW435" i="4"/>
  <c r="BX435" i="4"/>
  <c r="BZ435" i="4"/>
  <c r="CA435" i="4"/>
  <c r="CB435" i="4"/>
  <c r="CC435" i="4"/>
  <c r="CD435" i="4"/>
  <c r="CE435" i="4"/>
  <c r="CF435" i="4"/>
  <c r="CG435" i="4"/>
  <c r="CH435" i="4"/>
  <c r="CI435" i="4"/>
  <c r="CJ435" i="4"/>
  <c r="CK435" i="4"/>
  <c r="CT435" i="4"/>
  <c r="CU435" i="4"/>
  <c r="CV435" i="4"/>
  <c r="CW435" i="4"/>
  <c r="CX435" i="4"/>
  <c r="CY435" i="4"/>
  <c r="I421" i="4"/>
  <c r="J421" i="4"/>
  <c r="K421" i="4"/>
  <c r="M421" i="4"/>
  <c r="N421" i="4"/>
  <c r="P421" i="4"/>
  <c r="Q421" i="4"/>
  <c r="R421" i="4"/>
  <c r="S421" i="4"/>
  <c r="T421" i="4"/>
  <c r="W421" i="4"/>
  <c r="X421" i="4"/>
  <c r="Y421" i="4"/>
  <c r="Z421" i="4"/>
  <c r="AB421" i="4"/>
  <c r="AC421" i="4"/>
  <c r="AD421" i="4"/>
  <c r="AE421" i="4"/>
  <c r="AF421" i="4"/>
  <c r="AG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BA421" i="4"/>
  <c r="BC421" i="4"/>
  <c r="BE421" i="4"/>
  <c r="BF421" i="4"/>
  <c r="BG421" i="4"/>
  <c r="BH421" i="4"/>
  <c r="BI421" i="4"/>
  <c r="BJ421" i="4"/>
  <c r="BK421" i="4"/>
  <c r="BL421" i="4"/>
  <c r="BN421" i="4"/>
  <c r="BO421" i="4"/>
  <c r="BP421" i="4"/>
  <c r="BQ421" i="4"/>
  <c r="BR421" i="4"/>
  <c r="BS421" i="4"/>
  <c r="BT421" i="4"/>
  <c r="BU421" i="4"/>
  <c r="BW421" i="4"/>
  <c r="BX421" i="4"/>
  <c r="BZ421" i="4"/>
  <c r="CA421" i="4"/>
  <c r="CB421" i="4"/>
  <c r="CC421" i="4"/>
  <c r="CD421" i="4"/>
  <c r="CE421" i="4"/>
  <c r="CF421" i="4"/>
  <c r="CG421" i="4"/>
  <c r="CH421" i="4"/>
  <c r="CI421" i="4"/>
  <c r="CJ421" i="4"/>
  <c r="CK421" i="4"/>
  <c r="CT421" i="4"/>
  <c r="CU421" i="4"/>
  <c r="CV421" i="4"/>
  <c r="CW421" i="4"/>
  <c r="CX421" i="4"/>
  <c r="CY421" i="4"/>
  <c r="CT426" i="4"/>
  <c r="CU426" i="4"/>
  <c r="CV426" i="4"/>
  <c r="CT427" i="4"/>
  <c r="CU427" i="4"/>
  <c r="CV427" i="4"/>
  <c r="AT426" i="4"/>
  <c r="AT427" i="4"/>
  <c r="AT428" i="4"/>
  <c r="N423" i="4"/>
  <c r="P423" i="4"/>
  <c r="Q423" i="4"/>
  <c r="R423" i="4"/>
  <c r="S423" i="4"/>
  <c r="T423" i="4"/>
  <c r="W423" i="4"/>
  <c r="X423" i="4"/>
  <c r="Y423" i="4"/>
  <c r="Z423" i="4"/>
  <c r="AB423" i="4"/>
  <c r="AC423" i="4"/>
  <c r="AD423" i="4"/>
  <c r="AE423" i="4"/>
  <c r="AF423" i="4"/>
  <c r="AG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BA423" i="4"/>
  <c r="BC423" i="4"/>
  <c r="BE423" i="4"/>
  <c r="BF423" i="4"/>
  <c r="BG423" i="4"/>
  <c r="BH423" i="4"/>
  <c r="BI423" i="4"/>
  <c r="BJ423" i="4"/>
  <c r="BK423" i="4"/>
  <c r="BL423" i="4"/>
  <c r="BN423" i="4"/>
  <c r="BO423" i="4"/>
  <c r="BP423" i="4"/>
  <c r="BQ423" i="4"/>
  <c r="BR423" i="4"/>
  <c r="BS423" i="4"/>
  <c r="BT423" i="4"/>
  <c r="BU423" i="4"/>
  <c r="BW423" i="4"/>
  <c r="BX423" i="4"/>
  <c r="BZ423" i="4"/>
  <c r="CA423" i="4"/>
  <c r="CB423" i="4"/>
  <c r="CC423" i="4"/>
  <c r="CD423" i="4"/>
  <c r="CE423" i="4"/>
  <c r="CF423" i="4"/>
  <c r="CG423" i="4"/>
  <c r="CH423" i="4"/>
  <c r="CI423" i="4"/>
  <c r="CJ423" i="4"/>
  <c r="CK423" i="4"/>
  <c r="CT423" i="4"/>
  <c r="CU423" i="4"/>
  <c r="CV423" i="4"/>
  <c r="CW423" i="4"/>
  <c r="CX423" i="4"/>
  <c r="CY423" i="4"/>
  <c r="N424" i="4"/>
  <c r="P424" i="4"/>
  <c r="Q424" i="4"/>
  <c r="R424" i="4"/>
  <c r="S424" i="4"/>
  <c r="T424" i="4"/>
  <c r="W424" i="4"/>
  <c r="X424" i="4"/>
  <c r="Y424" i="4"/>
  <c r="Z424" i="4"/>
  <c r="AB424" i="4"/>
  <c r="AC424" i="4"/>
  <c r="AD424" i="4"/>
  <c r="AE424" i="4"/>
  <c r="AF424" i="4"/>
  <c r="AG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BA424" i="4"/>
  <c r="BC424" i="4"/>
  <c r="BE424" i="4"/>
  <c r="BF424" i="4"/>
  <c r="BG424" i="4"/>
  <c r="BH424" i="4"/>
  <c r="BI424" i="4"/>
  <c r="BJ424" i="4"/>
  <c r="BK424" i="4"/>
  <c r="BL424" i="4"/>
  <c r="BN424" i="4"/>
  <c r="BO424" i="4"/>
  <c r="BP424" i="4"/>
  <c r="BQ424" i="4"/>
  <c r="BR424" i="4"/>
  <c r="BS424" i="4"/>
  <c r="BT424" i="4"/>
  <c r="BU424" i="4"/>
  <c r="BW424" i="4"/>
  <c r="BX424" i="4"/>
  <c r="BZ424" i="4"/>
  <c r="CA424" i="4"/>
  <c r="CB424" i="4"/>
  <c r="CC424" i="4"/>
  <c r="CD424" i="4"/>
  <c r="CE424" i="4"/>
  <c r="CF424" i="4"/>
  <c r="CG424" i="4"/>
  <c r="CH424" i="4"/>
  <c r="CI424" i="4"/>
  <c r="CJ424" i="4"/>
  <c r="CK424" i="4"/>
  <c r="CT424" i="4"/>
  <c r="CU424" i="4"/>
  <c r="CV424" i="4"/>
  <c r="CW424" i="4"/>
  <c r="CX424" i="4"/>
  <c r="CY424" i="4"/>
  <c r="N425" i="4"/>
  <c r="P425" i="4"/>
  <c r="Q425" i="4"/>
  <c r="R425" i="4"/>
  <c r="S425" i="4"/>
  <c r="T425" i="4"/>
  <c r="W425" i="4"/>
  <c r="X425" i="4"/>
  <c r="Y425" i="4"/>
  <c r="Z425" i="4"/>
  <c r="AB425" i="4"/>
  <c r="AC425" i="4"/>
  <c r="AD425" i="4"/>
  <c r="AE425" i="4"/>
  <c r="AF425" i="4"/>
  <c r="AG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BA425" i="4"/>
  <c r="BC425" i="4"/>
  <c r="BE425" i="4"/>
  <c r="BF425" i="4"/>
  <c r="BG425" i="4"/>
  <c r="BH425" i="4"/>
  <c r="BI425" i="4"/>
  <c r="BJ425" i="4"/>
  <c r="BK425" i="4"/>
  <c r="BL425" i="4"/>
  <c r="BN425" i="4"/>
  <c r="BO425" i="4"/>
  <c r="BP425" i="4"/>
  <c r="BQ425" i="4"/>
  <c r="BR425" i="4"/>
  <c r="BS425" i="4"/>
  <c r="BT425" i="4"/>
  <c r="BU425" i="4"/>
  <c r="BW425" i="4"/>
  <c r="BX425" i="4"/>
  <c r="BZ425" i="4"/>
  <c r="CA425" i="4"/>
  <c r="CB425" i="4"/>
  <c r="CC425" i="4"/>
  <c r="CD425" i="4"/>
  <c r="CE425" i="4"/>
  <c r="CF425" i="4"/>
  <c r="CG425" i="4"/>
  <c r="CH425" i="4"/>
  <c r="CI425" i="4"/>
  <c r="CJ425" i="4"/>
  <c r="CK425" i="4"/>
  <c r="CT425" i="4"/>
  <c r="CU425" i="4"/>
  <c r="CV425" i="4"/>
  <c r="CW425" i="4"/>
  <c r="CX425" i="4"/>
  <c r="CY425" i="4"/>
  <c r="I413" i="4"/>
  <c r="J413" i="4"/>
  <c r="K413" i="4"/>
  <c r="M413" i="4"/>
  <c r="N413" i="4"/>
  <c r="P413" i="4"/>
  <c r="Q413" i="4"/>
  <c r="R413" i="4"/>
  <c r="S413" i="4"/>
  <c r="T413" i="4"/>
  <c r="W413" i="4"/>
  <c r="X413" i="4"/>
  <c r="Y413" i="4"/>
  <c r="Z413" i="4"/>
  <c r="AB413" i="4"/>
  <c r="AC413" i="4"/>
  <c r="AD413" i="4"/>
  <c r="AE413" i="4"/>
  <c r="AF413" i="4"/>
  <c r="AG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BA413" i="4"/>
  <c r="BC413" i="4"/>
  <c r="BE413" i="4"/>
  <c r="BF413" i="4"/>
  <c r="BG413" i="4"/>
  <c r="BH413" i="4"/>
  <c r="BI413" i="4"/>
  <c r="BJ413" i="4"/>
  <c r="BK413" i="4"/>
  <c r="BL413" i="4"/>
  <c r="BN413" i="4"/>
  <c r="BO413" i="4"/>
  <c r="BP413" i="4"/>
  <c r="BQ413" i="4"/>
  <c r="BR413" i="4"/>
  <c r="BS413" i="4"/>
  <c r="BT413" i="4"/>
  <c r="BU413" i="4"/>
  <c r="BW413" i="4"/>
  <c r="BX413" i="4"/>
  <c r="BZ413" i="4"/>
  <c r="CA413" i="4"/>
  <c r="CB413" i="4"/>
  <c r="CC413" i="4"/>
  <c r="CD413" i="4"/>
  <c r="CE413" i="4"/>
  <c r="CF413" i="4"/>
  <c r="CG413" i="4"/>
  <c r="CH413" i="4"/>
  <c r="CI413" i="4"/>
  <c r="CJ413" i="4"/>
  <c r="CK413" i="4"/>
  <c r="CT413" i="4"/>
  <c r="CU413" i="4"/>
  <c r="CV413" i="4"/>
  <c r="CW413" i="4"/>
  <c r="CX413" i="4"/>
  <c r="CY413" i="4"/>
  <c r="I414" i="4"/>
  <c r="J414" i="4"/>
  <c r="K414" i="4"/>
  <c r="M414" i="4"/>
  <c r="N414" i="4"/>
  <c r="P414" i="4"/>
  <c r="Q414" i="4"/>
  <c r="R414" i="4"/>
  <c r="S414" i="4"/>
  <c r="T414" i="4"/>
  <c r="W414" i="4"/>
  <c r="X414" i="4"/>
  <c r="Y414" i="4"/>
  <c r="Z414" i="4"/>
  <c r="AB414" i="4"/>
  <c r="AC414" i="4"/>
  <c r="AD414" i="4"/>
  <c r="AE414" i="4"/>
  <c r="AF414" i="4"/>
  <c r="AG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BA414" i="4"/>
  <c r="BC414" i="4"/>
  <c r="BE414" i="4"/>
  <c r="BF414" i="4"/>
  <c r="BG414" i="4"/>
  <c r="BH414" i="4"/>
  <c r="BI414" i="4"/>
  <c r="BJ414" i="4"/>
  <c r="BK414" i="4"/>
  <c r="BL414" i="4"/>
  <c r="BN414" i="4"/>
  <c r="BO414" i="4"/>
  <c r="BP414" i="4"/>
  <c r="BQ414" i="4"/>
  <c r="BR414" i="4"/>
  <c r="BS414" i="4"/>
  <c r="BT414" i="4"/>
  <c r="BU414" i="4"/>
  <c r="BW414" i="4"/>
  <c r="BX414" i="4"/>
  <c r="BZ414" i="4"/>
  <c r="CA414" i="4"/>
  <c r="CB414" i="4"/>
  <c r="CC414" i="4"/>
  <c r="CD414" i="4"/>
  <c r="CE414" i="4"/>
  <c r="CF414" i="4"/>
  <c r="CG414" i="4"/>
  <c r="CH414" i="4"/>
  <c r="CI414" i="4"/>
  <c r="CJ414" i="4"/>
  <c r="CK414" i="4"/>
  <c r="CT414" i="4"/>
  <c r="CU414" i="4"/>
  <c r="CV414" i="4"/>
  <c r="CW414" i="4"/>
  <c r="CX414" i="4"/>
  <c r="CY414" i="4"/>
  <c r="I415" i="4"/>
  <c r="J415" i="4"/>
  <c r="K415" i="4"/>
  <c r="M415" i="4"/>
  <c r="N415" i="4"/>
  <c r="P415" i="4"/>
  <c r="Q415" i="4"/>
  <c r="R415" i="4"/>
  <c r="S415" i="4"/>
  <c r="T415" i="4"/>
  <c r="W415" i="4"/>
  <c r="X415" i="4"/>
  <c r="Y415" i="4"/>
  <c r="Z415" i="4"/>
  <c r="AB415" i="4"/>
  <c r="AC415" i="4"/>
  <c r="AD415" i="4"/>
  <c r="AE415" i="4"/>
  <c r="AF415" i="4"/>
  <c r="AG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BA415" i="4"/>
  <c r="BC415" i="4"/>
  <c r="BE415" i="4"/>
  <c r="BF415" i="4"/>
  <c r="BG415" i="4"/>
  <c r="BH415" i="4"/>
  <c r="BI415" i="4"/>
  <c r="BJ415" i="4"/>
  <c r="BK415" i="4"/>
  <c r="BL415" i="4"/>
  <c r="BN415" i="4"/>
  <c r="BO415" i="4"/>
  <c r="BP415" i="4"/>
  <c r="BQ415" i="4"/>
  <c r="BR415" i="4"/>
  <c r="BS415" i="4"/>
  <c r="BT415" i="4"/>
  <c r="BU415" i="4"/>
  <c r="BW415" i="4"/>
  <c r="BX415" i="4"/>
  <c r="BZ415" i="4"/>
  <c r="CA415" i="4"/>
  <c r="CB415" i="4"/>
  <c r="CC415" i="4"/>
  <c r="CD415" i="4"/>
  <c r="CE415" i="4"/>
  <c r="CF415" i="4"/>
  <c r="CG415" i="4"/>
  <c r="CH415" i="4"/>
  <c r="CI415" i="4"/>
  <c r="CJ415" i="4"/>
  <c r="CK415" i="4"/>
  <c r="CT415" i="4"/>
  <c r="CU415" i="4"/>
  <c r="CV415" i="4"/>
  <c r="CW415" i="4"/>
  <c r="CX415" i="4"/>
  <c r="CY415" i="4"/>
  <c r="I416" i="4"/>
  <c r="J416" i="4"/>
  <c r="K416" i="4"/>
  <c r="M416" i="4"/>
  <c r="N416" i="4"/>
  <c r="P416" i="4"/>
  <c r="Q416" i="4"/>
  <c r="R416" i="4"/>
  <c r="S416" i="4"/>
  <c r="T416" i="4"/>
  <c r="W416" i="4"/>
  <c r="X416" i="4"/>
  <c r="Y416" i="4"/>
  <c r="Z416" i="4"/>
  <c r="AB416" i="4"/>
  <c r="AC416" i="4"/>
  <c r="AD416" i="4"/>
  <c r="AE416" i="4"/>
  <c r="AF416" i="4"/>
  <c r="AG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BA416" i="4"/>
  <c r="BC416" i="4"/>
  <c r="BE416" i="4"/>
  <c r="BF416" i="4"/>
  <c r="BG416" i="4"/>
  <c r="BH416" i="4"/>
  <c r="BI416" i="4"/>
  <c r="BJ416" i="4"/>
  <c r="BK416" i="4"/>
  <c r="BL416" i="4"/>
  <c r="BN416" i="4"/>
  <c r="BO416" i="4"/>
  <c r="BP416" i="4"/>
  <c r="BQ416" i="4"/>
  <c r="BR416" i="4"/>
  <c r="BS416" i="4"/>
  <c r="BT416" i="4"/>
  <c r="BU416" i="4"/>
  <c r="BW416" i="4"/>
  <c r="BX416" i="4"/>
  <c r="BZ416" i="4"/>
  <c r="CA416" i="4"/>
  <c r="CB416" i="4"/>
  <c r="CC416" i="4"/>
  <c r="CD416" i="4"/>
  <c r="CE416" i="4"/>
  <c r="CF416" i="4"/>
  <c r="CG416" i="4"/>
  <c r="CH416" i="4"/>
  <c r="CI416" i="4"/>
  <c r="CJ416" i="4"/>
  <c r="CK416" i="4"/>
  <c r="CT416" i="4"/>
  <c r="CU416" i="4"/>
  <c r="CV416" i="4"/>
  <c r="CW416" i="4"/>
  <c r="CX416" i="4"/>
  <c r="CY416" i="4"/>
  <c r="I417" i="4"/>
  <c r="J417" i="4"/>
  <c r="K417" i="4"/>
  <c r="M417" i="4"/>
  <c r="N417" i="4"/>
  <c r="P417" i="4"/>
  <c r="Q417" i="4"/>
  <c r="R417" i="4"/>
  <c r="S417" i="4"/>
  <c r="T417" i="4"/>
  <c r="W417" i="4"/>
  <c r="X417" i="4"/>
  <c r="Y417" i="4"/>
  <c r="Z417" i="4"/>
  <c r="AB417" i="4"/>
  <c r="AC417" i="4"/>
  <c r="AD417" i="4"/>
  <c r="AE417" i="4"/>
  <c r="AF417" i="4"/>
  <c r="AG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BA417" i="4"/>
  <c r="BC417" i="4"/>
  <c r="BE417" i="4"/>
  <c r="BF417" i="4"/>
  <c r="BG417" i="4"/>
  <c r="BH417" i="4"/>
  <c r="BI417" i="4"/>
  <c r="BJ417" i="4"/>
  <c r="BK417" i="4"/>
  <c r="BL417" i="4"/>
  <c r="BN417" i="4"/>
  <c r="BO417" i="4"/>
  <c r="BP417" i="4"/>
  <c r="BQ417" i="4"/>
  <c r="BR417" i="4"/>
  <c r="BS417" i="4"/>
  <c r="BT417" i="4"/>
  <c r="BU417" i="4"/>
  <c r="BW417" i="4"/>
  <c r="BX417" i="4"/>
  <c r="BZ417" i="4"/>
  <c r="CA417" i="4"/>
  <c r="CB417" i="4"/>
  <c r="CC417" i="4"/>
  <c r="CD417" i="4"/>
  <c r="CE417" i="4"/>
  <c r="CF417" i="4"/>
  <c r="CG417" i="4"/>
  <c r="CH417" i="4"/>
  <c r="CI417" i="4"/>
  <c r="CJ417" i="4"/>
  <c r="CK417" i="4"/>
  <c r="CT417" i="4"/>
  <c r="CU417" i="4"/>
  <c r="CV417" i="4"/>
  <c r="CW417" i="4"/>
  <c r="CX417" i="4"/>
  <c r="CY417" i="4"/>
  <c r="I418" i="4"/>
  <c r="J418" i="4"/>
  <c r="K418" i="4"/>
  <c r="M418" i="4"/>
  <c r="N418" i="4"/>
  <c r="P418" i="4"/>
  <c r="Q418" i="4"/>
  <c r="R418" i="4"/>
  <c r="S418" i="4"/>
  <c r="T418" i="4"/>
  <c r="W418" i="4"/>
  <c r="X418" i="4"/>
  <c r="Y418" i="4"/>
  <c r="Z418" i="4"/>
  <c r="AB418" i="4"/>
  <c r="AC418" i="4"/>
  <c r="AD418" i="4"/>
  <c r="AE418" i="4"/>
  <c r="AF418" i="4"/>
  <c r="AG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BA418" i="4"/>
  <c r="BC418" i="4"/>
  <c r="BE418" i="4"/>
  <c r="BF418" i="4"/>
  <c r="BG418" i="4"/>
  <c r="BH418" i="4"/>
  <c r="BI418" i="4"/>
  <c r="BJ418" i="4"/>
  <c r="BK418" i="4"/>
  <c r="BL418" i="4"/>
  <c r="BN418" i="4"/>
  <c r="BO418" i="4"/>
  <c r="BP418" i="4"/>
  <c r="BQ418" i="4"/>
  <c r="BR418" i="4"/>
  <c r="BS418" i="4"/>
  <c r="BT418" i="4"/>
  <c r="BU418" i="4"/>
  <c r="BW418" i="4"/>
  <c r="BX418" i="4"/>
  <c r="BZ418" i="4"/>
  <c r="CA418" i="4"/>
  <c r="CB418" i="4"/>
  <c r="CC418" i="4"/>
  <c r="CD418" i="4"/>
  <c r="CE418" i="4"/>
  <c r="CF418" i="4"/>
  <c r="CG418" i="4"/>
  <c r="CH418" i="4"/>
  <c r="CI418" i="4"/>
  <c r="CJ418" i="4"/>
  <c r="CK418" i="4"/>
  <c r="CT418" i="4"/>
  <c r="CU418" i="4"/>
  <c r="CV418" i="4"/>
  <c r="CW418" i="4"/>
  <c r="CX418" i="4"/>
  <c r="CY418" i="4"/>
  <c r="I419" i="4"/>
  <c r="J419" i="4"/>
  <c r="K419" i="4"/>
  <c r="M419" i="4"/>
  <c r="N419" i="4"/>
  <c r="P419" i="4"/>
  <c r="Q419" i="4"/>
  <c r="R419" i="4"/>
  <c r="S419" i="4"/>
  <c r="T419" i="4"/>
  <c r="W419" i="4"/>
  <c r="X419" i="4"/>
  <c r="Y419" i="4"/>
  <c r="Z419" i="4"/>
  <c r="AB419" i="4"/>
  <c r="AC419" i="4"/>
  <c r="AD419" i="4"/>
  <c r="AE419" i="4"/>
  <c r="AF419" i="4"/>
  <c r="AG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BA419" i="4"/>
  <c r="BC419" i="4"/>
  <c r="BE419" i="4"/>
  <c r="BF419" i="4"/>
  <c r="BG419" i="4"/>
  <c r="BH419" i="4"/>
  <c r="BI419" i="4"/>
  <c r="BJ419" i="4"/>
  <c r="BK419" i="4"/>
  <c r="BL419" i="4"/>
  <c r="BN419" i="4"/>
  <c r="BO419" i="4"/>
  <c r="BP419" i="4"/>
  <c r="BQ419" i="4"/>
  <c r="BR419" i="4"/>
  <c r="BS419" i="4"/>
  <c r="BT419" i="4"/>
  <c r="BU419" i="4"/>
  <c r="BW419" i="4"/>
  <c r="BX419" i="4"/>
  <c r="BZ419" i="4"/>
  <c r="CA419" i="4"/>
  <c r="CB419" i="4"/>
  <c r="CC419" i="4"/>
  <c r="CD419" i="4"/>
  <c r="CE419" i="4"/>
  <c r="CF419" i="4"/>
  <c r="CG419" i="4"/>
  <c r="CH419" i="4"/>
  <c r="CI419" i="4"/>
  <c r="CJ419" i="4"/>
  <c r="CK419" i="4"/>
  <c r="CT419" i="4"/>
  <c r="CU419" i="4"/>
  <c r="CV419" i="4"/>
  <c r="CW419" i="4"/>
  <c r="CX419" i="4"/>
  <c r="CY419" i="4"/>
  <c r="I420" i="4"/>
  <c r="J420" i="4"/>
  <c r="K420" i="4"/>
  <c r="M420" i="4"/>
  <c r="N420" i="4"/>
  <c r="P420" i="4"/>
  <c r="Q420" i="4"/>
  <c r="R420" i="4"/>
  <c r="S420" i="4"/>
  <c r="T420" i="4"/>
  <c r="W420" i="4"/>
  <c r="X420" i="4"/>
  <c r="Y420" i="4"/>
  <c r="Z420" i="4"/>
  <c r="AB420" i="4"/>
  <c r="AC420" i="4"/>
  <c r="AD420" i="4"/>
  <c r="AE420" i="4"/>
  <c r="AF420" i="4"/>
  <c r="AG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BA420" i="4"/>
  <c r="BC420" i="4"/>
  <c r="BE420" i="4"/>
  <c r="BF420" i="4"/>
  <c r="BG420" i="4"/>
  <c r="BH420" i="4"/>
  <c r="BI420" i="4"/>
  <c r="BJ420" i="4"/>
  <c r="BK420" i="4"/>
  <c r="BL420" i="4"/>
  <c r="BN420" i="4"/>
  <c r="BO420" i="4"/>
  <c r="BP420" i="4"/>
  <c r="BQ420" i="4"/>
  <c r="BR420" i="4"/>
  <c r="BS420" i="4"/>
  <c r="BT420" i="4"/>
  <c r="BU420" i="4"/>
  <c r="BW420" i="4"/>
  <c r="BX420" i="4"/>
  <c r="BZ420" i="4"/>
  <c r="CA420" i="4"/>
  <c r="CB420" i="4"/>
  <c r="CC420" i="4"/>
  <c r="CD420" i="4"/>
  <c r="CE420" i="4"/>
  <c r="CF420" i="4"/>
  <c r="CG420" i="4"/>
  <c r="CH420" i="4"/>
  <c r="CI420" i="4"/>
  <c r="CJ420" i="4"/>
  <c r="CK420" i="4"/>
  <c r="CT420" i="4"/>
  <c r="CU420" i="4"/>
  <c r="CV420" i="4"/>
  <c r="CW420" i="4"/>
  <c r="CX420" i="4"/>
  <c r="CY420" i="4"/>
  <c r="H421" i="4"/>
  <c r="H420" i="4"/>
  <c r="H419" i="4"/>
  <c r="H418" i="4"/>
  <c r="H417" i="4"/>
  <c r="H416" i="4"/>
  <c r="H415" i="4"/>
  <c r="H414" i="4"/>
  <c r="H413" i="4"/>
  <c r="I411" i="4"/>
  <c r="J411" i="4"/>
  <c r="K411" i="4"/>
  <c r="M411" i="4"/>
  <c r="N411" i="4"/>
  <c r="P411" i="4"/>
  <c r="Q411" i="4"/>
  <c r="R411" i="4"/>
  <c r="S411" i="4"/>
  <c r="T411" i="4"/>
  <c r="W411" i="4"/>
  <c r="X411" i="4"/>
  <c r="Y411" i="4"/>
  <c r="Z411" i="4"/>
  <c r="AB411" i="4"/>
  <c r="AC411" i="4"/>
  <c r="AD411" i="4"/>
  <c r="AE411" i="4"/>
  <c r="AF411" i="4"/>
  <c r="AG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BA411" i="4"/>
  <c r="BC411" i="4"/>
  <c r="BE411" i="4"/>
  <c r="BF411" i="4"/>
  <c r="BG411" i="4"/>
  <c r="BH411" i="4"/>
  <c r="BI411" i="4"/>
  <c r="BJ411" i="4"/>
  <c r="BK411" i="4"/>
  <c r="BL411" i="4"/>
  <c r="BN411" i="4"/>
  <c r="BO411" i="4"/>
  <c r="BP411" i="4"/>
  <c r="BQ411" i="4"/>
  <c r="BR411" i="4"/>
  <c r="BS411" i="4"/>
  <c r="BT411" i="4"/>
  <c r="BU411" i="4"/>
  <c r="BW411" i="4"/>
  <c r="BX411" i="4"/>
  <c r="CA411" i="4"/>
  <c r="CB411" i="4"/>
  <c r="CC411" i="4"/>
  <c r="CD411" i="4"/>
  <c r="CE411" i="4"/>
  <c r="CF411" i="4"/>
  <c r="CG411" i="4"/>
  <c r="CH411" i="4"/>
  <c r="CI411" i="4"/>
  <c r="CJ411" i="4"/>
  <c r="CK411" i="4"/>
  <c r="CT411" i="4"/>
  <c r="CU411" i="4"/>
  <c r="CV411" i="4"/>
  <c r="CW411" i="4"/>
  <c r="CX411" i="4"/>
  <c r="CY411" i="4"/>
  <c r="H411" i="4"/>
  <c r="N412" i="4"/>
  <c r="P412" i="4"/>
  <c r="Q412" i="4"/>
  <c r="R412" i="4"/>
  <c r="S412" i="4"/>
  <c r="T412" i="4"/>
  <c r="W412" i="4"/>
  <c r="X412" i="4"/>
  <c r="Y412" i="4"/>
  <c r="Z412" i="4"/>
  <c r="AB412" i="4"/>
  <c r="AC412" i="4"/>
  <c r="AD412" i="4"/>
  <c r="AE412" i="4"/>
  <c r="AF412" i="4"/>
  <c r="AG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BA412" i="4"/>
  <c r="BC412" i="4"/>
  <c r="BE412" i="4"/>
  <c r="BF412" i="4"/>
  <c r="BG412" i="4"/>
  <c r="BH412" i="4"/>
  <c r="BI412" i="4"/>
  <c r="BJ412" i="4"/>
  <c r="BK412" i="4"/>
  <c r="BL412" i="4"/>
  <c r="BN412" i="4"/>
  <c r="BO412" i="4"/>
  <c r="BP412" i="4"/>
  <c r="BQ412" i="4"/>
  <c r="BR412" i="4"/>
  <c r="BS412" i="4"/>
  <c r="BT412" i="4"/>
  <c r="BU412" i="4"/>
  <c r="BW412" i="4"/>
  <c r="BX412" i="4"/>
  <c r="BZ412" i="4"/>
  <c r="CA412" i="4"/>
  <c r="CB412" i="4"/>
  <c r="CC412" i="4"/>
  <c r="CD412" i="4"/>
  <c r="CE412" i="4"/>
  <c r="CF412" i="4"/>
  <c r="CG412" i="4"/>
  <c r="CH412" i="4"/>
  <c r="CI412" i="4"/>
  <c r="CJ412" i="4"/>
  <c r="CK412" i="4"/>
  <c r="CT412" i="4"/>
  <c r="CU412" i="4"/>
  <c r="CV412" i="4"/>
  <c r="CW412" i="4"/>
  <c r="CX412" i="4"/>
  <c r="CY412" i="4"/>
  <c r="N422" i="4"/>
  <c r="P422" i="4"/>
  <c r="Q422" i="4"/>
  <c r="R422" i="4"/>
  <c r="S422" i="4"/>
  <c r="T422" i="4"/>
  <c r="W422" i="4"/>
  <c r="X422" i="4"/>
  <c r="Y422" i="4"/>
  <c r="Z422" i="4"/>
  <c r="AB422" i="4"/>
  <c r="AC422" i="4"/>
  <c r="AD422" i="4"/>
  <c r="AE422" i="4"/>
  <c r="AF422" i="4"/>
  <c r="AG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BA422" i="4"/>
  <c r="BC422" i="4"/>
  <c r="BE422" i="4"/>
  <c r="BF422" i="4"/>
  <c r="BG422" i="4"/>
  <c r="BH422" i="4"/>
  <c r="BI422" i="4"/>
  <c r="BJ422" i="4"/>
  <c r="BK422" i="4"/>
  <c r="BL422" i="4"/>
  <c r="BN422" i="4"/>
  <c r="BO422" i="4"/>
  <c r="BP422" i="4"/>
  <c r="BQ422" i="4"/>
  <c r="BR422" i="4"/>
  <c r="BS422" i="4"/>
  <c r="BT422" i="4"/>
  <c r="BU422" i="4"/>
  <c r="BW422" i="4"/>
  <c r="BX422" i="4"/>
  <c r="BZ422" i="4"/>
  <c r="CA422" i="4"/>
  <c r="CB422" i="4"/>
  <c r="CC422" i="4"/>
  <c r="CD422" i="4"/>
  <c r="CE422" i="4"/>
  <c r="CF422" i="4"/>
  <c r="CG422" i="4"/>
  <c r="CH422" i="4"/>
  <c r="CI422" i="4"/>
  <c r="CJ422" i="4"/>
  <c r="CK422" i="4"/>
  <c r="CT422" i="4"/>
  <c r="CU422" i="4"/>
  <c r="CV422" i="4"/>
  <c r="CW422" i="4"/>
  <c r="CX422" i="4"/>
  <c r="CY422" i="4"/>
  <c r="I412" i="4"/>
  <c r="J412" i="4"/>
  <c r="K412" i="4"/>
  <c r="M412" i="4"/>
  <c r="H412" i="4"/>
  <c r="N64" i="16"/>
  <c r="O64" i="16"/>
  <c r="N65" i="16"/>
  <c r="O65" i="16"/>
  <c r="N66" i="16"/>
  <c r="O66" i="16"/>
  <c r="DD305" i="4"/>
  <c r="DM305" i="4"/>
  <c r="DN305" i="4"/>
  <c r="DO305" i="4"/>
  <c r="DR305" i="4"/>
  <c r="DS305" i="4"/>
  <c r="L64" i="34" s="1"/>
  <c r="DT305" i="4"/>
  <c r="EF305" i="4"/>
  <c r="EG305" i="4"/>
  <c r="DD306" i="4"/>
  <c r="DM306" i="4"/>
  <c r="DN306" i="4"/>
  <c r="DO306" i="4"/>
  <c r="DR306" i="4"/>
  <c r="DS306" i="4"/>
  <c r="DT306" i="4"/>
  <c r="EF306" i="4"/>
  <c r="EG306" i="4"/>
  <c r="DD307" i="4"/>
  <c r="DM307" i="4"/>
  <c r="DN307" i="4"/>
  <c r="DO307" i="4"/>
  <c r="DR307" i="4"/>
  <c r="DS307" i="4"/>
  <c r="L66" i="34" s="1"/>
  <c r="DT307" i="4"/>
  <c r="EF307" i="4"/>
  <c r="EG307" i="4"/>
  <c r="N59" i="16"/>
  <c r="O59" i="16"/>
  <c r="N60" i="16"/>
  <c r="O60" i="16"/>
  <c r="N61" i="16"/>
  <c r="O61" i="16"/>
  <c r="N62" i="16"/>
  <c r="O62" i="16"/>
  <c r="N63" i="16"/>
  <c r="O63" i="16"/>
  <c r="EF300" i="4"/>
  <c r="EG300" i="4"/>
  <c r="EF301" i="4"/>
  <c r="EG301" i="4"/>
  <c r="EF302" i="4"/>
  <c r="EG302" i="4"/>
  <c r="EF303" i="4"/>
  <c r="EG303" i="4"/>
  <c r="EG304" i="4"/>
  <c r="DD300" i="4"/>
  <c r="DF300" i="4" s="1"/>
  <c r="DM300" i="4"/>
  <c r="DN300" i="4"/>
  <c r="DO300" i="4"/>
  <c r="DR300" i="4"/>
  <c r="DS300" i="4"/>
  <c r="DT300" i="4"/>
  <c r="DD301" i="4"/>
  <c r="DM301" i="4"/>
  <c r="DN301" i="4"/>
  <c r="DO301" i="4"/>
  <c r="DR301" i="4"/>
  <c r="DS301" i="4"/>
  <c r="DT301" i="4"/>
  <c r="DD302" i="4"/>
  <c r="DM302" i="4"/>
  <c r="DN302" i="4"/>
  <c r="DO302" i="4"/>
  <c r="DR302" i="4"/>
  <c r="J61" i="34" s="1"/>
  <c r="DS302" i="4"/>
  <c r="DT302" i="4"/>
  <c r="DD303" i="4"/>
  <c r="DM303" i="4"/>
  <c r="DN303" i="4"/>
  <c r="DO303" i="4"/>
  <c r="DR303" i="4"/>
  <c r="DS303" i="4"/>
  <c r="L62" i="34" s="1"/>
  <c r="DT303" i="4"/>
  <c r="DM304" i="4"/>
  <c r="DN304" i="4"/>
  <c r="DO304" i="4"/>
  <c r="DR304" i="4"/>
  <c r="DT304" i="4"/>
  <c r="BP304" i="4"/>
  <c r="EF304" i="4" s="1"/>
  <c r="I422" i="4"/>
  <c r="J422" i="4"/>
  <c r="K422" i="4"/>
  <c r="M422" i="4"/>
  <c r="I423" i="4"/>
  <c r="J423" i="4"/>
  <c r="K423" i="4"/>
  <c r="M423" i="4"/>
  <c r="I424" i="4"/>
  <c r="J424" i="4"/>
  <c r="K424" i="4"/>
  <c r="M424" i="4"/>
  <c r="I425" i="4"/>
  <c r="J425" i="4"/>
  <c r="K425" i="4"/>
  <c r="M42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I426" i="4"/>
  <c r="J426" i="4"/>
  <c r="K426" i="4"/>
  <c r="I427" i="4"/>
  <c r="J427" i="4"/>
  <c r="K427" i="4"/>
  <c r="N5" i="16"/>
  <c r="O5" i="16"/>
  <c r="FA10" i="4"/>
  <c r="FA9" i="4"/>
  <c r="N54" i="16"/>
  <c r="O54" i="16"/>
  <c r="N55" i="16"/>
  <c r="O55" i="16"/>
  <c r="N56" i="16"/>
  <c r="O56" i="16"/>
  <c r="N57" i="16"/>
  <c r="O57" i="16"/>
  <c r="DD296" i="4"/>
  <c r="DM296" i="4"/>
  <c r="DN296" i="4"/>
  <c r="DO296" i="4"/>
  <c r="DR296" i="4"/>
  <c r="DS296" i="4"/>
  <c r="DT296" i="4"/>
  <c r="EF296" i="4"/>
  <c r="EG296" i="4"/>
  <c r="DD297" i="4"/>
  <c r="DM297" i="4"/>
  <c r="DN297" i="4"/>
  <c r="DO297" i="4"/>
  <c r="DR297" i="4"/>
  <c r="DS297" i="4"/>
  <c r="L55" i="34" s="1"/>
  <c r="DT297" i="4"/>
  <c r="EF297" i="4"/>
  <c r="EG297" i="4"/>
  <c r="DD298" i="4"/>
  <c r="DM298" i="4"/>
  <c r="DN298" i="4"/>
  <c r="DO298" i="4"/>
  <c r="DR298" i="4"/>
  <c r="DS298" i="4"/>
  <c r="DT298" i="4"/>
  <c r="EF298" i="4"/>
  <c r="EG298" i="4"/>
  <c r="DD299" i="4"/>
  <c r="DM299" i="4"/>
  <c r="DN299" i="4"/>
  <c r="DO299" i="4"/>
  <c r="DR299" i="4"/>
  <c r="J57" i="34" s="1"/>
  <c r="DS299" i="4"/>
  <c r="L57" i="34" s="1"/>
  <c r="DT299" i="4"/>
  <c r="EF299" i="4"/>
  <c r="EG299" i="4"/>
  <c r="N52" i="16"/>
  <c r="O52" i="16"/>
  <c r="N53" i="16"/>
  <c r="O53" i="16"/>
  <c r="DD295" i="4"/>
  <c r="DM295" i="4"/>
  <c r="DN295" i="4"/>
  <c r="DO295" i="4"/>
  <c r="DR295" i="4"/>
  <c r="DS295" i="4"/>
  <c r="DT295" i="4"/>
  <c r="EF295" i="4"/>
  <c r="EG295" i="4"/>
  <c r="EH295" i="4" s="1"/>
  <c r="N50" i="16"/>
  <c r="O50" i="16"/>
  <c r="N51" i="16"/>
  <c r="O51" i="16"/>
  <c r="DD292" i="4"/>
  <c r="DM292" i="4"/>
  <c r="DN292" i="4"/>
  <c r="DO292" i="4"/>
  <c r="DR292" i="4"/>
  <c r="DS292" i="4"/>
  <c r="DT292" i="4"/>
  <c r="EF292" i="4"/>
  <c r="EG292" i="4"/>
  <c r="DD293" i="4"/>
  <c r="DM293" i="4"/>
  <c r="DN293" i="4"/>
  <c r="DO293" i="4"/>
  <c r="DR293" i="4"/>
  <c r="DS293" i="4"/>
  <c r="DT293" i="4"/>
  <c r="EF293" i="4"/>
  <c r="EG293" i="4"/>
  <c r="DD294" i="4"/>
  <c r="DM294" i="4"/>
  <c r="DN294" i="4"/>
  <c r="DO294" i="4"/>
  <c r="DR294" i="4"/>
  <c r="DS294" i="4"/>
  <c r="DT294" i="4"/>
  <c r="EF294" i="4"/>
  <c r="EG294" i="4"/>
  <c r="DM276" i="4"/>
  <c r="DN276" i="4"/>
  <c r="DR276" i="4"/>
  <c r="DO276" i="4"/>
  <c r="DT276" i="4"/>
  <c r="DS276" i="4"/>
  <c r="DM277" i="4"/>
  <c r="H34" i="34" s="1"/>
  <c r="DN277" i="4"/>
  <c r="DR277" i="4"/>
  <c r="DO277" i="4"/>
  <c r="DT277" i="4"/>
  <c r="DS277" i="4"/>
  <c r="DM278" i="4"/>
  <c r="DN278" i="4"/>
  <c r="DR278" i="4"/>
  <c r="DO278" i="4"/>
  <c r="DT278" i="4"/>
  <c r="DS278" i="4"/>
  <c r="DM279" i="4"/>
  <c r="DN279" i="4"/>
  <c r="DR279" i="4"/>
  <c r="DO279" i="4"/>
  <c r="DT279" i="4"/>
  <c r="DS279" i="4"/>
  <c r="DM280" i="4"/>
  <c r="DN280" i="4"/>
  <c r="DR280" i="4"/>
  <c r="J37" i="34" s="1"/>
  <c r="DO280" i="4"/>
  <c r="DT280" i="4"/>
  <c r="DS280" i="4"/>
  <c r="DM281" i="4"/>
  <c r="DN281" i="4"/>
  <c r="DR281" i="4"/>
  <c r="J38" i="34" s="1"/>
  <c r="DO281" i="4"/>
  <c r="DT281" i="4"/>
  <c r="DS281" i="4"/>
  <c r="DM282" i="4"/>
  <c r="DN282" i="4"/>
  <c r="DR282" i="4"/>
  <c r="DO282" i="4"/>
  <c r="DT282" i="4"/>
  <c r="DS282" i="4"/>
  <c r="DM283" i="4"/>
  <c r="DN283" i="4"/>
  <c r="DR283" i="4"/>
  <c r="DO283" i="4"/>
  <c r="DT283" i="4"/>
  <c r="DS283" i="4"/>
  <c r="DM284" i="4"/>
  <c r="DN284" i="4"/>
  <c r="DR284" i="4"/>
  <c r="DO284" i="4"/>
  <c r="DT284" i="4"/>
  <c r="DS284" i="4"/>
  <c r="DM285" i="4"/>
  <c r="DN285" i="4"/>
  <c r="DR285" i="4"/>
  <c r="DO285" i="4"/>
  <c r="DT285" i="4"/>
  <c r="DS285" i="4"/>
  <c r="DM286" i="4"/>
  <c r="DN286" i="4"/>
  <c r="DR286" i="4"/>
  <c r="J43" i="34" s="1"/>
  <c r="DO286" i="4"/>
  <c r="DT286" i="4"/>
  <c r="DS286" i="4"/>
  <c r="DM287" i="4"/>
  <c r="DN287" i="4"/>
  <c r="DR287" i="4"/>
  <c r="J44" i="34" s="1"/>
  <c r="DO287" i="4"/>
  <c r="DT287" i="4"/>
  <c r="DS287" i="4"/>
  <c r="DN264" i="4"/>
  <c r="DN265" i="4"/>
  <c r="DN266" i="4"/>
  <c r="DN267" i="4"/>
  <c r="DN268" i="4"/>
  <c r="DN269" i="4"/>
  <c r="DN270" i="4"/>
  <c r="DN271" i="4"/>
  <c r="DN272" i="4"/>
  <c r="DN273" i="4"/>
  <c r="DN274" i="4"/>
  <c r="DN275" i="4"/>
  <c r="DR264" i="4"/>
  <c r="DR265" i="4"/>
  <c r="DR266" i="4"/>
  <c r="DR267" i="4"/>
  <c r="J23" i="34" s="1"/>
  <c r="DR268" i="4"/>
  <c r="DR269" i="4"/>
  <c r="DR270" i="4"/>
  <c r="J26" i="34" s="1"/>
  <c r="DR271" i="4"/>
  <c r="DR272" i="4"/>
  <c r="DR273" i="4"/>
  <c r="DR274" i="4"/>
  <c r="DR275" i="4"/>
  <c r="DO264" i="4"/>
  <c r="DO265" i="4"/>
  <c r="DO266" i="4"/>
  <c r="DO267" i="4"/>
  <c r="DO268" i="4"/>
  <c r="DO269" i="4"/>
  <c r="DO270" i="4"/>
  <c r="DO271" i="4"/>
  <c r="DO272" i="4"/>
  <c r="DO273" i="4"/>
  <c r="DO274" i="4"/>
  <c r="DO275" i="4"/>
  <c r="DT264" i="4"/>
  <c r="DT265" i="4"/>
  <c r="DT266" i="4"/>
  <c r="DT267" i="4"/>
  <c r="DT268" i="4"/>
  <c r="DT269" i="4"/>
  <c r="DT270" i="4"/>
  <c r="DT271" i="4"/>
  <c r="DT272" i="4"/>
  <c r="DT273" i="4"/>
  <c r="DT274" i="4"/>
  <c r="DT275" i="4"/>
  <c r="DS264" i="4"/>
  <c r="DS265" i="4"/>
  <c r="DS266" i="4"/>
  <c r="DS267" i="4"/>
  <c r="DS268" i="4"/>
  <c r="DS269" i="4"/>
  <c r="DS270" i="4"/>
  <c r="DS271" i="4"/>
  <c r="DS272" i="4"/>
  <c r="DS273" i="4"/>
  <c r="DS274" i="4"/>
  <c r="DS275" i="4"/>
  <c r="L31" i="34" s="1"/>
  <c r="CG432" i="4"/>
  <c r="DN252" i="4"/>
  <c r="DN253" i="4"/>
  <c r="DN254" i="4"/>
  <c r="DN255" i="4"/>
  <c r="DN256" i="4"/>
  <c r="DN257" i="4"/>
  <c r="DN258" i="4"/>
  <c r="DN259" i="4"/>
  <c r="DN260" i="4"/>
  <c r="DN261" i="4"/>
  <c r="DN262" i="4"/>
  <c r="DN263" i="4"/>
  <c r="DR252" i="4"/>
  <c r="DR253" i="4"/>
  <c r="J8" i="34" s="1"/>
  <c r="DR254" i="4"/>
  <c r="DR255" i="4"/>
  <c r="DR256" i="4"/>
  <c r="DR257" i="4"/>
  <c r="DR258" i="4"/>
  <c r="DR259" i="4"/>
  <c r="DR260" i="4"/>
  <c r="DR261" i="4"/>
  <c r="J16" i="34" s="1"/>
  <c r="DR262" i="4"/>
  <c r="DR263" i="4"/>
  <c r="DO252" i="4"/>
  <c r="DO253" i="4"/>
  <c r="DO254" i="4"/>
  <c r="DO255" i="4"/>
  <c r="DO256" i="4"/>
  <c r="DO257" i="4"/>
  <c r="DO258" i="4"/>
  <c r="DO259" i="4"/>
  <c r="DO260" i="4"/>
  <c r="DO261" i="4"/>
  <c r="DO262" i="4"/>
  <c r="DO263" i="4"/>
  <c r="DT252" i="4"/>
  <c r="K7" i="34" s="1"/>
  <c r="DT253" i="4"/>
  <c r="DT254" i="4"/>
  <c r="DT255" i="4"/>
  <c r="DT256" i="4"/>
  <c r="DT257" i="4"/>
  <c r="DT258" i="4"/>
  <c r="DT259" i="4"/>
  <c r="DT260" i="4"/>
  <c r="DT261" i="4"/>
  <c r="DT262" i="4"/>
  <c r="DT263" i="4"/>
  <c r="DS252" i="4"/>
  <c r="DS253" i="4"/>
  <c r="DS254" i="4"/>
  <c r="DS255" i="4"/>
  <c r="DS256" i="4"/>
  <c r="DS257" i="4"/>
  <c r="DS258" i="4"/>
  <c r="L13" i="34" s="1"/>
  <c r="DS259" i="4"/>
  <c r="DS260" i="4"/>
  <c r="DS261" i="4"/>
  <c r="DS262" i="4"/>
  <c r="DS263" i="4"/>
  <c r="CG431" i="4"/>
  <c r="DM291" i="4"/>
  <c r="DN291" i="4"/>
  <c r="DR291" i="4"/>
  <c r="DO291" i="4"/>
  <c r="DT291" i="4"/>
  <c r="DS291" i="4"/>
  <c r="DM288" i="4"/>
  <c r="DN288" i="4"/>
  <c r="DR288" i="4"/>
  <c r="DO288" i="4"/>
  <c r="DT288" i="4"/>
  <c r="DS288" i="4"/>
  <c r="DM289" i="4"/>
  <c r="DN289" i="4"/>
  <c r="DR289" i="4"/>
  <c r="DO289" i="4"/>
  <c r="DT289" i="4"/>
  <c r="DS289" i="4"/>
  <c r="DM290" i="4"/>
  <c r="DN290" i="4"/>
  <c r="DR290" i="4"/>
  <c r="DO290" i="4"/>
  <c r="DT290" i="4"/>
  <c r="DS290" i="4"/>
  <c r="DM265" i="4"/>
  <c r="DM266" i="4"/>
  <c r="DM267" i="4"/>
  <c r="DM268" i="4"/>
  <c r="DM269" i="4"/>
  <c r="DM270" i="4"/>
  <c r="DM271" i="4"/>
  <c r="DM272" i="4"/>
  <c r="DM273" i="4"/>
  <c r="DM274" i="4"/>
  <c r="DM275" i="4"/>
  <c r="DM264" i="4"/>
  <c r="DM253" i="4"/>
  <c r="DM254" i="4"/>
  <c r="DM255" i="4"/>
  <c r="DM256" i="4"/>
  <c r="H11" i="34" s="1"/>
  <c r="DM257" i="4"/>
  <c r="DM258" i="4"/>
  <c r="H13" i="34" s="1"/>
  <c r="DM259" i="4"/>
  <c r="DM260" i="4"/>
  <c r="DM261" i="4"/>
  <c r="H16" i="34" s="1"/>
  <c r="DM262" i="4"/>
  <c r="DM263" i="4"/>
  <c r="H18" i="34" s="1"/>
  <c r="DM252" i="4"/>
  <c r="N46" i="16"/>
  <c r="O46" i="16"/>
  <c r="N44" i="16"/>
  <c r="O44" i="16"/>
  <c r="N47" i="16"/>
  <c r="O47" i="16"/>
  <c r="N48" i="16"/>
  <c r="O48" i="16"/>
  <c r="N49" i="16"/>
  <c r="O49" i="16"/>
  <c r="DM251" i="4"/>
  <c r="DN251" i="4"/>
  <c r="DD288" i="4"/>
  <c r="DD289" i="4"/>
  <c r="DD290" i="4"/>
  <c r="DD291" i="4"/>
  <c r="EF288" i="4"/>
  <c r="EG288" i="4"/>
  <c r="EF287" i="4"/>
  <c r="EG287" i="4"/>
  <c r="EF289" i="4"/>
  <c r="EG289" i="4"/>
  <c r="EF290" i="4"/>
  <c r="EG290" i="4"/>
  <c r="EF291" i="4"/>
  <c r="EG291" i="4"/>
  <c r="DM34" i="4"/>
  <c r="DN34" i="4"/>
  <c r="DM35" i="4"/>
  <c r="DN35" i="4"/>
  <c r="DM36" i="4"/>
  <c r="DN36" i="4"/>
  <c r="DM37" i="4"/>
  <c r="DN37" i="4"/>
  <c r="DM38" i="4"/>
  <c r="DN38" i="4"/>
  <c r="DM39" i="4"/>
  <c r="DN39" i="4"/>
  <c r="DM40" i="4"/>
  <c r="DN40" i="4"/>
  <c r="DM41" i="4"/>
  <c r="DN41" i="4"/>
  <c r="DM42" i="4"/>
  <c r="DN42" i="4"/>
  <c r="DM43" i="4"/>
  <c r="DN43" i="4"/>
  <c r="DM44" i="4"/>
  <c r="DN44" i="4"/>
  <c r="DM45" i="4"/>
  <c r="DN45" i="4"/>
  <c r="DM46" i="4"/>
  <c r="DN46" i="4"/>
  <c r="DM47" i="4"/>
  <c r="DN47" i="4"/>
  <c r="DM48" i="4"/>
  <c r="DN48" i="4"/>
  <c r="DM49" i="4"/>
  <c r="DN49" i="4"/>
  <c r="DM50" i="4"/>
  <c r="DN50" i="4"/>
  <c r="DM51" i="4"/>
  <c r="DN51" i="4"/>
  <c r="DM52" i="4"/>
  <c r="DN52" i="4"/>
  <c r="DM53" i="4"/>
  <c r="DN53" i="4"/>
  <c r="DM54" i="4"/>
  <c r="DN54" i="4"/>
  <c r="DM55" i="4"/>
  <c r="DN55" i="4"/>
  <c r="DM56" i="4"/>
  <c r="DN56" i="4"/>
  <c r="DM57" i="4"/>
  <c r="DN57" i="4"/>
  <c r="DM58" i="4"/>
  <c r="DN58" i="4"/>
  <c r="DM59" i="4"/>
  <c r="DN59" i="4"/>
  <c r="DM60" i="4"/>
  <c r="DN60" i="4"/>
  <c r="DM61" i="4"/>
  <c r="DN61" i="4"/>
  <c r="DM62" i="4"/>
  <c r="DN62" i="4"/>
  <c r="DM63" i="4"/>
  <c r="DN63" i="4"/>
  <c r="DM64" i="4"/>
  <c r="DN64" i="4"/>
  <c r="DM65" i="4"/>
  <c r="DN65" i="4"/>
  <c r="DM66" i="4"/>
  <c r="DN66" i="4"/>
  <c r="DM67" i="4"/>
  <c r="DN67" i="4"/>
  <c r="DM68" i="4"/>
  <c r="DN68" i="4"/>
  <c r="DM69" i="4"/>
  <c r="DN69" i="4"/>
  <c r="DM70" i="4"/>
  <c r="DN70" i="4"/>
  <c r="DM71" i="4"/>
  <c r="DN71" i="4"/>
  <c r="DM72" i="4"/>
  <c r="DN72" i="4"/>
  <c r="DM73" i="4"/>
  <c r="DN73" i="4"/>
  <c r="DM74" i="4"/>
  <c r="DN74" i="4"/>
  <c r="DM75" i="4"/>
  <c r="DN75" i="4"/>
  <c r="DM76" i="4"/>
  <c r="DN76" i="4"/>
  <c r="DM77" i="4"/>
  <c r="DN77" i="4"/>
  <c r="DM78" i="4"/>
  <c r="DN78" i="4"/>
  <c r="DM79" i="4"/>
  <c r="DN79" i="4"/>
  <c r="DM80" i="4"/>
  <c r="DN80" i="4"/>
  <c r="DM81" i="4"/>
  <c r="DN81" i="4"/>
  <c r="DM82" i="4"/>
  <c r="DN82" i="4"/>
  <c r="DM83" i="4"/>
  <c r="DN83" i="4"/>
  <c r="DM84" i="4"/>
  <c r="DN84" i="4"/>
  <c r="DM85" i="4"/>
  <c r="DN85" i="4"/>
  <c r="DM86" i="4"/>
  <c r="DN86" i="4"/>
  <c r="DM87" i="4"/>
  <c r="DN87" i="4"/>
  <c r="DM88" i="4"/>
  <c r="DN88" i="4"/>
  <c r="DM89" i="4"/>
  <c r="DN89" i="4"/>
  <c r="DM90" i="4"/>
  <c r="DN90" i="4"/>
  <c r="DM91" i="4"/>
  <c r="DN91" i="4"/>
  <c r="DM92" i="4"/>
  <c r="DN92" i="4"/>
  <c r="DM93" i="4"/>
  <c r="DN93" i="4"/>
  <c r="DM94" i="4"/>
  <c r="DN94" i="4"/>
  <c r="DM95" i="4"/>
  <c r="DN95" i="4"/>
  <c r="DM96" i="4"/>
  <c r="DN96" i="4"/>
  <c r="DM97" i="4"/>
  <c r="DN97" i="4"/>
  <c r="DM98" i="4"/>
  <c r="DN98" i="4"/>
  <c r="DM99" i="4"/>
  <c r="DN99" i="4"/>
  <c r="DM100" i="4"/>
  <c r="DN100" i="4"/>
  <c r="DM101" i="4"/>
  <c r="DN101" i="4"/>
  <c r="DM102" i="4"/>
  <c r="DN102" i="4"/>
  <c r="DM103" i="4"/>
  <c r="DN103" i="4"/>
  <c r="DM104" i="4"/>
  <c r="DN104" i="4"/>
  <c r="DM105" i="4"/>
  <c r="DN105" i="4"/>
  <c r="DM106" i="4"/>
  <c r="DN106" i="4"/>
  <c r="DM107" i="4"/>
  <c r="DN107" i="4"/>
  <c r="DM108" i="4"/>
  <c r="DN108" i="4"/>
  <c r="DM109" i="4"/>
  <c r="DN109" i="4"/>
  <c r="DM110" i="4"/>
  <c r="DN110" i="4"/>
  <c r="DM111" i="4"/>
  <c r="DN111" i="4"/>
  <c r="DM112" i="4"/>
  <c r="DN112" i="4"/>
  <c r="DM113" i="4"/>
  <c r="DN113" i="4"/>
  <c r="DM114" i="4"/>
  <c r="DN114" i="4"/>
  <c r="DM115" i="4"/>
  <c r="DN115" i="4"/>
  <c r="DM116" i="4"/>
  <c r="DN116" i="4"/>
  <c r="DM117" i="4"/>
  <c r="DN117" i="4"/>
  <c r="DM118" i="4"/>
  <c r="DN118" i="4"/>
  <c r="DM119" i="4"/>
  <c r="DN119" i="4"/>
  <c r="DM120" i="4"/>
  <c r="DN120" i="4"/>
  <c r="DM121" i="4"/>
  <c r="DN121" i="4"/>
  <c r="DM122" i="4"/>
  <c r="DN122" i="4"/>
  <c r="DM123" i="4"/>
  <c r="DN123" i="4"/>
  <c r="DM124" i="4"/>
  <c r="DN124" i="4"/>
  <c r="DM125" i="4"/>
  <c r="DN125" i="4"/>
  <c r="DM126" i="4"/>
  <c r="DN126" i="4"/>
  <c r="DM127" i="4"/>
  <c r="DN127" i="4"/>
  <c r="DM128" i="4"/>
  <c r="DN128" i="4"/>
  <c r="DM129" i="4"/>
  <c r="DN129" i="4"/>
  <c r="DM130" i="4"/>
  <c r="DN130" i="4"/>
  <c r="DM131" i="4"/>
  <c r="DN131" i="4"/>
  <c r="DM132" i="4"/>
  <c r="DN132" i="4"/>
  <c r="DM133" i="4"/>
  <c r="DN133" i="4"/>
  <c r="DM134" i="4"/>
  <c r="DN134" i="4"/>
  <c r="DM135" i="4"/>
  <c r="DN135" i="4"/>
  <c r="DM136" i="4"/>
  <c r="DN136" i="4"/>
  <c r="DM137" i="4"/>
  <c r="DN137" i="4"/>
  <c r="DM138" i="4"/>
  <c r="DN138" i="4"/>
  <c r="DM139" i="4"/>
  <c r="DN139" i="4"/>
  <c r="DM140" i="4"/>
  <c r="DN140" i="4"/>
  <c r="DM141" i="4"/>
  <c r="DN141" i="4"/>
  <c r="DM142" i="4"/>
  <c r="DN142" i="4"/>
  <c r="DM143" i="4"/>
  <c r="DN143" i="4"/>
  <c r="DM144" i="4"/>
  <c r="DN144" i="4"/>
  <c r="DM145" i="4"/>
  <c r="DN145" i="4"/>
  <c r="DM146" i="4"/>
  <c r="DN146" i="4"/>
  <c r="DM147" i="4"/>
  <c r="DN147" i="4"/>
  <c r="DM148" i="4"/>
  <c r="DN148" i="4"/>
  <c r="DM149" i="4"/>
  <c r="DN149" i="4"/>
  <c r="DM150" i="4"/>
  <c r="DN150" i="4"/>
  <c r="DM151" i="4"/>
  <c r="DN151" i="4"/>
  <c r="DM152" i="4"/>
  <c r="DN152" i="4"/>
  <c r="DM153" i="4"/>
  <c r="DN153" i="4"/>
  <c r="DM154" i="4"/>
  <c r="DN154" i="4"/>
  <c r="DM155" i="4"/>
  <c r="DN155" i="4"/>
  <c r="DM156" i="4"/>
  <c r="DN156" i="4"/>
  <c r="DM157" i="4"/>
  <c r="DN157" i="4"/>
  <c r="DM158" i="4"/>
  <c r="DN158" i="4"/>
  <c r="DM159" i="4"/>
  <c r="DN159" i="4"/>
  <c r="DM160" i="4"/>
  <c r="DN160" i="4"/>
  <c r="DM161" i="4"/>
  <c r="DN161" i="4"/>
  <c r="DM162" i="4"/>
  <c r="DN162" i="4"/>
  <c r="DM163" i="4"/>
  <c r="DN163" i="4"/>
  <c r="DM164" i="4"/>
  <c r="DN164" i="4"/>
  <c r="DM165" i="4"/>
  <c r="DN165" i="4"/>
  <c r="DM166" i="4"/>
  <c r="DN166" i="4"/>
  <c r="DM167" i="4"/>
  <c r="DN167" i="4"/>
  <c r="DM168" i="4"/>
  <c r="DN168" i="4"/>
  <c r="DM169" i="4"/>
  <c r="DN169" i="4"/>
  <c r="DM170" i="4"/>
  <c r="DN170" i="4"/>
  <c r="DM171" i="4"/>
  <c r="DN171" i="4"/>
  <c r="DM172" i="4"/>
  <c r="DN172" i="4"/>
  <c r="DM173" i="4"/>
  <c r="DN173" i="4"/>
  <c r="DM174" i="4"/>
  <c r="DN174" i="4"/>
  <c r="DM175" i="4"/>
  <c r="DN175" i="4"/>
  <c r="DM176" i="4"/>
  <c r="DN176" i="4"/>
  <c r="DM177" i="4"/>
  <c r="DN177" i="4"/>
  <c r="DM178" i="4"/>
  <c r="DN178" i="4"/>
  <c r="DM179" i="4"/>
  <c r="DN179" i="4"/>
  <c r="DM180" i="4"/>
  <c r="DN180" i="4"/>
  <c r="DM181" i="4"/>
  <c r="DN181" i="4"/>
  <c r="DM182" i="4"/>
  <c r="DN182" i="4"/>
  <c r="DM183" i="4"/>
  <c r="DN183" i="4"/>
  <c r="DM184" i="4"/>
  <c r="DN184" i="4"/>
  <c r="DM185" i="4"/>
  <c r="DN185" i="4"/>
  <c r="DM186" i="4"/>
  <c r="DN186" i="4"/>
  <c r="DM187" i="4"/>
  <c r="DN187" i="4"/>
  <c r="DM188" i="4"/>
  <c r="DN188" i="4"/>
  <c r="DM189" i="4"/>
  <c r="DN189" i="4"/>
  <c r="DM190" i="4"/>
  <c r="DN190" i="4"/>
  <c r="DM191" i="4"/>
  <c r="DN191" i="4"/>
  <c r="DM192" i="4"/>
  <c r="DN192" i="4"/>
  <c r="DM193" i="4"/>
  <c r="DN193" i="4"/>
  <c r="DM194" i="4"/>
  <c r="DN194" i="4"/>
  <c r="DM195" i="4"/>
  <c r="DN195" i="4"/>
  <c r="DM196" i="4"/>
  <c r="DN196" i="4"/>
  <c r="DM197" i="4"/>
  <c r="DN197" i="4"/>
  <c r="DM198" i="4"/>
  <c r="DN198" i="4"/>
  <c r="DM199" i="4"/>
  <c r="DN199" i="4"/>
  <c r="DM200" i="4"/>
  <c r="DN200" i="4"/>
  <c r="DM201" i="4"/>
  <c r="DN201" i="4"/>
  <c r="DM202" i="4"/>
  <c r="DN202" i="4"/>
  <c r="DM203" i="4"/>
  <c r="DN203" i="4"/>
  <c r="DM204" i="4"/>
  <c r="DN204" i="4"/>
  <c r="DM205" i="4"/>
  <c r="DN205" i="4"/>
  <c r="DM206" i="4"/>
  <c r="DN206" i="4"/>
  <c r="DM207" i="4"/>
  <c r="DN207" i="4"/>
  <c r="DM208" i="4"/>
  <c r="DN208" i="4"/>
  <c r="DM209" i="4"/>
  <c r="DN209" i="4"/>
  <c r="DM210" i="4"/>
  <c r="DN210" i="4"/>
  <c r="DM211" i="4"/>
  <c r="DN211" i="4"/>
  <c r="DM212" i="4"/>
  <c r="DN212" i="4"/>
  <c r="DM213" i="4"/>
  <c r="DN213" i="4"/>
  <c r="DM214" i="4"/>
  <c r="DN214" i="4"/>
  <c r="DM215" i="4"/>
  <c r="DN215" i="4"/>
  <c r="DM216" i="4"/>
  <c r="DN216" i="4"/>
  <c r="DM217" i="4"/>
  <c r="DN217" i="4"/>
  <c r="DM218" i="4"/>
  <c r="DN218" i="4"/>
  <c r="DM219" i="4"/>
  <c r="DN219" i="4"/>
  <c r="DM220" i="4"/>
  <c r="DN220" i="4"/>
  <c r="DM221" i="4"/>
  <c r="DN221" i="4"/>
  <c r="DM222" i="4"/>
  <c r="DN222" i="4"/>
  <c r="DM223" i="4"/>
  <c r="DN223" i="4"/>
  <c r="DM224" i="4"/>
  <c r="DN224" i="4"/>
  <c r="DM225" i="4"/>
  <c r="DN225" i="4"/>
  <c r="DM226" i="4"/>
  <c r="DN226" i="4"/>
  <c r="DM227" i="4"/>
  <c r="DN227" i="4"/>
  <c r="DM228" i="4"/>
  <c r="DN228" i="4"/>
  <c r="DM229" i="4"/>
  <c r="DN229" i="4"/>
  <c r="DM230" i="4"/>
  <c r="DN230" i="4"/>
  <c r="DM231" i="4"/>
  <c r="DN231" i="4"/>
  <c r="DM232" i="4"/>
  <c r="DN232" i="4"/>
  <c r="DM233" i="4"/>
  <c r="DN233" i="4"/>
  <c r="DM234" i="4"/>
  <c r="DN234" i="4"/>
  <c r="DM235" i="4"/>
  <c r="DN235" i="4"/>
  <c r="DM236" i="4"/>
  <c r="DN236" i="4"/>
  <c r="DM237" i="4"/>
  <c r="DN237" i="4"/>
  <c r="DM238" i="4"/>
  <c r="DN238" i="4"/>
  <c r="DM239" i="4"/>
  <c r="DN239" i="4"/>
  <c r="DM240" i="4"/>
  <c r="DN240" i="4"/>
  <c r="DM241" i="4"/>
  <c r="DN241" i="4"/>
  <c r="DM242" i="4"/>
  <c r="DN242" i="4"/>
  <c r="DM243" i="4"/>
  <c r="DN243" i="4"/>
  <c r="DM244" i="4"/>
  <c r="DN244" i="4"/>
  <c r="DM245" i="4"/>
  <c r="DN245" i="4"/>
  <c r="DM246" i="4"/>
  <c r="DN246" i="4"/>
  <c r="DM247" i="4"/>
  <c r="DN247" i="4"/>
  <c r="DM248" i="4"/>
  <c r="DN248" i="4"/>
  <c r="DM249" i="4"/>
  <c r="DN249" i="4"/>
  <c r="DM250" i="4"/>
  <c r="DN250" i="4"/>
  <c r="DM13" i="4"/>
  <c r="DN13" i="4"/>
  <c r="DM14" i="4"/>
  <c r="DN14" i="4"/>
  <c r="DM15" i="4"/>
  <c r="DN15" i="4"/>
  <c r="DM16" i="4"/>
  <c r="DN16" i="4"/>
  <c r="DM17" i="4"/>
  <c r="DN17" i="4"/>
  <c r="DM18" i="4"/>
  <c r="DN18" i="4"/>
  <c r="DM19" i="4"/>
  <c r="DN19" i="4"/>
  <c r="DM20" i="4"/>
  <c r="DN20" i="4"/>
  <c r="DM21" i="4"/>
  <c r="DN21" i="4"/>
  <c r="DM22" i="4"/>
  <c r="DN22" i="4"/>
  <c r="DM23" i="4"/>
  <c r="DN23" i="4"/>
  <c r="DM24" i="4"/>
  <c r="DN24" i="4"/>
  <c r="DM25" i="4"/>
  <c r="DN25" i="4"/>
  <c r="DM26" i="4"/>
  <c r="DN26" i="4"/>
  <c r="DM27" i="4"/>
  <c r="DN27" i="4"/>
  <c r="DM28" i="4"/>
  <c r="DN28" i="4"/>
  <c r="DM29" i="4"/>
  <c r="DN29" i="4"/>
  <c r="DM30" i="4"/>
  <c r="DN30" i="4"/>
  <c r="DM31" i="4"/>
  <c r="DN31" i="4"/>
  <c r="DM32" i="4"/>
  <c r="DN32" i="4"/>
  <c r="DM33" i="4"/>
  <c r="DN33" i="4"/>
  <c r="DM12" i="4"/>
  <c r="DN12" i="4"/>
  <c r="I434" i="4"/>
  <c r="J434" i="4"/>
  <c r="K434" i="4"/>
  <c r="M434" i="4"/>
  <c r="N434" i="4"/>
  <c r="P434" i="4"/>
  <c r="Q434" i="4"/>
  <c r="R434" i="4"/>
  <c r="S434" i="4"/>
  <c r="T434" i="4"/>
  <c r="W434" i="4"/>
  <c r="X434" i="4"/>
  <c r="Y434" i="4"/>
  <c r="Z434" i="4"/>
  <c r="AB434" i="4"/>
  <c r="AC434" i="4"/>
  <c r="AD434" i="4"/>
  <c r="AE434" i="4"/>
  <c r="AF434" i="4"/>
  <c r="AG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BA434" i="4"/>
  <c r="BC434" i="4"/>
  <c r="BE434" i="4"/>
  <c r="BF434" i="4"/>
  <c r="BG434" i="4"/>
  <c r="BH434" i="4"/>
  <c r="BI434" i="4"/>
  <c r="BJ434" i="4"/>
  <c r="BK434" i="4"/>
  <c r="BL434" i="4"/>
  <c r="BN434" i="4"/>
  <c r="BO434" i="4"/>
  <c r="BP434" i="4"/>
  <c r="BQ434" i="4"/>
  <c r="BR434" i="4"/>
  <c r="BS434" i="4"/>
  <c r="BT434" i="4"/>
  <c r="BU434" i="4"/>
  <c r="BW434" i="4"/>
  <c r="BX434" i="4"/>
  <c r="BZ434" i="4"/>
  <c r="CA434" i="4"/>
  <c r="CB434" i="4"/>
  <c r="CC434" i="4"/>
  <c r="CD434" i="4"/>
  <c r="CE434" i="4"/>
  <c r="CF434" i="4"/>
  <c r="CG434" i="4"/>
  <c r="CH434" i="4"/>
  <c r="CI434" i="4"/>
  <c r="CJ434" i="4"/>
  <c r="CK434" i="4"/>
  <c r="CT434" i="4"/>
  <c r="CU434" i="4"/>
  <c r="CV434" i="4"/>
  <c r="CW434" i="4"/>
  <c r="CX434" i="4"/>
  <c r="CY434" i="4"/>
  <c r="G434" i="4"/>
  <c r="G433" i="4"/>
  <c r="EF241" i="4"/>
  <c r="EG241" i="4"/>
  <c r="EF242" i="4"/>
  <c r="EG242" i="4"/>
  <c r="EF243" i="4"/>
  <c r="EG243" i="4"/>
  <c r="EF244" i="4"/>
  <c r="EG244" i="4"/>
  <c r="EF245" i="4"/>
  <c r="EG245" i="4"/>
  <c r="EF246" i="4"/>
  <c r="EG246" i="4"/>
  <c r="EF247" i="4"/>
  <c r="EG247" i="4"/>
  <c r="EF248" i="4"/>
  <c r="EG248" i="4"/>
  <c r="EF249" i="4"/>
  <c r="EG249" i="4"/>
  <c r="EF250" i="4"/>
  <c r="EG250" i="4"/>
  <c r="EF251" i="4"/>
  <c r="EG251" i="4"/>
  <c r="EF252" i="4"/>
  <c r="EG252" i="4"/>
  <c r="FE241" i="4"/>
  <c r="FE242" i="4"/>
  <c r="FE243" i="4"/>
  <c r="FE244" i="4"/>
  <c r="FE245" i="4"/>
  <c r="FE246" i="4"/>
  <c r="FE247" i="4"/>
  <c r="FE248" i="4"/>
  <c r="FE249" i="4"/>
  <c r="FE250" i="4"/>
  <c r="FE251" i="4"/>
  <c r="FE252" i="4"/>
  <c r="DD144" i="4"/>
  <c r="DD145" i="4"/>
  <c r="DF145" i="4" s="1"/>
  <c r="EB145" i="4" s="1"/>
  <c r="DD146" i="4"/>
  <c r="DF146" i="4" s="1"/>
  <c r="EB146" i="4" s="1"/>
  <c r="DD147" i="4"/>
  <c r="DD148" i="4"/>
  <c r="DF148" i="4" s="1"/>
  <c r="DD149" i="4"/>
  <c r="DD150" i="4"/>
  <c r="DD151" i="4"/>
  <c r="DF151" i="4" s="1"/>
  <c r="DD152" i="4"/>
  <c r="DD153" i="4"/>
  <c r="DF153" i="4" s="1"/>
  <c r="EB153" i="4" s="1"/>
  <c r="DD154" i="4"/>
  <c r="DD155" i="4"/>
  <c r="DD156" i="4"/>
  <c r="DF156" i="4" s="1"/>
  <c r="DD157" i="4"/>
  <c r="DD158" i="4"/>
  <c r="DD159" i="4"/>
  <c r="DF159" i="4" s="1"/>
  <c r="DD160" i="4"/>
  <c r="DD161" i="4"/>
  <c r="DF161" i="4" s="1"/>
  <c r="EB161" i="4" s="1"/>
  <c r="DD162" i="4"/>
  <c r="DD163" i="4"/>
  <c r="DD164" i="4"/>
  <c r="DF164" i="4" s="1"/>
  <c r="DD165" i="4"/>
  <c r="DD166" i="4"/>
  <c r="DD167" i="4"/>
  <c r="DF167" i="4" s="1"/>
  <c r="DD168" i="4"/>
  <c r="DD169" i="4"/>
  <c r="DF169" i="4" s="1"/>
  <c r="EB169" i="4" s="1"/>
  <c r="DD170" i="4"/>
  <c r="DD171" i="4"/>
  <c r="DD172" i="4"/>
  <c r="DF172" i="4" s="1"/>
  <c r="DD173" i="4"/>
  <c r="DD174" i="4"/>
  <c r="DD175" i="4"/>
  <c r="DD176" i="4"/>
  <c r="DD177" i="4"/>
  <c r="DF177" i="4" s="1"/>
  <c r="EB177" i="4" s="1"/>
  <c r="DD178" i="4"/>
  <c r="DD179" i="4"/>
  <c r="DD180" i="4"/>
  <c r="DF180" i="4" s="1"/>
  <c r="DD181" i="4"/>
  <c r="DD182" i="4"/>
  <c r="DD183" i="4"/>
  <c r="DF183" i="4" s="1"/>
  <c r="DD184" i="4"/>
  <c r="DD185" i="4"/>
  <c r="DF185" i="4" s="1"/>
  <c r="EB185" i="4" s="1"/>
  <c r="DD186" i="4"/>
  <c r="DD187" i="4"/>
  <c r="DD188" i="4"/>
  <c r="DF188" i="4" s="1"/>
  <c r="DD189" i="4"/>
  <c r="DD190" i="4"/>
  <c r="DD191" i="4"/>
  <c r="DF191" i="4" s="1"/>
  <c r="DD192" i="4"/>
  <c r="DD193" i="4"/>
  <c r="DF193" i="4" s="1"/>
  <c r="EB193" i="4" s="1"/>
  <c r="DD194" i="4"/>
  <c r="DD195" i="4"/>
  <c r="DD196" i="4"/>
  <c r="DF196" i="4" s="1"/>
  <c r="DD197" i="4"/>
  <c r="DD198" i="4"/>
  <c r="DD199" i="4"/>
  <c r="DF199" i="4" s="1"/>
  <c r="DD200" i="4"/>
  <c r="DD201" i="4"/>
  <c r="DF201" i="4" s="1"/>
  <c r="EB201" i="4" s="1"/>
  <c r="DD202" i="4"/>
  <c r="DD203" i="4"/>
  <c r="CG426" i="4"/>
  <c r="DD204" i="4"/>
  <c r="DF204" i="4" s="1"/>
  <c r="DD205" i="4"/>
  <c r="DD206" i="4"/>
  <c r="DD207" i="4"/>
  <c r="DD208" i="4"/>
  <c r="DD209" i="4"/>
  <c r="DF209" i="4" s="1"/>
  <c r="EB209" i="4" s="1"/>
  <c r="DD210" i="4"/>
  <c r="DD211" i="4"/>
  <c r="DD212" i="4"/>
  <c r="DF212" i="4" s="1"/>
  <c r="DD213" i="4"/>
  <c r="DD214" i="4"/>
  <c r="DD215" i="4"/>
  <c r="DF215" i="4" s="1"/>
  <c r="CG427" i="4"/>
  <c r="DD216" i="4"/>
  <c r="DD217" i="4"/>
  <c r="DD218" i="4"/>
  <c r="DD219" i="4"/>
  <c r="DD220" i="4"/>
  <c r="DF220" i="4" s="1"/>
  <c r="DD221" i="4"/>
  <c r="DD222" i="4"/>
  <c r="DD223" i="4"/>
  <c r="DF223" i="4" s="1"/>
  <c r="DD224" i="4"/>
  <c r="DD225" i="4"/>
  <c r="DD226" i="4"/>
  <c r="DD227" i="4"/>
  <c r="CG428" i="4"/>
  <c r="DD228" i="4"/>
  <c r="DD229" i="4"/>
  <c r="DD230" i="4"/>
  <c r="DD231" i="4"/>
  <c r="DD232" i="4"/>
  <c r="DD233" i="4"/>
  <c r="DD234" i="4"/>
  <c r="DD235" i="4"/>
  <c r="DD236" i="4"/>
  <c r="DD237" i="4"/>
  <c r="DD238" i="4"/>
  <c r="DD239" i="4"/>
  <c r="CG429" i="4"/>
  <c r="DD240" i="4"/>
  <c r="DD241" i="4"/>
  <c r="DD242" i="4"/>
  <c r="DD243" i="4"/>
  <c r="DD244" i="4"/>
  <c r="DD245" i="4"/>
  <c r="DD246" i="4"/>
  <c r="DD247" i="4"/>
  <c r="DD248" i="4"/>
  <c r="DD249" i="4"/>
  <c r="DD250" i="4"/>
  <c r="DD251" i="4"/>
  <c r="CG430" i="4"/>
  <c r="DD252" i="4"/>
  <c r="DD253" i="4"/>
  <c r="DD254" i="4"/>
  <c r="DD255" i="4"/>
  <c r="DD256" i="4"/>
  <c r="DD257" i="4"/>
  <c r="DD258" i="4"/>
  <c r="DD259" i="4"/>
  <c r="DD260" i="4"/>
  <c r="DF260" i="4" s="1"/>
  <c r="DD261" i="4"/>
  <c r="DD262" i="4"/>
  <c r="DD263" i="4"/>
  <c r="DD264" i="4"/>
  <c r="DD265" i="4"/>
  <c r="DD266" i="4"/>
  <c r="DD267" i="4"/>
  <c r="DD268" i="4"/>
  <c r="DF268" i="4" s="1"/>
  <c r="DD269" i="4"/>
  <c r="DD270" i="4"/>
  <c r="DD271" i="4"/>
  <c r="DF271" i="4" s="1"/>
  <c r="DD272" i="4"/>
  <c r="DD273" i="4"/>
  <c r="DD274" i="4"/>
  <c r="DD275" i="4"/>
  <c r="DD276" i="4"/>
  <c r="DF276" i="4" s="1"/>
  <c r="DD277" i="4"/>
  <c r="DD278" i="4"/>
  <c r="DD279" i="4"/>
  <c r="DF279" i="4" s="1"/>
  <c r="DD280" i="4"/>
  <c r="DD281" i="4"/>
  <c r="DD282" i="4"/>
  <c r="DD283" i="4"/>
  <c r="DD284" i="4"/>
  <c r="DF284" i="4" s="1"/>
  <c r="DD285" i="4"/>
  <c r="DD286" i="4"/>
  <c r="DD287" i="4"/>
  <c r="CG43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S204" i="4"/>
  <c r="DS205" i="4"/>
  <c r="DS206" i="4"/>
  <c r="DS207" i="4"/>
  <c r="DS208" i="4"/>
  <c r="DS209" i="4"/>
  <c r="DS210" i="4"/>
  <c r="DS211" i="4"/>
  <c r="DS212" i="4"/>
  <c r="DS213" i="4"/>
  <c r="DS214" i="4"/>
  <c r="DS215" i="4"/>
  <c r="DT204" i="4"/>
  <c r="DT205" i="4"/>
  <c r="DT206" i="4"/>
  <c r="DT207" i="4"/>
  <c r="DT208" i="4"/>
  <c r="DT209" i="4"/>
  <c r="DT210" i="4"/>
  <c r="DT211" i="4"/>
  <c r="DT212" i="4"/>
  <c r="DT213" i="4"/>
  <c r="DT214" i="4"/>
  <c r="DT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S216" i="4"/>
  <c r="DS217" i="4"/>
  <c r="DS218" i="4"/>
  <c r="DS219" i="4"/>
  <c r="DS220" i="4"/>
  <c r="DS221" i="4"/>
  <c r="DS222" i="4"/>
  <c r="DS223" i="4"/>
  <c r="DS224" i="4"/>
  <c r="DS225" i="4"/>
  <c r="DS226" i="4"/>
  <c r="DS227" i="4"/>
  <c r="DT216" i="4"/>
  <c r="DT217" i="4"/>
  <c r="DT218" i="4"/>
  <c r="DT219" i="4"/>
  <c r="DT220" i="4"/>
  <c r="DT221" i="4"/>
  <c r="DT222" i="4"/>
  <c r="DT223" i="4"/>
  <c r="DT224" i="4"/>
  <c r="DT225" i="4"/>
  <c r="DT226" i="4"/>
  <c r="DT227" i="4"/>
  <c r="DO228" i="4"/>
  <c r="DO229" i="4"/>
  <c r="DO230" i="4"/>
  <c r="DO231" i="4"/>
  <c r="DO232" i="4"/>
  <c r="DO233" i="4"/>
  <c r="DO234" i="4"/>
  <c r="DO235" i="4"/>
  <c r="DO236" i="4"/>
  <c r="DO237" i="4"/>
  <c r="DO238" i="4"/>
  <c r="DO239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S228" i="4"/>
  <c r="DS229" i="4"/>
  <c r="DS230" i="4"/>
  <c r="DS231" i="4"/>
  <c r="DS232" i="4"/>
  <c r="DS233" i="4"/>
  <c r="DS234" i="4"/>
  <c r="DS235" i="4"/>
  <c r="DS236" i="4"/>
  <c r="DS237" i="4"/>
  <c r="DS238" i="4"/>
  <c r="DS239" i="4"/>
  <c r="DT228" i="4"/>
  <c r="DT229" i="4"/>
  <c r="DT230" i="4"/>
  <c r="DT231" i="4"/>
  <c r="DT232" i="4"/>
  <c r="DT233" i="4"/>
  <c r="DT234" i="4"/>
  <c r="DT235" i="4"/>
  <c r="DT236" i="4"/>
  <c r="DT237" i="4"/>
  <c r="DT238" i="4"/>
  <c r="DT239" i="4"/>
  <c r="N20" i="16"/>
  <c r="O20" i="16"/>
  <c r="N18" i="16"/>
  <c r="O18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DT156" i="4"/>
  <c r="DT157" i="4"/>
  <c r="DT158" i="4"/>
  <c r="DT159" i="4"/>
  <c r="DT160" i="4"/>
  <c r="DT161" i="4"/>
  <c r="DT162" i="4"/>
  <c r="DT163" i="4"/>
  <c r="DT164" i="4"/>
  <c r="DT165" i="4"/>
  <c r="DT166" i="4"/>
  <c r="DT167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S144" i="4"/>
  <c r="DS145" i="4"/>
  <c r="DS146" i="4"/>
  <c r="DS147" i="4"/>
  <c r="DS148" i="4"/>
  <c r="DS149" i="4"/>
  <c r="DS150" i="4"/>
  <c r="DS151" i="4"/>
  <c r="DS152" i="4"/>
  <c r="DS153" i="4"/>
  <c r="DS154" i="4"/>
  <c r="DS155" i="4"/>
  <c r="DR156" i="4"/>
  <c r="DR157" i="4"/>
  <c r="DR158" i="4"/>
  <c r="DR159" i="4"/>
  <c r="DR160" i="4"/>
  <c r="DR161" i="4"/>
  <c r="DR162" i="4"/>
  <c r="DR163" i="4"/>
  <c r="DR164" i="4"/>
  <c r="DR165" i="4"/>
  <c r="DR166" i="4"/>
  <c r="DR167" i="4"/>
  <c r="DS156" i="4"/>
  <c r="DS157" i="4"/>
  <c r="DS158" i="4"/>
  <c r="DS159" i="4"/>
  <c r="DS160" i="4"/>
  <c r="DS161" i="4"/>
  <c r="DS162" i="4"/>
  <c r="DS163" i="4"/>
  <c r="DS164" i="4"/>
  <c r="DS165" i="4"/>
  <c r="DS166" i="4"/>
  <c r="DS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S168" i="4"/>
  <c r="DS169" i="4"/>
  <c r="DS170" i="4"/>
  <c r="DS171" i="4"/>
  <c r="DS172" i="4"/>
  <c r="DS173" i="4"/>
  <c r="DS174" i="4"/>
  <c r="DS175" i="4"/>
  <c r="DS176" i="4"/>
  <c r="DS177" i="4"/>
  <c r="DS178" i="4"/>
  <c r="DS179" i="4"/>
  <c r="DR180" i="4"/>
  <c r="DR181" i="4"/>
  <c r="DR182" i="4"/>
  <c r="DR183" i="4"/>
  <c r="DR184" i="4"/>
  <c r="DR185" i="4"/>
  <c r="DR186" i="4"/>
  <c r="DR187" i="4"/>
  <c r="DR188" i="4"/>
  <c r="DR189" i="4"/>
  <c r="DR190" i="4"/>
  <c r="DR191" i="4"/>
  <c r="DS180" i="4"/>
  <c r="DS181" i="4"/>
  <c r="DS182" i="4"/>
  <c r="DS183" i="4"/>
  <c r="DS184" i="4"/>
  <c r="DS185" i="4"/>
  <c r="DS186" i="4"/>
  <c r="DS187" i="4"/>
  <c r="DS188" i="4"/>
  <c r="DS189" i="4"/>
  <c r="DS190" i="4"/>
  <c r="DS191" i="4"/>
  <c r="DO192" i="4"/>
  <c r="DR192" i="4"/>
  <c r="DS192" i="4"/>
  <c r="DT192" i="4"/>
  <c r="DO193" i="4"/>
  <c r="DR193" i="4"/>
  <c r="DS193" i="4"/>
  <c r="DT193" i="4"/>
  <c r="DO194" i="4"/>
  <c r="DR194" i="4"/>
  <c r="DS194" i="4"/>
  <c r="DT194" i="4"/>
  <c r="DO195" i="4"/>
  <c r="DR195" i="4"/>
  <c r="DS195" i="4"/>
  <c r="DT195" i="4"/>
  <c r="DO196" i="4"/>
  <c r="DR196" i="4"/>
  <c r="DS196" i="4"/>
  <c r="DT196" i="4"/>
  <c r="DO197" i="4"/>
  <c r="DR197" i="4"/>
  <c r="DS197" i="4"/>
  <c r="DT197" i="4"/>
  <c r="DO198" i="4"/>
  <c r="DR198" i="4"/>
  <c r="DS198" i="4"/>
  <c r="DT198" i="4"/>
  <c r="DO199" i="4"/>
  <c r="DR199" i="4"/>
  <c r="DS199" i="4"/>
  <c r="DT199" i="4"/>
  <c r="DO200" i="4"/>
  <c r="DR200" i="4"/>
  <c r="DS200" i="4"/>
  <c r="DT200" i="4"/>
  <c r="DO201" i="4"/>
  <c r="DR201" i="4"/>
  <c r="DS201" i="4"/>
  <c r="DT201" i="4"/>
  <c r="DO202" i="4"/>
  <c r="DR202" i="4"/>
  <c r="DS202" i="4"/>
  <c r="DT202" i="4"/>
  <c r="DO203" i="4"/>
  <c r="DR203" i="4"/>
  <c r="DS203" i="4"/>
  <c r="DT203" i="4"/>
  <c r="DO251" i="4"/>
  <c r="DR251" i="4"/>
  <c r="DS251" i="4"/>
  <c r="DT251" i="4"/>
  <c r="EF276" i="4"/>
  <c r="EG276" i="4"/>
  <c r="EF277" i="4"/>
  <c r="EG277" i="4"/>
  <c r="EF278" i="4"/>
  <c r="EG278" i="4"/>
  <c r="EF279" i="4"/>
  <c r="EG279" i="4"/>
  <c r="EF280" i="4"/>
  <c r="EG280" i="4"/>
  <c r="EF281" i="4"/>
  <c r="EG281" i="4"/>
  <c r="EF282" i="4"/>
  <c r="EG282" i="4"/>
  <c r="EF283" i="4"/>
  <c r="EG283" i="4"/>
  <c r="EF284" i="4"/>
  <c r="EG284" i="4"/>
  <c r="EF285" i="4"/>
  <c r="EG285" i="4"/>
  <c r="EF286" i="4"/>
  <c r="EG286" i="4"/>
  <c r="EJ287" i="4" s="1"/>
  <c r="I433" i="4"/>
  <c r="J433" i="4"/>
  <c r="K433" i="4"/>
  <c r="M433" i="4"/>
  <c r="N433" i="4"/>
  <c r="P433" i="4"/>
  <c r="Q433" i="4"/>
  <c r="R433" i="4"/>
  <c r="S433" i="4"/>
  <c r="T433" i="4"/>
  <c r="W433" i="4"/>
  <c r="X433" i="4"/>
  <c r="Y433" i="4"/>
  <c r="Z433" i="4"/>
  <c r="AB433" i="4"/>
  <c r="AC433" i="4"/>
  <c r="AD433" i="4"/>
  <c r="AE433" i="4"/>
  <c r="AF433" i="4"/>
  <c r="AG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BA433" i="4"/>
  <c r="BC433" i="4"/>
  <c r="BE433" i="4"/>
  <c r="BF433" i="4"/>
  <c r="BG433" i="4"/>
  <c r="BH433" i="4"/>
  <c r="BI433" i="4"/>
  <c r="BJ433" i="4"/>
  <c r="BK433" i="4"/>
  <c r="BL433" i="4"/>
  <c r="BN433" i="4"/>
  <c r="BO433" i="4"/>
  <c r="BP433" i="4"/>
  <c r="BQ433" i="4"/>
  <c r="BR433" i="4"/>
  <c r="BS433" i="4"/>
  <c r="BT433" i="4"/>
  <c r="BU433" i="4"/>
  <c r="BW433" i="4"/>
  <c r="BX433" i="4"/>
  <c r="BZ433" i="4"/>
  <c r="CA433" i="4"/>
  <c r="CB433" i="4"/>
  <c r="CC433" i="4"/>
  <c r="CD433" i="4"/>
  <c r="CE433" i="4"/>
  <c r="CF433" i="4"/>
  <c r="CH433" i="4"/>
  <c r="CI433" i="4"/>
  <c r="CJ433" i="4"/>
  <c r="CK433" i="4"/>
  <c r="CT433" i="4"/>
  <c r="CU433" i="4"/>
  <c r="CV433" i="4"/>
  <c r="CW433" i="4"/>
  <c r="CX433" i="4"/>
  <c r="CY433" i="4"/>
  <c r="N17" i="16"/>
  <c r="O17" i="16"/>
  <c r="N16" i="16"/>
  <c r="O16" i="16"/>
  <c r="N15" i="16"/>
  <c r="O15" i="16"/>
  <c r="N14" i="16"/>
  <c r="O14" i="16"/>
  <c r="N13" i="16"/>
  <c r="O13" i="16"/>
  <c r="N12" i="16"/>
  <c r="O12" i="16"/>
  <c r="N11" i="16"/>
  <c r="O11" i="16"/>
  <c r="N10" i="16"/>
  <c r="O10" i="16"/>
  <c r="N9" i="16"/>
  <c r="O9" i="16"/>
  <c r="N8" i="16"/>
  <c r="O8" i="16"/>
  <c r="N7" i="16"/>
  <c r="O7" i="16"/>
  <c r="DO180" i="4"/>
  <c r="DT180" i="4"/>
  <c r="DO181" i="4"/>
  <c r="DT181" i="4"/>
  <c r="DO182" i="4"/>
  <c r="DT182" i="4"/>
  <c r="DO183" i="4"/>
  <c r="DT183" i="4"/>
  <c r="DO184" i="4"/>
  <c r="DT184" i="4"/>
  <c r="DO185" i="4"/>
  <c r="DT185" i="4"/>
  <c r="DO186" i="4"/>
  <c r="DT186" i="4"/>
  <c r="DO187" i="4"/>
  <c r="DT187" i="4"/>
  <c r="DO188" i="4"/>
  <c r="DT188" i="4"/>
  <c r="DO189" i="4"/>
  <c r="DT189" i="4"/>
  <c r="DO190" i="4"/>
  <c r="DT190" i="4"/>
  <c r="DO191" i="4"/>
  <c r="DT191" i="4"/>
  <c r="DO240" i="4"/>
  <c r="DT240" i="4"/>
  <c r="DO241" i="4"/>
  <c r="DT241" i="4"/>
  <c r="DO242" i="4"/>
  <c r="DT242" i="4"/>
  <c r="DO243" i="4"/>
  <c r="DT243" i="4"/>
  <c r="DO244" i="4"/>
  <c r="DT244" i="4"/>
  <c r="DO245" i="4"/>
  <c r="DT245" i="4"/>
  <c r="DO246" i="4"/>
  <c r="DT246" i="4"/>
  <c r="DO247" i="4"/>
  <c r="DT247" i="4"/>
  <c r="DO248" i="4"/>
  <c r="DT248" i="4"/>
  <c r="DO249" i="4"/>
  <c r="DT249" i="4"/>
  <c r="DO250" i="4"/>
  <c r="DT250" i="4"/>
  <c r="DR243" i="4"/>
  <c r="DS243" i="4"/>
  <c r="DR244" i="4"/>
  <c r="DS244" i="4"/>
  <c r="DR245" i="4"/>
  <c r="DS245" i="4"/>
  <c r="DR246" i="4"/>
  <c r="DS246" i="4"/>
  <c r="DR247" i="4"/>
  <c r="DS247" i="4"/>
  <c r="DR248" i="4"/>
  <c r="DS248" i="4"/>
  <c r="DR249" i="4"/>
  <c r="DS249" i="4"/>
  <c r="DR250" i="4"/>
  <c r="DS250" i="4"/>
  <c r="EG275" i="4"/>
  <c r="EF275" i="4"/>
  <c r="EG253" i="4"/>
  <c r="EG254" i="4"/>
  <c r="EG255" i="4"/>
  <c r="EG256" i="4"/>
  <c r="EG257" i="4"/>
  <c r="EG258" i="4"/>
  <c r="EG259" i="4"/>
  <c r="EG260" i="4"/>
  <c r="EG261" i="4"/>
  <c r="EG262" i="4"/>
  <c r="EG263" i="4"/>
  <c r="EG264" i="4"/>
  <c r="EG265" i="4"/>
  <c r="EG266" i="4"/>
  <c r="EG267" i="4"/>
  <c r="EG268" i="4"/>
  <c r="EG269" i="4"/>
  <c r="EG270" i="4"/>
  <c r="EG271" i="4"/>
  <c r="EG272" i="4"/>
  <c r="EG273" i="4"/>
  <c r="EG274" i="4"/>
  <c r="EF253" i="4"/>
  <c r="EF254" i="4"/>
  <c r="EF255" i="4"/>
  <c r="EF256" i="4"/>
  <c r="EF257" i="4"/>
  <c r="EF258" i="4"/>
  <c r="EF259" i="4"/>
  <c r="EF260" i="4"/>
  <c r="EF261" i="4"/>
  <c r="EF262" i="4"/>
  <c r="EF263" i="4"/>
  <c r="EF264" i="4"/>
  <c r="EF265" i="4"/>
  <c r="EF266" i="4"/>
  <c r="EF267" i="4"/>
  <c r="EF268" i="4"/>
  <c r="EF269" i="4"/>
  <c r="EF270" i="4"/>
  <c r="EF271" i="4"/>
  <c r="EF272" i="4"/>
  <c r="EF273" i="4"/>
  <c r="EF274" i="4"/>
  <c r="I429" i="4"/>
  <c r="J429" i="4"/>
  <c r="K429" i="4"/>
  <c r="G429" i="4"/>
  <c r="DR240" i="4"/>
  <c r="DR241" i="4"/>
  <c r="DR242" i="4"/>
  <c r="DS240" i="4"/>
  <c r="DS241" i="4"/>
  <c r="DS242" i="4"/>
  <c r="I430" i="4"/>
  <c r="J430" i="4"/>
  <c r="K430" i="4"/>
  <c r="G430" i="4"/>
  <c r="I431" i="4"/>
  <c r="J431" i="4"/>
  <c r="K431" i="4"/>
  <c r="G431" i="4"/>
  <c r="V193" i="34" s="1"/>
  <c r="I432" i="4"/>
  <c r="J432" i="4"/>
  <c r="K432" i="4"/>
  <c r="G432" i="4"/>
  <c r="K428" i="4"/>
  <c r="J428" i="4"/>
  <c r="I428" i="4"/>
  <c r="G428" i="4"/>
  <c r="M432" i="4"/>
  <c r="N432" i="4"/>
  <c r="P432" i="4"/>
  <c r="Q432" i="4"/>
  <c r="R432" i="4"/>
  <c r="S432" i="4"/>
  <c r="T432" i="4"/>
  <c r="W432" i="4"/>
  <c r="X432" i="4"/>
  <c r="Y432" i="4"/>
  <c r="Z432" i="4"/>
  <c r="AB432" i="4"/>
  <c r="AC432" i="4"/>
  <c r="AD432" i="4"/>
  <c r="AE432" i="4"/>
  <c r="AF432" i="4"/>
  <c r="AG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BA432" i="4"/>
  <c r="BC432" i="4"/>
  <c r="BE432" i="4"/>
  <c r="BF432" i="4"/>
  <c r="BG432" i="4"/>
  <c r="BH432" i="4"/>
  <c r="BI432" i="4"/>
  <c r="BJ432" i="4"/>
  <c r="BK432" i="4"/>
  <c r="BL432" i="4"/>
  <c r="BN432" i="4"/>
  <c r="BO432" i="4"/>
  <c r="BP432" i="4"/>
  <c r="BQ432" i="4"/>
  <c r="BR432" i="4"/>
  <c r="BS432" i="4"/>
  <c r="BT432" i="4"/>
  <c r="BU432" i="4"/>
  <c r="BW432" i="4"/>
  <c r="BX432" i="4"/>
  <c r="BZ432" i="4"/>
  <c r="CA432" i="4"/>
  <c r="CB432" i="4"/>
  <c r="CC432" i="4"/>
  <c r="CD432" i="4"/>
  <c r="CE432" i="4"/>
  <c r="CF432" i="4"/>
  <c r="CH432" i="4"/>
  <c r="CI432" i="4"/>
  <c r="CJ432" i="4"/>
  <c r="CK432" i="4"/>
  <c r="CT432" i="4"/>
  <c r="CU432" i="4"/>
  <c r="CV432" i="4"/>
  <c r="CW432" i="4"/>
  <c r="CX432" i="4"/>
  <c r="CY432" i="4"/>
  <c r="DO33" i="4"/>
  <c r="DT33" i="4"/>
  <c r="DO34" i="4"/>
  <c r="DT34" i="4"/>
  <c r="DO35" i="4"/>
  <c r="DT35" i="4"/>
  <c r="DO36" i="4"/>
  <c r="DT36" i="4"/>
  <c r="DO37" i="4"/>
  <c r="DT37" i="4"/>
  <c r="DO38" i="4"/>
  <c r="DT38" i="4"/>
  <c r="DO39" i="4"/>
  <c r="DT39" i="4"/>
  <c r="DO40" i="4"/>
  <c r="DT40" i="4"/>
  <c r="DO41" i="4"/>
  <c r="DT41" i="4"/>
  <c r="DO42" i="4"/>
  <c r="DT42" i="4"/>
  <c r="DO43" i="4"/>
  <c r="DT43" i="4"/>
  <c r="DO44" i="4"/>
  <c r="DT44" i="4"/>
  <c r="DO45" i="4"/>
  <c r="DT45" i="4"/>
  <c r="DO46" i="4"/>
  <c r="DT46" i="4"/>
  <c r="DO47" i="4"/>
  <c r="DT47" i="4"/>
  <c r="DO48" i="4"/>
  <c r="DT48" i="4"/>
  <c r="DO49" i="4"/>
  <c r="DT49" i="4"/>
  <c r="DO50" i="4"/>
  <c r="DT50" i="4"/>
  <c r="DO51" i="4"/>
  <c r="DT51" i="4"/>
  <c r="DO52" i="4"/>
  <c r="DT52" i="4"/>
  <c r="DO53" i="4"/>
  <c r="DT53" i="4"/>
  <c r="DO54" i="4"/>
  <c r="DT54" i="4"/>
  <c r="DO55" i="4"/>
  <c r="DT55" i="4"/>
  <c r="DO56" i="4"/>
  <c r="DT56" i="4"/>
  <c r="DO57" i="4"/>
  <c r="DT57" i="4"/>
  <c r="DO58" i="4"/>
  <c r="DT58" i="4"/>
  <c r="DO59" i="4"/>
  <c r="DT59" i="4"/>
  <c r="DO60" i="4"/>
  <c r="DT60" i="4"/>
  <c r="DO61" i="4"/>
  <c r="DT61" i="4"/>
  <c r="DO62" i="4"/>
  <c r="DT62" i="4"/>
  <c r="DO63" i="4"/>
  <c r="DT63" i="4"/>
  <c r="DO64" i="4"/>
  <c r="DT64" i="4"/>
  <c r="DO65" i="4"/>
  <c r="DT65" i="4"/>
  <c r="DO66" i="4"/>
  <c r="DT66" i="4"/>
  <c r="DO67" i="4"/>
  <c r="DT67" i="4"/>
  <c r="DO68" i="4"/>
  <c r="DT68" i="4"/>
  <c r="DO69" i="4"/>
  <c r="DT69" i="4"/>
  <c r="DO70" i="4"/>
  <c r="DT70" i="4"/>
  <c r="DO71" i="4"/>
  <c r="DT71" i="4"/>
  <c r="DO72" i="4"/>
  <c r="DT72" i="4"/>
  <c r="DO73" i="4"/>
  <c r="DT73" i="4"/>
  <c r="DO74" i="4"/>
  <c r="DT74" i="4"/>
  <c r="DO75" i="4"/>
  <c r="DT75" i="4"/>
  <c r="DO76" i="4"/>
  <c r="DT76" i="4"/>
  <c r="DO77" i="4"/>
  <c r="DT77" i="4"/>
  <c r="DO78" i="4"/>
  <c r="DT78" i="4"/>
  <c r="DO79" i="4"/>
  <c r="DT79" i="4"/>
  <c r="DO80" i="4"/>
  <c r="DT80" i="4"/>
  <c r="DO81" i="4"/>
  <c r="DT81" i="4"/>
  <c r="DO82" i="4"/>
  <c r="DT82" i="4"/>
  <c r="DO83" i="4"/>
  <c r="DT83" i="4"/>
  <c r="DO84" i="4"/>
  <c r="DT84" i="4"/>
  <c r="DO85" i="4"/>
  <c r="DT85" i="4"/>
  <c r="DO86" i="4"/>
  <c r="DT86" i="4"/>
  <c r="DO87" i="4"/>
  <c r="DT87" i="4"/>
  <c r="DO88" i="4"/>
  <c r="DT88" i="4"/>
  <c r="DO89" i="4"/>
  <c r="DT89" i="4"/>
  <c r="DO90" i="4"/>
  <c r="DT90" i="4"/>
  <c r="DO91" i="4"/>
  <c r="DT91" i="4"/>
  <c r="DO92" i="4"/>
  <c r="DT92" i="4"/>
  <c r="DO93" i="4"/>
  <c r="DT93" i="4"/>
  <c r="DO94" i="4"/>
  <c r="DT94" i="4"/>
  <c r="DO95" i="4"/>
  <c r="DT95" i="4"/>
  <c r="DO96" i="4"/>
  <c r="DT96" i="4"/>
  <c r="DO97" i="4"/>
  <c r="DT97" i="4"/>
  <c r="DO98" i="4"/>
  <c r="DT98" i="4"/>
  <c r="DO99" i="4"/>
  <c r="DT99" i="4"/>
  <c r="DO100" i="4"/>
  <c r="DT100" i="4"/>
  <c r="DO101" i="4"/>
  <c r="DT101" i="4"/>
  <c r="DO102" i="4"/>
  <c r="DT102" i="4"/>
  <c r="DO103" i="4"/>
  <c r="DT103" i="4"/>
  <c r="DO104" i="4"/>
  <c r="DT104" i="4"/>
  <c r="DO105" i="4"/>
  <c r="DT105" i="4"/>
  <c r="DO106" i="4"/>
  <c r="DT106" i="4"/>
  <c r="DO107" i="4"/>
  <c r="DT107" i="4"/>
  <c r="DO108" i="4"/>
  <c r="DT108" i="4"/>
  <c r="DO109" i="4"/>
  <c r="DT109" i="4"/>
  <c r="DO110" i="4"/>
  <c r="DT110" i="4"/>
  <c r="DO111" i="4"/>
  <c r="DT111" i="4"/>
  <c r="DO112" i="4"/>
  <c r="DT112" i="4"/>
  <c r="DO113" i="4"/>
  <c r="DT113" i="4"/>
  <c r="DO114" i="4"/>
  <c r="DT114" i="4"/>
  <c r="DO115" i="4"/>
  <c r="DT115" i="4"/>
  <c r="DO116" i="4"/>
  <c r="DT116" i="4"/>
  <c r="DO117" i="4"/>
  <c r="DT117" i="4"/>
  <c r="DO118" i="4"/>
  <c r="DT118" i="4"/>
  <c r="DO119" i="4"/>
  <c r="DT119" i="4"/>
  <c r="DO120" i="4"/>
  <c r="DT120" i="4"/>
  <c r="DO121" i="4"/>
  <c r="DT121" i="4"/>
  <c r="DO122" i="4"/>
  <c r="DT122" i="4"/>
  <c r="DO123" i="4"/>
  <c r="DT123" i="4"/>
  <c r="DO124" i="4"/>
  <c r="DT124" i="4"/>
  <c r="DO125" i="4"/>
  <c r="DT125" i="4"/>
  <c r="DO126" i="4"/>
  <c r="DT126" i="4"/>
  <c r="DO127" i="4"/>
  <c r="DT127" i="4"/>
  <c r="DO128" i="4"/>
  <c r="DT128" i="4"/>
  <c r="DO129" i="4"/>
  <c r="DT129" i="4"/>
  <c r="DO130" i="4"/>
  <c r="DT130" i="4"/>
  <c r="DO131" i="4"/>
  <c r="DT131" i="4"/>
  <c r="DO132" i="4"/>
  <c r="DT132" i="4"/>
  <c r="DO133" i="4"/>
  <c r="DT133" i="4"/>
  <c r="DO134" i="4"/>
  <c r="DT134" i="4"/>
  <c r="DO135" i="4"/>
  <c r="DT135" i="4"/>
  <c r="DO136" i="4"/>
  <c r="DT136" i="4"/>
  <c r="DO137" i="4"/>
  <c r="DT137" i="4"/>
  <c r="DO138" i="4"/>
  <c r="DT138" i="4"/>
  <c r="DO139" i="4"/>
  <c r="DT139" i="4"/>
  <c r="DO140" i="4"/>
  <c r="DT140" i="4"/>
  <c r="DO141" i="4"/>
  <c r="DT141" i="4"/>
  <c r="DO142" i="4"/>
  <c r="DT142" i="4"/>
  <c r="DO143" i="4"/>
  <c r="DT143" i="4"/>
  <c r="DO144" i="4"/>
  <c r="DT144" i="4"/>
  <c r="DO145" i="4"/>
  <c r="DT145" i="4"/>
  <c r="DO146" i="4"/>
  <c r="DT146" i="4"/>
  <c r="DO147" i="4"/>
  <c r="DT147" i="4"/>
  <c r="DO148" i="4"/>
  <c r="DT148" i="4"/>
  <c r="DO149" i="4"/>
  <c r="DT149" i="4"/>
  <c r="DO150" i="4"/>
  <c r="DT150" i="4"/>
  <c r="DO151" i="4"/>
  <c r="DT151" i="4"/>
  <c r="DO152" i="4"/>
  <c r="DT152" i="4"/>
  <c r="DO153" i="4"/>
  <c r="DT153" i="4"/>
  <c r="DO154" i="4"/>
  <c r="DT154" i="4"/>
  <c r="DO155" i="4"/>
  <c r="DT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T168" i="4"/>
  <c r="DO169" i="4"/>
  <c r="DT169" i="4"/>
  <c r="DO170" i="4"/>
  <c r="DT170" i="4"/>
  <c r="DO171" i="4"/>
  <c r="DT171" i="4"/>
  <c r="DO172" i="4"/>
  <c r="DT172" i="4"/>
  <c r="DO173" i="4"/>
  <c r="DT173" i="4"/>
  <c r="DO174" i="4"/>
  <c r="DT174" i="4"/>
  <c r="DO175" i="4"/>
  <c r="DT175" i="4"/>
  <c r="DO176" i="4"/>
  <c r="DT176" i="4"/>
  <c r="DO177" i="4"/>
  <c r="DT177" i="4"/>
  <c r="DO178" i="4"/>
  <c r="DT178" i="4"/>
  <c r="DO179" i="4"/>
  <c r="DT179" i="4"/>
  <c r="EU8" i="4"/>
  <c r="EF240" i="4"/>
  <c r="EG240" i="4"/>
  <c r="EF228" i="4"/>
  <c r="EG228" i="4"/>
  <c r="EF229" i="4"/>
  <c r="EG229" i="4"/>
  <c r="EF230" i="4"/>
  <c r="EG230" i="4"/>
  <c r="EF231" i="4"/>
  <c r="EG231" i="4"/>
  <c r="EF232" i="4"/>
  <c r="EG232" i="4"/>
  <c r="EF233" i="4"/>
  <c r="EG233" i="4"/>
  <c r="EF234" i="4"/>
  <c r="EG234" i="4"/>
  <c r="EF235" i="4"/>
  <c r="EG235" i="4"/>
  <c r="EF236" i="4"/>
  <c r="EG236" i="4"/>
  <c r="EF237" i="4"/>
  <c r="EG237" i="4"/>
  <c r="EF238" i="4"/>
  <c r="EG238" i="4"/>
  <c r="EF239" i="4"/>
  <c r="EG239" i="4"/>
  <c r="EF216" i="4"/>
  <c r="EG216" i="4"/>
  <c r="EH216" i="4" s="1"/>
  <c r="EF217" i="4"/>
  <c r="EG217" i="4"/>
  <c r="EF218" i="4"/>
  <c r="EG218" i="4"/>
  <c r="EF219" i="4"/>
  <c r="EG219" i="4"/>
  <c r="EF220" i="4"/>
  <c r="EG220" i="4"/>
  <c r="EF221" i="4"/>
  <c r="EG221" i="4"/>
  <c r="EF222" i="4"/>
  <c r="EG222" i="4"/>
  <c r="EF223" i="4"/>
  <c r="EG223" i="4"/>
  <c r="EF224" i="4"/>
  <c r="EG224" i="4"/>
  <c r="EF225" i="4"/>
  <c r="EG225" i="4"/>
  <c r="EF226" i="4"/>
  <c r="EG226" i="4"/>
  <c r="EF227" i="4"/>
  <c r="EG227" i="4"/>
  <c r="EU7" i="4"/>
  <c r="DD12" i="4"/>
  <c r="DF12" i="4" s="1"/>
  <c r="DD13" i="4"/>
  <c r="DD14" i="4"/>
  <c r="DD15" i="4"/>
  <c r="DD16" i="4"/>
  <c r="DD17" i="4"/>
  <c r="DD18" i="4"/>
  <c r="DF18" i="4" s="1"/>
  <c r="EB18" i="4" s="1"/>
  <c r="DD19" i="4"/>
  <c r="DD20" i="4"/>
  <c r="DF20" i="4" s="1"/>
  <c r="DD21" i="4"/>
  <c r="DD22" i="4"/>
  <c r="DD23" i="4"/>
  <c r="DD24" i="4"/>
  <c r="DD25" i="4"/>
  <c r="DD26" i="4"/>
  <c r="DD27" i="4"/>
  <c r="DD28" i="4"/>
  <c r="DF28" i="4" s="1"/>
  <c r="DD29" i="4"/>
  <c r="DD30" i="4"/>
  <c r="DD31" i="4"/>
  <c r="DD32" i="4"/>
  <c r="DD33" i="4"/>
  <c r="DD34" i="4"/>
  <c r="DF34" i="4" s="1"/>
  <c r="EB34" i="4" s="1"/>
  <c r="DD35" i="4"/>
  <c r="DD36" i="4"/>
  <c r="DF36" i="4" s="1"/>
  <c r="DD37" i="4"/>
  <c r="DD38" i="4"/>
  <c r="DD39" i="4"/>
  <c r="DD40" i="4"/>
  <c r="DD41" i="4"/>
  <c r="DD42" i="4"/>
  <c r="DD43" i="4"/>
  <c r="DD44" i="4"/>
  <c r="DF44" i="4" s="1"/>
  <c r="DD45" i="4"/>
  <c r="DD46" i="4"/>
  <c r="DD47" i="4"/>
  <c r="DD48" i="4"/>
  <c r="DD49" i="4"/>
  <c r="DD50" i="4"/>
  <c r="DD51" i="4"/>
  <c r="DD52" i="4"/>
  <c r="DF52" i="4" s="1"/>
  <c r="DD53" i="4"/>
  <c r="DD54" i="4"/>
  <c r="DD55" i="4"/>
  <c r="DD56" i="4"/>
  <c r="DD57" i="4"/>
  <c r="DD58" i="4"/>
  <c r="DD59" i="4"/>
  <c r="DD60" i="4"/>
  <c r="DF60" i="4" s="1"/>
  <c r="DD61" i="4"/>
  <c r="DD62" i="4"/>
  <c r="DD63" i="4"/>
  <c r="DD64" i="4"/>
  <c r="DD65" i="4"/>
  <c r="DD66" i="4"/>
  <c r="DD67" i="4"/>
  <c r="DD68" i="4"/>
  <c r="DF68" i="4" s="1"/>
  <c r="DD69" i="4"/>
  <c r="DD70" i="4"/>
  <c r="DD71" i="4"/>
  <c r="DD72" i="4"/>
  <c r="DD73" i="4"/>
  <c r="DD74" i="4"/>
  <c r="DF74" i="4" s="1"/>
  <c r="EB74" i="4" s="1"/>
  <c r="DD75" i="4"/>
  <c r="DD76" i="4"/>
  <c r="DF76" i="4" s="1"/>
  <c r="DD77" i="4"/>
  <c r="DD78" i="4"/>
  <c r="DD79" i="4"/>
  <c r="DD80" i="4"/>
  <c r="DD81" i="4"/>
  <c r="DD82" i="4"/>
  <c r="DD83" i="4"/>
  <c r="DD84" i="4"/>
  <c r="DF84" i="4" s="1"/>
  <c r="DD85" i="4"/>
  <c r="DD86" i="4"/>
  <c r="DD87" i="4"/>
  <c r="DD88" i="4"/>
  <c r="DD89" i="4"/>
  <c r="DD90" i="4"/>
  <c r="DD91" i="4"/>
  <c r="DD92" i="4"/>
  <c r="DF92" i="4" s="1"/>
  <c r="DD93" i="4"/>
  <c r="DD94" i="4"/>
  <c r="DD95" i="4"/>
  <c r="DD96" i="4"/>
  <c r="DD97" i="4"/>
  <c r="DD98" i="4"/>
  <c r="DD99" i="4"/>
  <c r="DD100" i="4"/>
  <c r="DF100" i="4" s="1"/>
  <c r="DD101" i="4"/>
  <c r="DD102" i="4"/>
  <c r="DD103" i="4"/>
  <c r="DD104" i="4"/>
  <c r="DD105" i="4"/>
  <c r="DD106" i="4"/>
  <c r="DD107" i="4"/>
  <c r="DD108" i="4"/>
  <c r="DF108" i="4" s="1"/>
  <c r="DD109" i="4"/>
  <c r="DD110" i="4"/>
  <c r="DD111" i="4"/>
  <c r="DD112" i="4"/>
  <c r="DD113" i="4"/>
  <c r="DD114" i="4"/>
  <c r="DD115" i="4"/>
  <c r="DD116" i="4"/>
  <c r="DF116" i="4" s="1"/>
  <c r="DD117" i="4"/>
  <c r="DD118" i="4"/>
  <c r="DD119" i="4"/>
  <c r="DF119" i="4" s="1"/>
  <c r="EB119" i="4" s="1"/>
  <c r="DD120" i="4"/>
  <c r="DD121" i="4"/>
  <c r="DD122" i="4"/>
  <c r="DD123" i="4"/>
  <c r="DD124" i="4"/>
  <c r="DF124" i="4" s="1"/>
  <c r="DD125" i="4"/>
  <c r="DD126" i="4"/>
  <c r="DD127" i="4"/>
  <c r="DD128" i="4"/>
  <c r="DD129" i="4"/>
  <c r="DD130" i="4"/>
  <c r="DF130" i="4" s="1"/>
  <c r="EB130" i="4" s="1"/>
  <c r="DD131" i="4"/>
  <c r="DD132" i="4"/>
  <c r="DF132" i="4" s="1"/>
  <c r="DD133" i="4"/>
  <c r="DD134" i="4"/>
  <c r="DD135" i="4"/>
  <c r="DD136" i="4"/>
  <c r="DD137" i="4"/>
  <c r="DD138" i="4"/>
  <c r="DD139" i="4"/>
  <c r="DD140" i="4"/>
  <c r="DF140" i="4" s="1"/>
  <c r="DD141" i="4"/>
  <c r="DD142" i="4"/>
  <c r="DD143" i="4"/>
  <c r="DO12" i="4"/>
  <c r="DR12" i="4"/>
  <c r="DS12" i="4"/>
  <c r="DT12" i="4"/>
  <c r="DO13" i="4"/>
  <c r="DR13" i="4"/>
  <c r="DS13" i="4"/>
  <c r="DT13" i="4"/>
  <c r="DO14" i="4"/>
  <c r="DR14" i="4"/>
  <c r="DS14" i="4"/>
  <c r="DT14" i="4"/>
  <c r="DO15" i="4"/>
  <c r="DR15" i="4"/>
  <c r="DS15" i="4"/>
  <c r="DT15" i="4"/>
  <c r="DO16" i="4"/>
  <c r="DR16" i="4"/>
  <c r="DS16" i="4"/>
  <c r="DT16" i="4"/>
  <c r="DO17" i="4"/>
  <c r="DR17" i="4"/>
  <c r="DS17" i="4"/>
  <c r="DT17" i="4"/>
  <c r="DO18" i="4"/>
  <c r="DR18" i="4"/>
  <c r="DS18" i="4"/>
  <c r="DT18" i="4"/>
  <c r="DO19" i="4"/>
  <c r="DR19" i="4"/>
  <c r="DS19" i="4"/>
  <c r="DT19" i="4"/>
  <c r="DO20" i="4"/>
  <c r="DR20" i="4"/>
  <c r="DS20" i="4"/>
  <c r="DT20" i="4"/>
  <c r="DO21" i="4"/>
  <c r="DR21" i="4"/>
  <c r="DS21" i="4"/>
  <c r="DT21" i="4"/>
  <c r="DO22" i="4"/>
  <c r="DR22" i="4"/>
  <c r="DS22" i="4"/>
  <c r="DT22" i="4"/>
  <c r="DO23" i="4"/>
  <c r="DR23" i="4"/>
  <c r="DS23" i="4"/>
  <c r="DT23" i="4"/>
  <c r="DO24" i="4"/>
  <c r="DR24" i="4"/>
  <c r="DS24" i="4"/>
  <c r="DT24" i="4"/>
  <c r="DO25" i="4"/>
  <c r="DR25" i="4"/>
  <c r="DS25" i="4"/>
  <c r="DT25" i="4"/>
  <c r="DO26" i="4"/>
  <c r="DR26" i="4"/>
  <c r="DS26" i="4"/>
  <c r="DT26" i="4"/>
  <c r="DO27" i="4"/>
  <c r="DR27" i="4"/>
  <c r="DS27" i="4"/>
  <c r="DT27" i="4"/>
  <c r="DO28" i="4"/>
  <c r="DR28" i="4"/>
  <c r="DS28" i="4"/>
  <c r="DT28" i="4"/>
  <c r="DO29" i="4"/>
  <c r="DR29" i="4"/>
  <c r="DS29" i="4"/>
  <c r="DT29" i="4"/>
  <c r="DO30" i="4"/>
  <c r="DR30" i="4"/>
  <c r="DS30" i="4"/>
  <c r="DT30" i="4"/>
  <c r="DO31" i="4"/>
  <c r="DR31" i="4"/>
  <c r="DS31" i="4"/>
  <c r="DT31" i="4"/>
  <c r="DO32" i="4"/>
  <c r="DR32" i="4"/>
  <c r="DS32" i="4"/>
  <c r="DT32" i="4"/>
  <c r="DR33" i="4"/>
  <c r="DS33" i="4"/>
  <c r="DR34" i="4"/>
  <c r="DS34" i="4"/>
  <c r="DR35" i="4"/>
  <c r="DS35" i="4"/>
  <c r="DR36" i="4"/>
  <c r="DS36" i="4"/>
  <c r="DR37" i="4"/>
  <c r="DS37" i="4"/>
  <c r="DR38" i="4"/>
  <c r="DS38" i="4"/>
  <c r="DR39" i="4"/>
  <c r="DS39" i="4"/>
  <c r="DR40" i="4"/>
  <c r="DS40" i="4"/>
  <c r="DR41" i="4"/>
  <c r="DS41" i="4"/>
  <c r="DR42" i="4"/>
  <c r="DS42" i="4"/>
  <c r="DR43" i="4"/>
  <c r="DS43" i="4"/>
  <c r="DR44" i="4"/>
  <c r="DS44" i="4"/>
  <c r="DR45" i="4"/>
  <c r="DS45" i="4"/>
  <c r="DR46" i="4"/>
  <c r="DS46" i="4"/>
  <c r="DR47" i="4"/>
  <c r="DS47" i="4"/>
  <c r="DR48" i="4"/>
  <c r="DS48" i="4"/>
  <c r="DR49" i="4"/>
  <c r="DS49" i="4"/>
  <c r="DR50" i="4"/>
  <c r="DS50" i="4"/>
  <c r="DR51" i="4"/>
  <c r="DS51" i="4"/>
  <c r="DR52" i="4"/>
  <c r="DS52" i="4"/>
  <c r="DR53" i="4"/>
  <c r="DS53" i="4"/>
  <c r="DR54" i="4"/>
  <c r="DS54" i="4"/>
  <c r="DR55" i="4"/>
  <c r="DS55" i="4"/>
  <c r="DR56" i="4"/>
  <c r="DS56" i="4"/>
  <c r="DR57" i="4"/>
  <c r="DS57" i="4"/>
  <c r="DR58" i="4"/>
  <c r="DS58" i="4"/>
  <c r="DR59" i="4"/>
  <c r="DS59" i="4"/>
  <c r="DR60" i="4"/>
  <c r="DS60" i="4"/>
  <c r="DR61" i="4"/>
  <c r="DS61" i="4"/>
  <c r="DR62" i="4"/>
  <c r="DS62" i="4"/>
  <c r="DR63" i="4"/>
  <c r="DS63" i="4"/>
  <c r="DR64" i="4"/>
  <c r="DS64" i="4"/>
  <c r="DR65" i="4"/>
  <c r="DS65" i="4"/>
  <c r="DR66" i="4"/>
  <c r="DS66" i="4"/>
  <c r="DR67" i="4"/>
  <c r="DS67" i="4"/>
  <c r="DR68" i="4"/>
  <c r="DS68" i="4"/>
  <c r="DR69" i="4"/>
  <c r="DS69" i="4"/>
  <c r="DR70" i="4"/>
  <c r="DS70" i="4"/>
  <c r="DR71" i="4"/>
  <c r="DS71" i="4"/>
  <c r="DR72" i="4"/>
  <c r="DS72" i="4"/>
  <c r="DR73" i="4"/>
  <c r="DS73" i="4"/>
  <c r="DR74" i="4"/>
  <c r="DS74" i="4"/>
  <c r="DR75" i="4"/>
  <c r="DS75" i="4"/>
  <c r="DR76" i="4"/>
  <c r="DS76" i="4"/>
  <c r="DR77" i="4"/>
  <c r="DS77" i="4"/>
  <c r="DR78" i="4"/>
  <c r="DS78" i="4"/>
  <c r="DR79" i="4"/>
  <c r="DS79" i="4"/>
  <c r="DR80" i="4"/>
  <c r="DS80" i="4"/>
  <c r="DR81" i="4"/>
  <c r="DS81" i="4"/>
  <c r="DR82" i="4"/>
  <c r="DS82" i="4"/>
  <c r="DR83" i="4"/>
  <c r="DS83" i="4"/>
  <c r="DR84" i="4"/>
  <c r="DS84" i="4"/>
  <c r="DR85" i="4"/>
  <c r="DS85" i="4"/>
  <c r="DR86" i="4"/>
  <c r="DS86" i="4"/>
  <c r="DR87" i="4"/>
  <c r="DS87" i="4"/>
  <c r="DR88" i="4"/>
  <c r="DS88" i="4"/>
  <c r="DR89" i="4"/>
  <c r="DS89" i="4"/>
  <c r="DR90" i="4"/>
  <c r="DS90" i="4"/>
  <c r="DR91" i="4"/>
  <c r="DS91" i="4"/>
  <c r="DR92" i="4"/>
  <c r="DS92" i="4"/>
  <c r="DR93" i="4"/>
  <c r="DS93" i="4"/>
  <c r="DR94" i="4"/>
  <c r="DS94" i="4"/>
  <c r="DR95" i="4"/>
  <c r="DS95" i="4"/>
  <c r="DR96" i="4"/>
  <c r="DS96" i="4"/>
  <c r="DR97" i="4"/>
  <c r="DS97" i="4"/>
  <c r="DR98" i="4"/>
  <c r="DS98" i="4"/>
  <c r="DR99" i="4"/>
  <c r="DS99" i="4"/>
  <c r="DR100" i="4"/>
  <c r="DS100" i="4"/>
  <c r="DR101" i="4"/>
  <c r="DS101" i="4"/>
  <c r="DR102" i="4"/>
  <c r="DS102" i="4"/>
  <c r="DR103" i="4"/>
  <c r="DS103" i="4"/>
  <c r="DR104" i="4"/>
  <c r="DS104" i="4"/>
  <c r="DR105" i="4"/>
  <c r="DS105" i="4"/>
  <c r="DR106" i="4"/>
  <c r="DS106" i="4"/>
  <c r="DR107" i="4"/>
  <c r="DS107" i="4"/>
  <c r="DR108" i="4"/>
  <c r="DS108" i="4"/>
  <c r="DR109" i="4"/>
  <c r="DS109" i="4"/>
  <c r="DR110" i="4"/>
  <c r="DS110" i="4"/>
  <c r="DR111" i="4"/>
  <c r="DS111" i="4"/>
  <c r="DR112" i="4"/>
  <c r="DS112" i="4"/>
  <c r="DR113" i="4"/>
  <c r="DS113" i="4"/>
  <c r="DR114" i="4"/>
  <c r="DS114" i="4"/>
  <c r="DR115" i="4"/>
  <c r="DS115" i="4"/>
  <c r="DR116" i="4"/>
  <c r="DS116" i="4"/>
  <c r="DR117" i="4"/>
  <c r="DS117" i="4"/>
  <c r="DR118" i="4"/>
  <c r="DS118" i="4"/>
  <c r="DR119" i="4"/>
  <c r="DS119" i="4"/>
  <c r="DR120" i="4"/>
  <c r="DS120" i="4"/>
  <c r="DR121" i="4"/>
  <c r="DS121" i="4"/>
  <c r="DR122" i="4"/>
  <c r="DS122" i="4"/>
  <c r="DR123" i="4"/>
  <c r="DS123" i="4"/>
  <c r="DR124" i="4"/>
  <c r="DS124" i="4"/>
  <c r="DR125" i="4"/>
  <c r="DS125" i="4"/>
  <c r="DR126" i="4"/>
  <c r="DS126" i="4"/>
  <c r="DR127" i="4"/>
  <c r="DS127" i="4"/>
  <c r="DR128" i="4"/>
  <c r="DS128" i="4"/>
  <c r="DR129" i="4"/>
  <c r="DS129" i="4"/>
  <c r="DR130" i="4"/>
  <c r="DS130" i="4"/>
  <c r="DR131" i="4"/>
  <c r="DS131" i="4"/>
  <c r="DR132" i="4"/>
  <c r="DS132" i="4"/>
  <c r="DR133" i="4"/>
  <c r="DS133" i="4"/>
  <c r="DR134" i="4"/>
  <c r="DS134" i="4"/>
  <c r="DR135" i="4"/>
  <c r="DS135" i="4"/>
  <c r="DR136" i="4"/>
  <c r="DS136" i="4"/>
  <c r="DR137" i="4"/>
  <c r="DS137" i="4"/>
  <c r="DR138" i="4"/>
  <c r="DS138" i="4"/>
  <c r="DR139" i="4"/>
  <c r="DS139" i="4"/>
  <c r="DR140" i="4"/>
  <c r="DS140" i="4"/>
  <c r="DR141" i="4"/>
  <c r="DS141" i="4"/>
  <c r="DR142" i="4"/>
  <c r="DS142" i="4"/>
  <c r="DR143" i="4"/>
  <c r="DS143" i="4"/>
  <c r="BF2" i="4"/>
  <c r="N431" i="4"/>
  <c r="P431" i="4"/>
  <c r="Q431" i="4"/>
  <c r="R431" i="4"/>
  <c r="S431" i="4"/>
  <c r="T431" i="4"/>
  <c r="W431" i="4"/>
  <c r="X431" i="4"/>
  <c r="Y431" i="4"/>
  <c r="Z431" i="4"/>
  <c r="AB431" i="4"/>
  <c r="AC431" i="4"/>
  <c r="AD431" i="4"/>
  <c r="AE431" i="4"/>
  <c r="AF431" i="4"/>
  <c r="AG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BA431" i="4"/>
  <c r="BC431" i="4"/>
  <c r="BE431" i="4"/>
  <c r="BF431" i="4"/>
  <c r="BG431" i="4"/>
  <c r="BH431" i="4"/>
  <c r="BI431" i="4"/>
  <c r="BJ431" i="4"/>
  <c r="BK431" i="4"/>
  <c r="BL431" i="4"/>
  <c r="BN431" i="4"/>
  <c r="BO431" i="4"/>
  <c r="BP431" i="4"/>
  <c r="BQ431" i="4"/>
  <c r="BR431" i="4"/>
  <c r="BS431" i="4"/>
  <c r="BT431" i="4"/>
  <c r="BU431" i="4"/>
  <c r="BW431" i="4"/>
  <c r="BX431" i="4"/>
  <c r="BZ431" i="4"/>
  <c r="CA431" i="4"/>
  <c r="CB431" i="4"/>
  <c r="CC431" i="4"/>
  <c r="CD431" i="4"/>
  <c r="CE431" i="4"/>
  <c r="CF431" i="4"/>
  <c r="CH431" i="4"/>
  <c r="CI431" i="4"/>
  <c r="CJ431" i="4"/>
  <c r="CK431" i="4"/>
  <c r="CT431" i="4"/>
  <c r="CU431" i="4"/>
  <c r="CV431" i="4"/>
  <c r="CW431" i="4"/>
  <c r="CX431" i="4"/>
  <c r="CY431" i="4"/>
  <c r="M431" i="4"/>
  <c r="N426" i="4"/>
  <c r="P426" i="4"/>
  <c r="Q426" i="4"/>
  <c r="R426" i="4"/>
  <c r="S426" i="4"/>
  <c r="T426" i="4"/>
  <c r="W426" i="4"/>
  <c r="X426" i="4"/>
  <c r="Y426" i="4"/>
  <c r="Z426" i="4"/>
  <c r="AB426" i="4"/>
  <c r="AC426" i="4"/>
  <c r="AD426" i="4"/>
  <c r="AE426" i="4"/>
  <c r="AF426" i="4"/>
  <c r="AG426" i="4"/>
  <c r="AJ426" i="4"/>
  <c r="AK426" i="4"/>
  <c r="AL426" i="4"/>
  <c r="AM426" i="4"/>
  <c r="AN426" i="4"/>
  <c r="AO426" i="4"/>
  <c r="AP426" i="4"/>
  <c r="AQ426" i="4"/>
  <c r="AR426" i="4"/>
  <c r="AS426" i="4"/>
  <c r="AU426" i="4"/>
  <c r="AV426" i="4"/>
  <c r="AW426" i="4"/>
  <c r="AX426" i="4"/>
  <c r="BA426" i="4"/>
  <c r="BC426" i="4"/>
  <c r="BE426" i="4"/>
  <c r="BF426" i="4"/>
  <c r="BG426" i="4"/>
  <c r="BH426" i="4"/>
  <c r="BI426" i="4"/>
  <c r="BJ426" i="4"/>
  <c r="BK426" i="4"/>
  <c r="BL426" i="4"/>
  <c r="BN426" i="4"/>
  <c r="BO426" i="4"/>
  <c r="BP426" i="4"/>
  <c r="BQ426" i="4"/>
  <c r="BR426" i="4"/>
  <c r="BS426" i="4"/>
  <c r="BT426" i="4"/>
  <c r="BU426" i="4"/>
  <c r="BW426" i="4"/>
  <c r="BX426" i="4"/>
  <c r="BZ426" i="4"/>
  <c r="CA426" i="4"/>
  <c r="CB426" i="4"/>
  <c r="CC426" i="4"/>
  <c r="CD426" i="4"/>
  <c r="CE426" i="4"/>
  <c r="CF426" i="4"/>
  <c r="CH426" i="4"/>
  <c r="CI426" i="4"/>
  <c r="CJ426" i="4"/>
  <c r="CK426" i="4"/>
  <c r="CW426" i="4"/>
  <c r="CX426" i="4"/>
  <c r="CY426" i="4"/>
  <c r="N427" i="4"/>
  <c r="P427" i="4"/>
  <c r="Q427" i="4"/>
  <c r="R427" i="4"/>
  <c r="S427" i="4"/>
  <c r="T427" i="4"/>
  <c r="W427" i="4"/>
  <c r="X427" i="4"/>
  <c r="Y427" i="4"/>
  <c r="Z427" i="4"/>
  <c r="AB427" i="4"/>
  <c r="AC427" i="4"/>
  <c r="AD427" i="4"/>
  <c r="AE427" i="4"/>
  <c r="AF427" i="4"/>
  <c r="AG427" i="4"/>
  <c r="AJ427" i="4"/>
  <c r="AK427" i="4"/>
  <c r="AL427" i="4"/>
  <c r="AM427" i="4"/>
  <c r="AN427" i="4"/>
  <c r="AO427" i="4"/>
  <c r="AP427" i="4"/>
  <c r="AQ427" i="4"/>
  <c r="AR427" i="4"/>
  <c r="AS427" i="4"/>
  <c r="AU427" i="4"/>
  <c r="AV427" i="4"/>
  <c r="AW427" i="4"/>
  <c r="AX427" i="4"/>
  <c r="BA427" i="4"/>
  <c r="BC427" i="4"/>
  <c r="BE427" i="4"/>
  <c r="BF427" i="4"/>
  <c r="BG427" i="4"/>
  <c r="BH427" i="4"/>
  <c r="BI427" i="4"/>
  <c r="BJ427" i="4"/>
  <c r="BK427" i="4"/>
  <c r="BL427" i="4"/>
  <c r="BN427" i="4"/>
  <c r="BO427" i="4"/>
  <c r="BP427" i="4"/>
  <c r="BQ427" i="4"/>
  <c r="BR427" i="4"/>
  <c r="BS427" i="4"/>
  <c r="BT427" i="4"/>
  <c r="BU427" i="4"/>
  <c r="BW427" i="4"/>
  <c r="BX427" i="4"/>
  <c r="BZ427" i="4"/>
  <c r="CA427" i="4"/>
  <c r="CB427" i="4"/>
  <c r="CC427" i="4"/>
  <c r="CD427" i="4"/>
  <c r="CE427" i="4"/>
  <c r="CF427" i="4"/>
  <c r="CH427" i="4"/>
  <c r="CI427" i="4"/>
  <c r="CJ427" i="4"/>
  <c r="CK427" i="4"/>
  <c r="CW427" i="4"/>
  <c r="CX427" i="4"/>
  <c r="CY427" i="4"/>
  <c r="N428" i="4"/>
  <c r="P428" i="4"/>
  <c r="Q428" i="4"/>
  <c r="R428" i="4"/>
  <c r="S428" i="4"/>
  <c r="T428" i="4"/>
  <c r="W428" i="4"/>
  <c r="X428" i="4"/>
  <c r="Y428" i="4"/>
  <c r="Z428" i="4"/>
  <c r="AB428" i="4"/>
  <c r="AC428" i="4"/>
  <c r="AD428" i="4"/>
  <c r="AE428" i="4"/>
  <c r="AF428" i="4"/>
  <c r="AG428" i="4"/>
  <c r="AJ428" i="4"/>
  <c r="AK428" i="4"/>
  <c r="AL428" i="4"/>
  <c r="AM428" i="4"/>
  <c r="AN428" i="4"/>
  <c r="AO428" i="4"/>
  <c r="AP428" i="4"/>
  <c r="AQ428" i="4"/>
  <c r="AR428" i="4"/>
  <c r="AS428" i="4"/>
  <c r="AU428" i="4"/>
  <c r="AV428" i="4"/>
  <c r="AW428" i="4"/>
  <c r="AX428" i="4"/>
  <c r="BA428" i="4"/>
  <c r="BC428" i="4"/>
  <c r="BE428" i="4"/>
  <c r="BF428" i="4"/>
  <c r="BG428" i="4"/>
  <c r="BH428" i="4"/>
  <c r="BI428" i="4"/>
  <c r="BJ428" i="4"/>
  <c r="BK428" i="4"/>
  <c r="BL428" i="4"/>
  <c r="BN428" i="4"/>
  <c r="BO428" i="4"/>
  <c r="BP428" i="4"/>
  <c r="BQ428" i="4"/>
  <c r="BR428" i="4"/>
  <c r="BS428" i="4"/>
  <c r="BT428" i="4"/>
  <c r="BU428" i="4"/>
  <c r="BW428" i="4"/>
  <c r="BX428" i="4"/>
  <c r="BZ428" i="4"/>
  <c r="CA428" i="4"/>
  <c r="CB428" i="4"/>
  <c r="CC428" i="4"/>
  <c r="CD428" i="4"/>
  <c r="CE428" i="4"/>
  <c r="CF428" i="4"/>
  <c r="CH428" i="4"/>
  <c r="CI428" i="4"/>
  <c r="CJ428" i="4"/>
  <c r="CK428" i="4"/>
  <c r="CT428" i="4"/>
  <c r="CU428" i="4"/>
  <c r="CV428" i="4"/>
  <c r="CW428" i="4"/>
  <c r="CX428" i="4"/>
  <c r="CY428" i="4"/>
  <c r="N429" i="4"/>
  <c r="P429" i="4"/>
  <c r="Q429" i="4"/>
  <c r="R429" i="4"/>
  <c r="S429" i="4"/>
  <c r="T429" i="4"/>
  <c r="W429" i="4"/>
  <c r="X429" i="4"/>
  <c r="Y429" i="4"/>
  <c r="Z429" i="4"/>
  <c r="AB429" i="4"/>
  <c r="AC429" i="4"/>
  <c r="AD429" i="4"/>
  <c r="AE429" i="4"/>
  <c r="AF429" i="4"/>
  <c r="AG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BA429" i="4"/>
  <c r="BC429" i="4"/>
  <c r="BE429" i="4"/>
  <c r="BF429" i="4"/>
  <c r="BG429" i="4"/>
  <c r="BH429" i="4"/>
  <c r="BI429" i="4"/>
  <c r="BJ429" i="4"/>
  <c r="BK429" i="4"/>
  <c r="BL429" i="4"/>
  <c r="BN429" i="4"/>
  <c r="BO429" i="4"/>
  <c r="BP429" i="4"/>
  <c r="BQ429" i="4"/>
  <c r="BR429" i="4"/>
  <c r="BS429" i="4"/>
  <c r="BT429" i="4"/>
  <c r="BU429" i="4"/>
  <c r="BW429" i="4"/>
  <c r="BX429" i="4"/>
  <c r="BZ429" i="4"/>
  <c r="CA429" i="4"/>
  <c r="CB429" i="4"/>
  <c r="CC429" i="4"/>
  <c r="CD429" i="4"/>
  <c r="CE429" i="4"/>
  <c r="CF429" i="4"/>
  <c r="CH429" i="4"/>
  <c r="CI429" i="4"/>
  <c r="CJ429" i="4"/>
  <c r="CK429" i="4"/>
  <c r="CT429" i="4"/>
  <c r="CU429" i="4"/>
  <c r="CV429" i="4"/>
  <c r="CW429" i="4"/>
  <c r="CX429" i="4"/>
  <c r="CY429" i="4"/>
  <c r="N430" i="4"/>
  <c r="P430" i="4"/>
  <c r="Q430" i="4"/>
  <c r="R430" i="4"/>
  <c r="S430" i="4"/>
  <c r="T430" i="4"/>
  <c r="W430" i="4"/>
  <c r="X430" i="4"/>
  <c r="Y430" i="4"/>
  <c r="Z430" i="4"/>
  <c r="AB430" i="4"/>
  <c r="AC430" i="4"/>
  <c r="AD430" i="4"/>
  <c r="AE430" i="4"/>
  <c r="AF430" i="4"/>
  <c r="AG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BA430" i="4"/>
  <c r="BC430" i="4"/>
  <c r="BE430" i="4"/>
  <c r="BF430" i="4"/>
  <c r="BG430" i="4"/>
  <c r="BH430" i="4"/>
  <c r="BI430" i="4"/>
  <c r="BJ430" i="4"/>
  <c r="BK430" i="4"/>
  <c r="BL430" i="4"/>
  <c r="BN430" i="4"/>
  <c r="BO430" i="4"/>
  <c r="BP430" i="4"/>
  <c r="BQ430" i="4"/>
  <c r="BR430" i="4"/>
  <c r="BS430" i="4"/>
  <c r="BT430" i="4"/>
  <c r="BU430" i="4"/>
  <c r="BW430" i="4"/>
  <c r="BX430" i="4"/>
  <c r="BZ430" i="4"/>
  <c r="CA430" i="4"/>
  <c r="CB430" i="4"/>
  <c r="CC430" i="4"/>
  <c r="CD430" i="4"/>
  <c r="CE430" i="4"/>
  <c r="CF430" i="4"/>
  <c r="CH430" i="4"/>
  <c r="CI430" i="4"/>
  <c r="CJ430" i="4"/>
  <c r="CK430" i="4"/>
  <c r="CT430" i="4"/>
  <c r="CU430" i="4"/>
  <c r="CV430" i="4"/>
  <c r="CW430" i="4"/>
  <c r="CX430" i="4"/>
  <c r="CY430" i="4"/>
  <c r="M430" i="4"/>
  <c r="M429" i="4"/>
  <c r="M428" i="4"/>
  <c r="M427" i="4"/>
  <c r="M426" i="4"/>
  <c r="FE240" i="4"/>
  <c r="FC253" i="4"/>
  <c r="ES253" i="4"/>
  <c r="ET253" i="4"/>
  <c r="EU253" i="4"/>
  <c r="EV253" i="4"/>
  <c r="EW253" i="4"/>
  <c r="EX253" i="4"/>
  <c r="EY253" i="4"/>
  <c r="EZ253" i="4"/>
  <c r="FA253" i="4"/>
  <c r="FB253" i="4"/>
  <c r="FD253" i="4"/>
  <c r="ER7" i="4"/>
  <c r="ER6" i="4"/>
  <c r="EO6" i="4"/>
  <c r="EO5" i="4"/>
  <c r="J53" i="34"/>
  <c r="K53" i="34"/>
  <c r="V194" i="34"/>
  <c r="H15" i="34"/>
  <c r="T194" i="34"/>
  <c r="L53" i="34"/>
  <c r="H44" i="34"/>
  <c r="L48" i="34"/>
  <c r="L25" i="34"/>
  <c r="L21" i="34"/>
  <c r="J29" i="34"/>
  <c r="J21" i="34"/>
  <c r="L42" i="34"/>
  <c r="L34" i="34"/>
  <c r="L7" i="34"/>
  <c r="J22" i="34"/>
  <c r="DY295" i="4"/>
  <c r="O192" i="16"/>
  <c r="DF175" i="4"/>
  <c r="DF295" i="4"/>
  <c r="DF252" i="4"/>
  <c r="DF217" i="4"/>
  <c r="DF171" i="4"/>
  <c r="DF163" i="4"/>
  <c r="DY192" i="4" l="1"/>
  <c r="EH247" i="4"/>
  <c r="FF247" i="4" s="1"/>
  <c r="EI289" i="4"/>
  <c r="EH338" i="4"/>
  <c r="FG362" i="4"/>
  <c r="FJ384" i="4"/>
  <c r="H107" i="34"/>
  <c r="EH353" i="4"/>
  <c r="FC326" i="4"/>
  <c r="G113" i="34"/>
  <c r="EB365" i="4"/>
  <c r="DY373" i="4"/>
  <c r="W322" i="34"/>
  <c r="EH383" i="4"/>
  <c r="I150" i="34"/>
  <c r="FG384" i="4"/>
  <c r="FD384" i="4"/>
  <c r="EH386" i="4"/>
  <c r="FJ386" i="4"/>
  <c r="Q332" i="34"/>
  <c r="J153" i="34"/>
  <c r="FH387" i="4"/>
  <c r="F53" i="16"/>
  <c r="EH320" i="4"/>
  <c r="EH321" i="4"/>
  <c r="EI342" i="4"/>
  <c r="FD345" i="4"/>
  <c r="FD346" i="4"/>
  <c r="EI352" i="4"/>
  <c r="DF383" i="4"/>
  <c r="FC384" i="4"/>
  <c r="N330" i="34"/>
  <c r="O151" i="34"/>
  <c r="FJ385" i="4"/>
  <c r="DY386" i="4"/>
  <c r="FF386" i="4"/>
  <c r="FG386" i="4"/>
  <c r="FD386" i="4"/>
  <c r="FJ387" i="4"/>
  <c r="N191" i="16"/>
  <c r="K83" i="34"/>
  <c r="DY349" i="4"/>
  <c r="EJ365" i="4"/>
  <c r="I153" i="34"/>
  <c r="FG387" i="4"/>
  <c r="C288" i="34"/>
  <c r="C284" i="34"/>
  <c r="W334" i="34"/>
  <c r="R268" i="34"/>
  <c r="C301" i="34"/>
  <c r="C307" i="34"/>
  <c r="DY284" i="4"/>
  <c r="DF324" i="4"/>
  <c r="FI389" i="4"/>
  <c r="L30" i="34"/>
  <c r="DF332" i="4"/>
  <c r="DF243" i="4"/>
  <c r="EB243" i="4" s="1"/>
  <c r="EI262" i="4"/>
  <c r="DF38" i="4"/>
  <c r="EB38" i="4" s="1"/>
  <c r="DF86" i="4"/>
  <c r="EB86" i="4" s="1"/>
  <c r="DF222" i="4"/>
  <c r="EB222" i="4" s="1"/>
  <c r="DF294" i="4"/>
  <c r="EB294" i="4" s="1"/>
  <c r="EB140" i="4"/>
  <c r="EB132" i="4"/>
  <c r="EB124" i="4"/>
  <c r="EB116" i="4"/>
  <c r="EB108" i="4"/>
  <c r="EB100" i="4"/>
  <c r="EB92" i="4"/>
  <c r="EB84" i="4"/>
  <c r="EB76" i="4"/>
  <c r="EB68" i="4"/>
  <c r="EB60" i="4"/>
  <c r="EB52" i="4"/>
  <c r="EB44" i="4"/>
  <c r="EB36" i="4"/>
  <c r="EB28" i="4"/>
  <c r="EB20" i="4"/>
  <c r="EB12" i="4"/>
  <c r="EB220" i="4"/>
  <c r="DY283" i="4"/>
  <c r="EB212" i="4"/>
  <c r="EB204" i="4"/>
  <c r="DF244" i="4"/>
  <c r="EB244" i="4" s="1"/>
  <c r="EB180" i="4"/>
  <c r="EB172" i="4"/>
  <c r="EB252" i="4"/>
  <c r="EH237" i="4"/>
  <c r="EH233" i="4"/>
  <c r="EH229" i="4"/>
  <c r="EB284" i="4"/>
  <c r="EB260" i="4"/>
  <c r="H38" i="34"/>
  <c r="FG388" i="4"/>
  <c r="J39" i="34"/>
  <c r="DY263" i="4"/>
  <c r="K14" i="34"/>
  <c r="DF309" i="4"/>
  <c r="EB309" i="4" s="1"/>
  <c r="F26" i="16"/>
  <c r="EH291" i="4"/>
  <c r="EH288" i="4"/>
  <c r="H37" i="34"/>
  <c r="DF141" i="4"/>
  <c r="EB141" i="4" s="1"/>
  <c r="DF125" i="4"/>
  <c r="EB125" i="4" s="1"/>
  <c r="DF109" i="4"/>
  <c r="DF85" i="4"/>
  <c r="EB85" i="4" s="1"/>
  <c r="DF69" i="4"/>
  <c r="DF53" i="4"/>
  <c r="EB53" i="4" s="1"/>
  <c r="DF37" i="4"/>
  <c r="EB37" i="4" s="1"/>
  <c r="DF13" i="4"/>
  <c r="EB13" i="4" s="1"/>
  <c r="DF133" i="4"/>
  <c r="EB133" i="4" s="1"/>
  <c r="DF117" i="4"/>
  <c r="EB117" i="4" s="1"/>
  <c r="DF101" i="4"/>
  <c r="DF93" i="4"/>
  <c r="EB93" i="4" s="1"/>
  <c r="DF77" i="4"/>
  <c r="EB77" i="4" s="1"/>
  <c r="DF61" i="4"/>
  <c r="EB61" i="4" s="1"/>
  <c r="DF45" i="4"/>
  <c r="DF29" i="4"/>
  <c r="EB29" i="4" s="1"/>
  <c r="DF21" i="4"/>
  <c r="EB21" i="4" s="1"/>
  <c r="DY163" i="4"/>
  <c r="K29" i="34"/>
  <c r="DF333" i="4"/>
  <c r="EB333" i="4" s="1"/>
  <c r="DF229" i="4"/>
  <c r="DY50" i="4"/>
  <c r="DF221" i="4"/>
  <c r="EB221" i="4" s="1"/>
  <c r="DF206" i="4"/>
  <c r="EB206" i="4" s="1"/>
  <c r="EJ291" i="4"/>
  <c r="DF176" i="4"/>
  <c r="DF184" i="4"/>
  <c r="EB184" i="4" s="1"/>
  <c r="DF264" i="4"/>
  <c r="DF272" i="4"/>
  <c r="EB272" i="4" s="1"/>
  <c r="DF280" i="4"/>
  <c r="EB280" i="4" s="1"/>
  <c r="DF286" i="4"/>
  <c r="EB286" i="4" s="1"/>
  <c r="DF278" i="4"/>
  <c r="EB278" i="4" s="1"/>
  <c r="DF262" i="4"/>
  <c r="EB262" i="4" s="1"/>
  <c r="DF213" i="4"/>
  <c r="DF205" i="4"/>
  <c r="EB205" i="4" s="1"/>
  <c r="DF198" i="4"/>
  <c r="EB198" i="4" s="1"/>
  <c r="DF182" i="4"/>
  <c r="EB182" i="4" s="1"/>
  <c r="DF166" i="4"/>
  <c r="EB166" i="4" s="1"/>
  <c r="DF158" i="4"/>
  <c r="EB158" i="4" s="1"/>
  <c r="DF150" i="4"/>
  <c r="EB150" i="4" s="1"/>
  <c r="DF293" i="4"/>
  <c r="EB293" i="4" s="1"/>
  <c r="G68" i="34"/>
  <c r="C68" i="34" s="1"/>
  <c r="P89" i="16"/>
  <c r="DF285" i="4"/>
  <c r="EB285" i="4" s="1"/>
  <c r="DF277" i="4"/>
  <c r="EB277" i="4" s="1"/>
  <c r="DF269" i="4"/>
  <c r="EB269" i="4" s="1"/>
  <c r="DF261" i="4"/>
  <c r="DF197" i="4"/>
  <c r="EB197" i="4" s="1"/>
  <c r="DF189" i="4"/>
  <c r="DF181" i="4"/>
  <c r="EB181" i="4" s="1"/>
  <c r="DF173" i="4"/>
  <c r="DF165" i="4"/>
  <c r="EB165" i="4" s="1"/>
  <c r="DF157" i="4"/>
  <c r="EB157" i="4" s="1"/>
  <c r="DF149" i="4"/>
  <c r="EB149" i="4" s="1"/>
  <c r="EJ289" i="4"/>
  <c r="K13" i="34"/>
  <c r="K9" i="34"/>
  <c r="J50" i="34"/>
  <c r="L23" i="34"/>
  <c r="EJ288" i="4"/>
  <c r="DY219" i="4"/>
  <c r="DY207" i="4"/>
  <c r="K37" i="34"/>
  <c r="DF301" i="4"/>
  <c r="I92" i="34"/>
  <c r="I96" i="34"/>
  <c r="EB229" i="4"/>
  <c r="DY262" i="4"/>
  <c r="DF56" i="4"/>
  <c r="EB56" i="4" s="1"/>
  <c r="DF288" i="4"/>
  <c r="H39" i="34"/>
  <c r="I95" i="34"/>
  <c r="DF24" i="4"/>
  <c r="EB24" i="4" s="1"/>
  <c r="DF64" i="4"/>
  <c r="J13" i="34"/>
  <c r="H28" i="34"/>
  <c r="DF80" i="4"/>
  <c r="EB80" i="4" s="1"/>
  <c r="DF136" i="4"/>
  <c r="EB136" i="4" s="1"/>
  <c r="DF224" i="4"/>
  <c r="DF216" i="4"/>
  <c r="EB216" i="4" s="1"/>
  <c r="DF120" i="4"/>
  <c r="EI267" i="4"/>
  <c r="EI260" i="4"/>
  <c r="EJ273" i="4"/>
  <c r="EJ265" i="4"/>
  <c r="DF16" i="4"/>
  <c r="DF88" i="4"/>
  <c r="EB88" i="4" s="1"/>
  <c r="FJ383" i="4"/>
  <c r="L24" i="34"/>
  <c r="J10" i="34"/>
  <c r="J40" i="34"/>
  <c r="U204" i="34"/>
  <c r="DF238" i="4"/>
  <c r="EB238" i="4" s="1"/>
  <c r="DF233" i="4"/>
  <c r="EB233" i="4" s="1"/>
  <c r="J18" i="34"/>
  <c r="EH256" i="4"/>
  <c r="DF208" i="4"/>
  <c r="EH252" i="4"/>
  <c r="FF252" i="4" s="1"/>
  <c r="EH248" i="4"/>
  <c r="FF248" i="4" s="1"/>
  <c r="FG248" i="4" s="1"/>
  <c r="EH244" i="4"/>
  <c r="FF244" i="4" s="1"/>
  <c r="DF256" i="4"/>
  <c r="EB256" i="4" s="1"/>
  <c r="J20" i="34"/>
  <c r="DF128" i="4"/>
  <c r="EB128" i="4" s="1"/>
  <c r="DF112" i="4"/>
  <c r="EB112" i="4" s="1"/>
  <c r="DF104" i="4"/>
  <c r="DF96" i="4"/>
  <c r="EB96" i="4" s="1"/>
  <c r="DF72" i="4"/>
  <c r="EB72" i="4" s="1"/>
  <c r="DF48" i="4"/>
  <c r="EB48" i="4" s="1"/>
  <c r="DF40" i="4"/>
  <c r="EB40" i="4" s="1"/>
  <c r="DF32" i="4"/>
  <c r="EB32" i="4" s="1"/>
  <c r="EJ271" i="4"/>
  <c r="EH275" i="4"/>
  <c r="EI288" i="4"/>
  <c r="K41" i="34"/>
  <c r="C24" i="16"/>
  <c r="DF155" i="4"/>
  <c r="DF195" i="4"/>
  <c r="EB195" i="4" s="1"/>
  <c r="DF203" i="4"/>
  <c r="EB203" i="4" s="1"/>
  <c r="DF211" i="4"/>
  <c r="EB211" i="4" s="1"/>
  <c r="DK411" i="4"/>
  <c r="DK430" i="4"/>
  <c r="C12" i="16"/>
  <c r="FH388" i="4"/>
  <c r="DF245" i="4"/>
  <c r="EB245" i="4" s="1"/>
  <c r="L14" i="34"/>
  <c r="J28" i="34"/>
  <c r="L46" i="34"/>
  <c r="EB213" i="4"/>
  <c r="EH250" i="4"/>
  <c r="FF250" i="4" s="1"/>
  <c r="FG250" i="4" s="1"/>
  <c r="EH242" i="4"/>
  <c r="FF242" i="4" s="1"/>
  <c r="FG242" i="4" s="1"/>
  <c r="DM425" i="4"/>
  <c r="DM424" i="4"/>
  <c r="DM421" i="4"/>
  <c r="DM420" i="4"/>
  <c r="DM419" i="4"/>
  <c r="EI290" i="4"/>
  <c r="DY272" i="4"/>
  <c r="M104" i="34"/>
  <c r="U203" i="34"/>
  <c r="FC388" i="4"/>
  <c r="EB109" i="4"/>
  <c r="EB101" i="4"/>
  <c r="EB69" i="4"/>
  <c r="EB45" i="4"/>
  <c r="EH284" i="4"/>
  <c r="EB261" i="4"/>
  <c r="EB189" i="4"/>
  <c r="FD388" i="4"/>
  <c r="EB173" i="4"/>
  <c r="EB301" i="4"/>
  <c r="FJ388" i="4"/>
  <c r="DF247" i="4"/>
  <c r="F20" i="16"/>
  <c r="DY255" i="4"/>
  <c r="C46" i="16"/>
  <c r="DE430" i="4"/>
  <c r="EC430" i="4" s="1"/>
  <c r="EB224" i="4"/>
  <c r="EI259" i="4"/>
  <c r="EB264" i="4"/>
  <c r="DY259" i="4"/>
  <c r="K10" i="34"/>
  <c r="EI263" i="4"/>
  <c r="EJ261" i="4"/>
  <c r="EH277" i="4"/>
  <c r="EH251" i="4"/>
  <c r="FF251" i="4" s="1"/>
  <c r="FG251" i="4" s="1"/>
  <c r="EH243" i="4"/>
  <c r="FF243" i="4" s="1"/>
  <c r="FG243" i="4" s="1"/>
  <c r="DF291" i="4"/>
  <c r="EB291" i="4" s="1"/>
  <c r="C48" i="16"/>
  <c r="F11" i="16"/>
  <c r="K43" i="34"/>
  <c r="K34" i="34"/>
  <c r="C16" i="16"/>
  <c r="DZ419" i="4"/>
  <c r="DZ427" i="4"/>
  <c r="DF26" i="4"/>
  <c r="EB26" i="4" s="1"/>
  <c r="DF42" i="4"/>
  <c r="EB42" i="4" s="1"/>
  <c r="DF90" i="4"/>
  <c r="EB90" i="4" s="1"/>
  <c r="DF114" i="4"/>
  <c r="EB114" i="4" s="1"/>
  <c r="DE421" i="4"/>
  <c r="EC421" i="4" s="1"/>
  <c r="DE424" i="4"/>
  <c r="EC424" i="4" s="1"/>
  <c r="DF178" i="4"/>
  <c r="EB178" i="4" s="1"/>
  <c r="DF186" i="4"/>
  <c r="EB186" i="4" s="1"/>
  <c r="DF194" i="4"/>
  <c r="EB194" i="4" s="1"/>
  <c r="DE427" i="4"/>
  <c r="EC427" i="4" s="1"/>
  <c r="DF218" i="4"/>
  <c r="EB218" i="4" s="1"/>
  <c r="DF226" i="4"/>
  <c r="EB226" i="4" s="1"/>
  <c r="DF274" i="4"/>
  <c r="EB274" i="4" s="1"/>
  <c r="DF290" i="4"/>
  <c r="EB290" i="4" s="1"/>
  <c r="DK415" i="4"/>
  <c r="DK418" i="4"/>
  <c r="DK423" i="4"/>
  <c r="DK424" i="4"/>
  <c r="DK425" i="4"/>
  <c r="DW272" i="4"/>
  <c r="DF235" i="4"/>
  <c r="EB235" i="4" s="1"/>
  <c r="K18" i="34"/>
  <c r="DF139" i="4"/>
  <c r="EB139" i="4" s="1"/>
  <c r="DF131" i="4"/>
  <c r="DF123" i="4"/>
  <c r="EB123" i="4" s="1"/>
  <c r="DF115" i="4"/>
  <c r="DF107" i="4"/>
  <c r="EB107" i="4" s="1"/>
  <c r="DF99" i="4"/>
  <c r="EB99" i="4" s="1"/>
  <c r="DF91" i="4"/>
  <c r="EB91" i="4" s="1"/>
  <c r="DF83" i="4"/>
  <c r="EB83" i="4" s="1"/>
  <c r="DF75" i="4"/>
  <c r="EB75" i="4" s="1"/>
  <c r="DF67" i="4"/>
  <c r="EB67" i="4" s="1"/>
  <c r="DF59" i="4"/>
  <c r="EB59" i="4" s="1"/>
  <c r="DF51" i="4"/>
  <c r="DF43" i="4"/>
  <c r="DF35" i="4"/>
  <c r="EB35" i="4" s="1"/>
  <c r="DF27" i="4"/>
  <c r="DF19" i="4"/>
  <c r="EH227" i="4"/>
  <c r="EH223" i="4"/>
  <c r="EH239" i="4"/>
  <c r="EH235" i="4"/>
  <c r="EH231" i="4"/>
  <c r="DY91" i="4"/>
  <c r="G99" i="34"/>
  <c r="C99" i="34" s="1"/>
  <c r="DY294" i="4"/>
  <c r="L28" i="34"/>
  <c r="EJ284" i="4"/>
  <c r="DF283" i="4"/>
  <c r="EB283" i="4" s="1"/>
  <c r="DF275" i="4"/>
  <c r="DF267" i="4"/>
  <c r="DF259" i="4"/>
  <c r="EB259" i="4" s="1"/>
  <c r="K20" i="34"/>
  <c r="C18" i="16"/>
  <c r="DY264" i="4"/>
  <c r="J14" i="34"/>
  <c r="K24" i="34"/>
  <c r="EB288" i="4"/>
  <c r="DY268" i="4"/>
  <c r="F22" i="16"/>
  <c r="K28" i="34"/>
  <c r="EB104" i="4"/>
  <c r="DF307" i="4"/>
  <c r="EB64" i="4"/>
  <c r="J51" i="34"/>
  <c r="EB120" i="4"/>
  <c r="L20" i="34"/>
  <c r="L49" i="34"/>
  <c r="H10" i="34"/>
  <c r="EH225" i="4"/>
  <c r="EH221" i="4"/>
  <c r="EH217" i="4"/>
  <c r="P85" i="16"/>
  <c r="EB176" i="4"/>
  <c r="L10" i="34"/>
  <c r="L18" i="34"/>
  <c r="J24" i="34"/>
  <c r="DY253" i="4"/>
  <c r="DK431" i="4"/>
  <c r="DF138" i="4"/>
  <c r="EB138" i="4" s="1"/>
  <c r="DF122" i="4"/>
  <c r="EB122" i="4" s="1"/>
  <c r="DF106" i="4"/>
  <c r="EB106" i="4" s="1"/>
  <c r="DF98" i="4"/>
  <c r="EB98" i="4" s="1"/>
  <c r="DF82" i="4"/>
  <c r="EB82" i="4" s="1"/>
  <c r="DF66" i="4"/>
  <c r="EB66" i="4" s="1"/>
  <c r="DF58" i="4"/>
  <c r="EB58" i="4" s="1"/>
  <c r="DF50" i="4"/>
  <c r="EB50" i="4" s="1"/>
  <c r="F21" i="16"/>
  <c r="J25" i="34"/>
  <c r="DK429" i="4"/>
  <c r="DK428" i="4"/>
  <c r="C47" i="16"/>
  <c r="F25" i="16"/>
  <c r="L51" i="34"/>
  <c r="EH246" i="4"/>
  <c r="FF246" i="4" s="1"/>
  <c r="H46" i="34"/>
  <c r="DY287" i="4"/>
  <c r="DY286" i="4"/>
  <c r="DY199" i="4"/>
  <c r="DF228" i="4"/>
  <c r="EB228" i="4" s="1"/>
  <c r="DZ416" i="4"/>
  <c r="DE411" i="4"/>
  <c r="EC411" i="4" s="1"/>
  <c r="DE419" i="4"/>
  <c r="EC419" i="4" s="1"/>
  <c r="DF190" i="4"/>
  <c r="EB190" i="4" s="1"/>
  <c r="DF270" i="4"/>
  <c r="EB270" i="4" s="1"/>
  <c r="EB295" i="4"/>
  <c r="DN431" i="4"/>
  <c r="DK432" i="4"/>
  <c r="DY269" i="4"/>
  <c r="L39" i="34"/>
  <c r="K21" i="34"/>
  <c r="DY265" i="4"/>
  <c r="L29" i="34"/>
  <c r="F52" i="16"/>
  <c r="G53" i="16" s="1"/>
  <c r="DY273" i="4"/>
  <c r="DE412" i="4"/>
  <c r="EC412" i="4" s="1"/>
  <c r="K25" i="34"/>
  <c r="K52" i="34"/>
  <c r="EI293" i="4"/>
  <c r="F29" i="16"/>
  <c r="DF236" i="4"/>
  <c r="EB236" i="4" s="1"/>
  <c r="DF250" i="4"/>
  <c r="EB250" i="4" s="1"/>
  <c r="L44" i="34"/>
  <c r="DY247" i="4"/>
  <c r="EI291" i="4"/>
  <c r="EH240" i="4"/>
  <c r="FF240" i="4" s="1"/>
  <c r="FG240" i="4" s="1"/>
  <c r="DT416" i="4"/>
  <c r="C33" i="16"/>
  <c r="EB223" i="4"/>
  <c r="EH289" i="4"/>
  <c r="EJ290" i="4"/>
  <c r="C26" i="16"/>
  <c r="I26" i="16" s="1"/>
  <c r="J48" i="34"/>
  <c r="K46" i="34"/>
  <c r="F46" i="16"/>
  <c r="L17" i="34"/>
  <c r="L9" i="34"/>
  <c r="F17" i="16"/>
  <c r="K17" i="34"/>
  <c r="F13" i="16"/>
  <c r="DY258" i="4"/>
  <c r="DY254" i="4"/>
  <c r="DO431" i="4"/>
  <c r="J17" i="34"/>
  <c r="J9" i="34"/>
  <c r="DO432" i="4"/>
  <c r="J36" i="34"/>
  <c r="J34" i="34"/>
  <c r="L33" i="34"/>
  <c r="F33" i="16"/>
  <c r="DP428" i="4"/>
  <c r="EB163" i="4"/>
  <c r="DF234" i="4"/>
  <c r="EB234" i="4" s="1"/>
  <c r="EB279" i="4"/>
  <c r="DF255" i="4"/>
  <c r="EB255" i="4" s="1"/>
  <c r="DE418" i="4"/>
  <c r="EC418" i="4" s="1"/>
  <c r="DE420" i="4"/>
  <c r="EC420" i="4" s="1"/>
  <c r="DF282" i="4"/>
  <c r="EB282" i="4" s="1"/>
  <c r="DF266" i="4"/>
  <c r="EB266" i="4" s="1"/>
  <c r="DF258" i="4"/>
  <c r="EB258" i="4" s="1"/>
  <c r="H29" i="34"/>
  <c r="EJ292" i="4"/>
  <c r="DZ415" i="4"/>
  <c r="FC332" i="4"/>
  <c r="DF207" i="4"/>
  <c r="EB207" i="4" s="1"/>
  <c r="DF263" i="4"/>
  <c r="EB263" i="4" s="1"/>
  <c r="DF287" i="4"/>
  <c r="EB287" i="4" s="1"/>
  <c r="DK416" i="4"/>
  <c r="DK419" i="4"/>
  <c r="DK421" i="4"/>
  <c r="DK427" i="4"/>
  <c r="DK434" i="4"/>
  <c r="EB171" i="4"/>
  <c r="EB155" i="4"/>
  <c r="EB215" i="4"/>
  <c r="DW40" i="4"/>
  <c r="EI274" i="4"/>
  <c r="EI266" i="4"/>
  <c r="DY224" i="4"/>
  <c r="DY212" i="4"/>
  <c r="DY204" i="4"/>
  <c r="DF214" i="4"/>
  <c r="EB214" i="4" s="1"/>
  <c r="DF210" i="4"/>
  <c r="EB210" i="4" s="1"/>
  <c r="EH290" i="4"/>
  <c r="DF298" i="4"/>
  <c r="EB298" i="4" s="1"/>
  <c r="EB175" i="4"/>
  <c r="DY115" i="4"/>
  <c r="DY111" i="4"/>
  <c r="DY95" i="4"/>
  <c r="DY55" i="4"/>
  <c r="EI272" i="4"/>
  <c r="EI256" i="4"/>
  <c r="EH274" i="4"/>
  <c r="EJ270" i="4"/>
  <c r="EH266" i="4"/>
  <c r="EJ262" i="4"/>
  <c r="EJ259" i="4"/>
  <c r="EJ254" i="4"/>
  <c r="DF202" i="4"/>
  <c r="EB202" i="4" s="1"/>
  <c r="DF174" i="4"/>
  <c r="EB174" i="4" s="1"/>
  <c r="DF170" i="4"/>
  <c r="EB170" i="4" s="1"/>
  <c r="DF162" i="4"/>
  <c r="EB162" i="4" s="1"/>
  <c r="DF154" i="4"/>
  <c r="EB154" i="4" s="1"/>
  <c r="EJ252" i="4"/>
  <c r="P111" i="16"/>
  <c r="I155" i="16"/>
  <c r="J156" i="16" s="1"/>
  <c r="N310" i="34"/>
  <c r="Z310" i="34" s="1"/>
  <c r="N320" i="34"/>
  <c r="R320" i="34" s="1"/>
  <c r="N325" i="34"/>
  <c r="Z325" i="34" s="1"/>
  <c r="C299" i="34"/>
  <c r="C287" i="34"/>
  <c r="C283" i="34"/>
  <c r="R261" i="34"/>
  <c r="Y261" i="34" s="1"/>
  <c r="N323" i="34"/>
  <c r="Z323" i="34" s="1"/>
  <c r="W332" i="34"/>
  <c r="Q328" i="34"/>
  <c r="N332" i="34"/>
  <c r="R332" i="34" s="1"/>
  <c r="C297" i="34"/>
  <c r="N326" i="34"/>
  <c r="Z326" i="34" s="1"/>
  <c r="DY205" i="4"/>
  <c r="DY348" i="4"/>
  <c r="L112" i="34"/>
  <c r="EF428" i="4"/>
  <c r="EF429" i="4"/>
  <c r="EH264" i="4"/>
  <c r="EI264" i="4"/>
  <c r="H53" i="34"/>
  <c r="EI335" i="4"/>
  <c r="EI334" i="4"/>
  <c r="FF344" i="4"/>
  <c r="DY344" i="4"/>
  <c r="DY213" i="4"/>
  <c r="DW258" i="4"/>
  <c r="J27" i="34"/>
  <c r="L43" i="34"/>
  <c r="DY285" i="4"/>
  <c r="F42" i="16"/>
  <c r="C25" i="16"/>
  <c r="DW269" i="4"/>
  <c r="J47" i="34"/>
  <c r="DY288" i="4"/>
  <c r="L12" i="34"/>
  <c r="F12" i="16"/>
  <c r="K12" i="34"/>
  <c r="F8" i="16"/>
  <c r="L38" i="34"/>
  <c r="DY280" i="4"/>
  <c r="DY276" i="4"/>
  <c r="H7" i="34"/>
  <c r="H48" i="34"/>
  <c r="DR434" i="4"/>
  <c r="J46" i="34"/>
  <c r="T193" i="34"/>
  <c r="DF239" i="4"/>
  <c r="EB239" i="4" s="1"/>
  <c r="O191" i="16"/>
  <c r="P191" i="16" s="1"/>
  <c r="DW216" i="4"/>
  <c r="DM413" i="4"/>
  <c r="I33" i="34"/>
  <c r="F24" i="16"/>
  <c r="I24" i="34"/>
  <c r="I7" i="34"/>
  <c r="EJ320" i="4"/>
  <c r="EJ321" i="4"/>
  <c r="I75" i="34"/>
  <c r="L113" i="34"/>
  <c r="DW236" i="4"/>
  <c r="I14" i="34"/>
  <c r="DY351" i="4"/>
  <c r="K33" i="34"/>
  <c r="EH356" i="4"/>
  <c r="DK412" i="4"/>
  <c r="DK413" i="4"/>
  <c r="DK414" i="4"/>
  <c r="DK422" i="4"/>
  <c r="G79" i="34"/>
  <c r="C79" i="34" s="1"/>
  <c r="EJ282" i="4"/>
  <c r="EJ278" i="4"/>
  <c r="DY196" i="4"/>
  <c r="EB196" i="4"/>
  <c r="EB188" i="4"/>
  <c r="EB156" i="4"/>
  <c r="EB148" i="4"/>
  <c r="EI292" i="4"/>
  <c r="DD434" i="4"/>
  <c r="DF302" i="4"/>
  <c r="EB302" i="4" s="1"/>
  <c r="EB308" i="4"/>
  <c r="H102" i="34"/>
  <c r="FG343" i="4"/>
  <c r="DE413" i="4"/>
  <c r="EC413" i="4" s="1"/>
  <c r="DE415" i="4"/>
  <c r="EC415" i="4" s="1"/>
  <c r="DE416" i="4"/>
  <c r="EC416" i="4" s="1"/>
  <c r="DE417" i="4"/>
  <c r="EC417" i="4" s="1"/>
  <c r="DE422" i="4"/>
  <c r="EC422" i="4" s="1"/>
  <c r="DE423" i="4"/>
  <c r="EC423" i="4" s="1"/>
  <c r="DE425" i="4"/>
  <c r="EC425" i="4" s="1"/>
  <c r="DE426" i="4"/>
  <c r="EC426" i="4" s="1"/>
  <c r="DE428" i="4"/>
  <c r="EC428" i="4" s="1"/>
  <c r="DE429" i="4"/>
  <c r="EC429" i="4" s="1"/>
  <c r="DE431" i="4"/>
  <c r="EC431" i="4" s="1"/>
  <c r="DE432" i="4"/>
  <c r="EC432" i="4" s="1"/>
  <c r="DE433" i="4"/>
  <c r="EC433" i="4" s="1"/>
  <c r="DE434" i="4"/>
  <c r="EC434" i="4" s="1"/>
  <c r="EJ350" i="4"/>
  <c r="FD351" i="4"/>
  <c r="DY356" i="4"/>
  <c r="EH365" i="4"/>
  <c r="K132" i="34"/>
  <c r="FD381" i="4"/>
  <c r="DW257" i="4"/>
  <c r="EH309" i="4"/>
  <c r="DW256" i="4"/>
  <c r="EI323" i="4"/>
  <c r="DZ411" i="4"/>
  <c r="DZ412" i="4"/>
  <c r="DZ420" i="4"/>
  <c r="DZ423" i="4"/>
  <c r="DZ424" i="4"/>
  <c r="DZ428" i="4"/>
  <c r="DZ430" i="4"/>
  <c r="FD340" i="4"/>
  <c r="G103" i="34"/>
  <c r="C103" i="34" s="1"/>
  <c r="EJ351" i="4"/>
  <c r="FH356" i="4"/>
  <c r="FC353" i="4"/>
  <c r="H127" i="34"/>
  <c r="H129" i="34"/>
  <c r="DM411" i="4"/>
  <c r="DM426" i="4"/>
  <c r="DM423" i="4"/>
  <c r="DM422" i="4"/>
  <c r="DM418" i="4"/>
  <c r="DM417" i="4"/>
  <c r="DM416" i="4"/>
  <c r="DM415" i="4"/>
  <c r="DM414" i="4"/>
  <c r="H24" i="34"/>
  <c r="DY260" i="4"/>
  <c r="DY274" i="4"/>
  <c r="DY270" i="4"/>
  <c r="EI331" i="4"/>
  <c r="FH335" i="4"/>
  <c r="H115" i="34"/>
  <c r="G120" i="34"/>
  <c r="C120" i="34" s="1"/>
  <c r="G152" i="34"/>
  <c r="C152" i="34" s="1"/>
  <c r="C332" i="34" s="1"/>
  <c r="DF143" i="4"/>
  <c r="EB143" i="4" s="1"/>
  <c r="DF135" i="4"/>
  <c r="EB135" i="4" s="1"/>
  <c r="DF127" i="4"/>
  <c r="EB127" i="4" s="1"/>
  <c r="DF111" i="4"/>
  <c r="EB111" i="4" s="1"/>
  <c r="DF103" i="4"/>
  <c r="EB103" i="4" s="1"/>
  <c r="DF95" i="4"/>
  <c r="EB95" i="4" s="1"/>
  <c r="DF87" i="4"/>
  <c r="DF79" i="4"/>
  <c r="EB79" i="4" s="1"/>
  <c r="DF71" i="4"/>
  <c r="EB71" i="4" s="1"/>
  <c r="DF63" i="4"/>
  <c r="EB63" i="4" s="1"/>
  <c r="DF55" i="4"/>
  <c r="EB55" i="4" s="1"/>
  <c r="DF47" i="4"/>
  <c r="DF39" i="4"/>
  <c r="EB39" i="4" s="1"/>
  <c r="DF31" i="4"/>
  <c r="EB31" i="4" s="1"/>
  <c r="DF23" i="4"/>
  <c r="EB23" i="4" s="1"/>
  <c r="DF15" i="4"/>
  <c r="EB15" i="4" s="1"/>
  <c r="EI285" i="4"/>
  <c r="DY235" i="4"/>
  <c r="DY239" i="4"/>
  <c r="DY231" i="4"/>
  <c r="DY227" i="4"/>
  <c r="DY211" i="4"/>
  <c r="EB276" i="4"/>
  <c r="FG244" i="4"/>
  <c r="DN416" i="4"/>
  <c r="DN413" i="4"/>
  <c r="EH287" i="4"/>
  <c r="DY290" i="4"/>
  <c r="C44" i="16"/>
  <c r="C10" i="16"/>
  <c r="DL427" i="4"/>
  <c r="DW199" i="4"/>
  <c r="DL415" i="4"/>
  <c r="G86" i="34"/>
  <c r="C86" i="34" s="1"/>
  <c r="J88" i="34"/>
  <c r="L95" i="34"/>
  <c r="EJ356" i="4"/>
  <c r="L132" i="34"/>
  <c r="K139" i="34"/>
  <c r="DF142" i="4"/>
  <c r="EB142" i="4" s="1"/>
  <c r="DF134" i="4"/>
  <c r="EB134" i="4" s="1"/>
  <c r="DF126" i="4"/>
  <c r="EB126" i="4" s="1"/>
  <c r="DF118" i="4"/>
  <c r="EB118" i="4" s="1"/>
  <c r="DF110" i="4"/>
  <c r="EB110" i="4" s="1"/>
  <c r="DF102" i="4"/>
  <c r="EB102" i="4" s="1"/>
  <c r="DF94" i="4"/>
  <c r="EB94" i="4" s="1"/>
  <c r="DF78" i="4"/>
  <c r="EB78" i="4" s="1"/>
  <c r="DF70" i="4"/>
  <c r="EB70" i="4" s="1"/>
  <c r="DF62" i="4"/>
  <c r="EB62" i="4" s="1"/>
  <c r="DF54" i="4"/>
  <c r="EB54" i="4" s="1"/>
  <c r="DF46" i="4"/>
  <c r="EB46" i="4" s="1"/>
  <c r="DF30" i="4"/>
  <c r="EB30" i="4" s="1"/>
  <c r="DF22" i="4"/>
  <c r="EB22" i="4" s="1"/>
  <c r="DF14" i="4"/>
  <c r="EB14" i="4" s="1"/>
  <c r="EH283" i="4"/>
  <c r="EJ279" i="4"/>
  <c r="FD354" i="4"/>
  <c r="H118" i="34"/>
  <c r="FD374" i="4"/>
  <c r="P13" i="16"/>
  <c r="C50" i="16"/>
  <c r="DW295" i="4"/>
  <c r="DO434" i="4"/>
  <c r="DF292" i="4"/>
  <c r="EB292" i="4" s="1"/>
  <c r="DY252" i="4"/>
  <c r="DY266" i="4"/>
  <c r="DY261" i="4"/>
  <c r="F30" i="16"/>
  <c r="J52" i="34"/>
  <c r="L15" i="34"/>
  <c r="K51" i="34"/>
  <c r="DF297" i="4"/>
  <c r="EB297" i="4" s="1"/>
  <c r="DW238" i="4"/>
  <c r="DW190" i="4"/>
  <c r="DL411" i="4"/>
  <c r="O154" i="34"/>
  <c r="F51" i="16"/>
  <c r="EB159" i="4"/>
  <c r="EI273" i="4"/>
  <c r="DW289" i="4"/>
  <c r="EB247" i="4"/>
  <c r="F47" i="16"/>
  <c r="DW288" i="4"/>
  <c r="C28" i="16"/>
  <c r="DM432" i="4"/>
  <c r="DY238" i="4"/>
  <c r="DP411" i="4"/>
  <c r="DN433" i="4"/>
  <c r="J30" i="34"/>
  <c r="L40" i="34"/>
  <c r="L35" i="34"/>
  <c r="J49" i="34"/>
  <c r="DF281" i="4"/>
  <c r="DF273" i="4"/>
  <c r="EB273" i="4" s="1"/>
  <c r="DF265" i="4"/>
  <c r="EB265" i="4" s="1"/>
  <c r="DF257" i="4"/>
  <c r="EB257" i="4" s="1"/>
  <c r="EB191" i="4"/>
  <c r="EB183" i="4"/>
  <c r="EB167" i="4"/>
  <c r="EB151" i="4"/>
  <c r="DF320" i="4"/>
  <c r="EB320" i="4" s="1"/>
  <c r="DP429" i="4"/>
  <c r="EB271" i="4"/>
  <c r="EG428" i="4"/>
  <c r="C53" i="16"/>
  <c r="I53" i="16" s="1"/>
  <c r="DR432" i="4"/>
  <c r="DT431" i="4"/>
  <c r="EH292" i="4"/>
  <c r="C11" i="16"/>
  <c r="C37" i="16"/>
  <c r="DY293" i="4"/>
  <c r="DY256" i="4"/>
  <c r="EH272" i="4"/>
  <c r="DF289" i="4"/>
  <c r="EB289" i="4" s="1"/>
  <c r="DF137" i="4"/>
  <c r="EB137" i="4" s="1"/>
  <c r="DF129" i="4"/>
  <c r="DF121" i="4"/>
  <c r="EB121" i="4" s="1"/>
  <c r="DF113" i="4"/>
  <c r="EB113" i="4" s="1"/>
  <c r="DF105" i="4"/>
  <c r="EB105" i="4" s="1"/>
  <c r="DF97" i="4"/>
  <c r="EB97" i="4" s="1"/>
  <c r="DF89" i="4"/>
  <c r="DF81" i="4"/>
  <c r="EB81" i="4" s="1"/>
  <c r="DF73" i="4"/>
  <c r="EB73" i="4" s="1"/>
  <c r="DF65" i="4"/>
  <c r="DF57" i="4"/>
  <c r="EB57" i="4" s="1"/>
  <c r="DF49" i="4"/>
  <c r="EB49" i="4" s="1"/>
  <c r="DF41" i="4"/>
  <c r="EB41" i="4" s="1"/>
  <c r="DF33" i="4"/>
  <c r="EB33" i="4" s="1"/>
  <c r="DF25" i="4"/>
  <c r="DF17" i="4"/>
  <c r="EB17" i="4" s="1"/>
  <c r="DY223" i="4"/>
  <c r="DY215" i="4"/>
  <c r="L70" i="34"/>
  <c r="DY318" i="4"/>
  <c r="I21" i="34"/>
  <c r="DF237" i="4"/>
  <c r="EB237" i="4" s="1"/>
  <c r="EB199" i="4"/>
  <c r="EH254" i="4"/>
  <c r="L52" i="34"/>
  <c r="L47" i="34"/>
  <c r="J11" i="34"/>
  <c r="DW187" i="4"/>
  <c r="EH285" i="4"/>
  <c r="DY218" i="4"/>
  <c r="DW293" i="4"/>
  <c r="DF242" i="4"/>
  <c r="EB242" i="4" s="1"/>
  <c r="DF248" i="4"/>
  <c r="EB248" i="4" s="1"/>
  <c r="DW67" i="4"/>
  <c r="C5" i="16"/>
  <c r="D5" i="16" s="1"/>
  <c r="C29" i="16"/>
  <c r="F28" i="16"/>
  <c r="DP426" i="4"/>
  <c r="L26" i="34"/>
  <c r="H30" i="34"/>
  <c r="C13" i="16"/>
  <c r="E13" i="16" s="1"/>
  <c r="DL414" i="4"/>
  <c r="DL412" i="4"/>
  <c r="DF313" i="4"/>
  <c r="EB313" i="4" s="1"/>
  <c r="DY317" i="4"/>
  <c r="DP434" i="4"/>
  <c r="DP432" i="4"/>
  <c r="I194" i="34" s="1"/>
  <c r="DF321" i="4"/>
  <c r="EB321" i="4" s="1"/>
  <c r="I106" i="34"/>
  <c r="DF225" i="4"/>
  <c r="EB225" i="4" s="1"/>
  <c r="DF305" i="4"/>
  <c r="EB305" i="4" s="1"/>
  <c r="P44" i="16"/>
  <c r="P40" i="16"/>
  <c r="P36" i="16"/>
  <c r="P31" i="16"/>
  <c r="DP431" i="4"/>
  <c r="EH281" i="4"/>
  <c r="DR427" i="4"/>
  <c r="DP425" i="4"/>
  <c r="DW159" i="4"/>
  <c r="DY226" i="4"/>
  <c r="DP420" i="4"/>
  <c r="EH258" i="4"/>
  <c r="P93" i="16"/>
  <c r="DW294" i="4"/>
  <c r="EI257" i="4"/>
  <c r="DP416" i="4"/>
  <c r="DP427" i="4"/>
  <c r="EJ275" i="4"/>
  <c r="EI265" i="4"/>
  <c r="DW136" i="4"/>
  <c r="EH279" i="4"/>
  <c r="DW175" i="4"/>
  <c r="DY230" i="4"/>
  <c r="DP412" i="4"/>
  <c r="DP414" i="4"/>
  <c r="G13" i="34"/>
  <c r="DS428" i="4"/>
  <c r="DP423" i="4"/>
  <c r="DP430" i="4"/>
  <c r="DY234" i="4"/>
  <c r="DP418" i="4"/>
  <c r="F44" i="16"/>
  <c r="DW270" i="4"/>
  <c r="F10" i="16"/>
  <c r="DW185" i="4"/>
  <c r="I104" i="34"/>
  <c r="EB131" i="4"/>
  <c r="EB115" i="4"/>
  <c r="EB51" i="4"/>
  <c r="EB43" i="4"/>
  <c r="EB19" i="4"/>
  <c r="DY177" i="4"/>
  <c r="DY173" i="4"/>
  <c r="DY169" i="4"/>
  <c r="DY162" i="4"/>
  <c r="DY158" i="4"/>
  <c r="DY153" i="4"/>
  <c r="DW149" i="4"/>
  <c r="DW141" i="4"/>
  <c r="DY133" i="4"/>
  <c r="DY129" i="4"/>
  <c r="DY119" i="4"/>
  <c r="DY109" i="4"/>
  <c r="DY107" i="4"/>
  <c r="DY103" i="4"/>
  <c r="DY101" i="4"/>
  <c r="DY97" i="4"/>
  <c r="DY93" i="4"/>
  <c r="DY89" i="4"/>
  <c r="DY87" i="4"/>
  <c r="DY85" i="4"/>
  <c r="DY83" i="4"/>
  <c r="DY81" i="4"/>
  <c r="DY79" i="4"/>
  <c r="DY77" i="4"/>
  <c r="DY41" i="4"/>
  <c r="DW33" i="4"/>
  <c r="EH262" i="4"/>
  <c r="EH260" i="4"/>
  <c r="EB268" i="4"/>
  <c r="K49" i="34"/>
  <c r="EJ309" i="4"/>
  <c r="DF314" i="4"/>
  <c r="EB314" i="4" s="1"/>
  <c r="DO411" i="4"/>
  <c r="EB208" i="4"/>
  <c r="H31" i="34"/>
  <c r="H23" i="34"/>
  <c r="K47" i="34"/>
  <c r="C40" i="16"/>
  <c r="C14" i="16"/>
  <c r="I91" i="34"/>
  <c r="I93" i="34"/>
  <c r="P102" i="16"/>
  <c r="G116" i="34"/>
  <c r="C116" i="34" s="1"/>
  <c r="Y209" i="34"/>
  <c r="Z209" i="34"/>
  <c r="W323" i="34"/>
  <c r="W325" i="34"/>
  <c r="R243" i="34"/>
  <c r="Y243" i="34" s="1"/>
  <c r="D199" i="34"/>
  <c r="R287" i="34"/>
  <c r="Y287" i="34" s="1"/>
  <c r="C285" i="34"/>
  <c r="R283" i="34"/>
  <c r="Y283" i="34" s="1"/>
  <c r="R281" i="34"/>
  <c r="Y281" i="34" s="1"/>
  <c r="C300" i="34"/>
  <c r="R259" i="34"/>
  <c r="Y259" i="34" s="1"/>
  <c r="R258" i="34"/>
  <c r="Y258" i="34" s="1"/>
  <c r="R253" i="34"/>
  <c r="Y253" i="34" s="1"/>
  <c r="R248" i="34"/>
  <c r="Y248" i="34" s="1"/>
  <c r="R247" i="34"/>
  <c r="Y247" i="34" s="1"/>
  <c r="R245" i="34"/>
  <c r="Y245" i="34" s="1"/>
  <c r="R217" i="34"/>
  <c r="Y217" i="34" s="1"/>
  <c r="D200" i="34"/>
  <c r="D198" i="34"/>
  <c r="R284" i="34"/>
  <c r="Y284" i="34" s="1"/>
  <c r="C282" i="34"/>
  <c r="C293" i="34"/>
  <c r="N306" i="34"/>
  <c r="Z306" i="34" s="1"/>
  <c r="C308" i="34"/>
  <c r="W318" i="34"/>
  <c r="N322" i="34"/>
  <c r="Z322" i="34" s="1"/>
  <c r="Q325" i="34"/>
  <c r="N327" i="34"/>
  <c r="N331" i="34"/>
  <c r="Z331" i="34" s="1"/>
  <c r="R266" i="34"/>
  <c r="Y266" i="34" s="1"/>
  <c r="R255" i="34"/>
  <c r="Y255" i="34" s="1"/>
  <c r="C304" i="34"/>
  <c r="W320" i="34"/>
  <c r="N321" i="34"/>
  <c r="R321" i="34" s="1"/>
  <c r="Z213" i="34"/>
  <c r="W328" i="34"/>
  <c r="R241" i="34"/>
  <c r="Y241" i="34" s="1"/>
  <c r="R282" i="34"/>
  <c r="Y282" i="34" s="1"/>
  <c r="C289" i="34"/>
  <c r="C296" i="34"/>
  <c r="N308" i="34"/>
  <c r="Z308" i="34" s="1"/>
  <c r="N318" i="34"/>
  <c r="R318" i="34" s="1"/>
  <c r="W324" i="34"/>
  <c r="D203" i="34"/>
  <c r="Q330" i="34"/>
  <c r="R330" i="34" s="1"/>
  <c r="Y330" i="34" s="1"/>
  <c r="R274" i="34"/>
  <c r="Y274" i="34" s="1"/>
  <c r="R256" i="34"/>
  <c r="Y256" i="34" s="1"/>
  <c r="C294" i="34"/>
  <c r="N305" i="34"/>
  <c r="R305" i="34" s="1"/>
  <c r="Y305" i="34" s="1"/>
  <c r="N309" i="34"/>
  <c r="Z309" i="34" s="1"/>
  <c r="C143" i="34"/>
  <c r="C323" i="34" s="1"/>
  <c r="Q324" i="34"/>
  <c r="Q326" i="34"/>
  <c r="D204" i="34"/>
  <c r="C309" i="34"/>
  <c r="Y227" i="34"/>
  <c r="R280" i="34"/>
  <c r="Y280" i="34" s="1"/>
  <c r="N314" i="34"/>
  <c r="Z314" i="34" s="1"/>
  <c r="N324" i="34"/>
  <c r="Z324" i="34" s="1"/>
  <c r="C113" i="34"/>
  <c r="R275" i="34"/>
  <c r="Y275" i="34" s="1"/>
  <c r="R273" i="34"/>
  <c r="Y273" i="34" s="1"/>
  <c r="R265" i="34"/>
  <c r="Y265" i="34" s="1"/>
  <c r="R257" i="34"/>
  <c r="Y257" i="34" s="1"/>
  <c r="C291" i="34"/>
  <c r="C310" i="34"/>
  <c r="N315" i="34"/>
  <c r="R315" i="34" s="1"/>
  <c r="Y315" i="34" s="1"/>
  <c r="W321" i="34"/>
  <c r="Q327" i="34"/>
  <c r="Q331" i="34"/>
  <c r="R270" i="34"/>
  <c r="Y270" i="34" s="1"/>
  <c r="C295" i="34"/>
  <c r="N311" i="34"/>
  <c r="R311" i="34" s="1"/>
  <c r="Y311" i="34" s="1"/>
  <c r="R242" i="34"/>
  <c r="Y242" i="34" s="1"/>
  <c r="Q323" i="34"/>
  <c r="N333" i="34"/>
  <c r="Z333" i="34" s="1"/>
  <c r="Q334" i="34"/>
  <c r="DW85" i="4"/>
  <c r="EI271" i="4"/>
  <c r="EI255" i="4"/>
  <c r="EJ269" i="4"/>
  <c r="DW101" i="4"/>
  <c r="DL431" i="4"/>
  <c r="DW123" i="4"/>
  <c r="DL419" i="4"/>
  <c r="DW83" i="4"/>
  <c r="DL432" i="4"/>
  <c r="G194" i="34" s="1"/>
  <c r="DW155" i="4"/>
  <c r="DW131" i="4"/>
  <c r="DY185" i="4"/>
  <c r="DY141" i="4"/>
  <c r="DL420" i="4"/>
  <c r="DW163" i="4"/>
  <c r="DW259" i="4"/>
  <c r="DL434" i="4"/>
  <c r="DL430" i="4"/>
  <c r="DL423" i="4"/>
  <c r="DW179" i="4"/>
  <c r="DW35" i="4"/>
  <c r="DN439" i="4"/>
  <c r="H80" i="34"/>
  <c r="L92" i="34"/>
  <c r="H95" i="34"/>
  <c r="J99" i="34"/>
  <c r="EI340" i="4"/>
  <c r="EI341" i="4"/>
  <c r="DE435" i="4"/>
  <c r="EC435" i="4" s="1"/>
  <c r="EH351" i="4"/>
  <c r="DF352" i="4"/>
  <c r="M107" i="34"/>
  <c r="J119" i="34"/>
  <c r="FC327" i="4"/>
  <c r="FC343" i="4"/>
  <c r="L124" i="34"/>
  <c r="DF364" i="4"/>
  <c r="EB364" i="4" s="1"/>
  <c r="EJ378" i="4"/>
  <c r="DF386" i="4"/>
  <c r="DY189" i="4"/>
  <c r="C38" i="16"/>
  <c r="I20" i="34"/>
  <c r="DF319" i="4"/>
  <c r="EB319" i="4" s="1"/>
  <c r="FG331" i="4"/>
  <c r="DZ413" i="4"/>
  <c r="DZ414" i="4"/>
  <c r="DZ417" i="4"/>
  <c r="DZ418" i="4"/>
  <c r="DZ421" i="4"/>
  <c r="DZ422" i="4"/>
  <c r="DZ425" i="4"/>
  <c r="DZ426" i="4"/>
  <c r="DZ429" i="4"/>
  <c r="DZ431" i="4"/>
  <c r="DZ432" i="4"/>
  <c r="DZ433" i="4"/>
  <c r="DZ434" i="4"/>
  <c r="FC334" i="4"/>
  <c r="G115" i="34"/>
  <c r="C115" i="34" s="1"/>
  <c r="FH364" i="4"/>
  <c r="DF366" i="4"/>
  <c r="EB366" i="4" s="1"/>
  <c r="H26" i="34"/>
  <c r="K30" i="34"/>
  <c r="K42" i="34"/>
  <c r="K36" i="34"/>
  <c r="EI321" i="4"/>
  <c r="EH325" i="4"/>
  <c r="C132" i="16"/>
  <c r="M133" i="34"/>
  <c r="DF373" i="4"/>
  <c r="EB373" i="4" s="1"/>
  <c r="EI375" i="4"/>
  <c r="DF376" i="4"/>
  <c r="EB376" i="4" s="1"/>
  <c r="G145" i="34"/>
  <c r="C145" i="34" s="1"/>
  <c r="C325" i="34" s="1"/>
  <c r="EB386" i="4"/>
  <c r="DW99" i="4"/>
  <c r="DY221" i="4"/>
  <c r="EJ323" i="4"/>
  <c r="P96" i="16"/>
  <c r="EH344" i="4"/>
  <c r="DF353" i="4"/>
  <c r="EB353" i="4" s="1"/>
  <c r="DK417" i="4"/>
  <c r="DK420" i="4"/>
  <c r="DK426" i="4"/>
  <c r="G117" i="34"/>
  <c r="C117" i="34" s="1"/>
  <c r="J125" i="34"/>
  <c r="EH362" i="4"/>
  <c r="EJ366" i="4"/>
  <c r="EF433" i="4"/>
  <c r="DT423" i="4"/>
  <c r="P27" i="16"/>
  <c r="P23" i="16"/>
  <c r="P20" i="16"/>
  <c r="DY209" i="4"/>
  <c r="EI295" i="4"/>
  <c r="EG434" i="4"/>
  <c r="G43" i="34"/>
  <c r="G9" i="34"/>
  <c r="J78" i="34"/>
  <c r="EH319" i="4"/>
  <c r="L100" i="34"/>
  <c r="EI339" i="4"/>
  <c r="FD344" i="4"/>
  <c r="DY345" i="4"/>
  <c r="G114" i="34"/>
  <c r="C114" i="34" s="1"/>
  <c r="L115" i="34"/>
  <c r="EJ355" i="4"/>
  <c r="FC355" i="4"/>
  <c r="C148" i="16"/>
  <c r="DW386" i="4"/>
  <c r="FI386" i="4" s="1"/>
  <c r="DW387" i="4"/>
  <c r="FI387" i="4" s="1"/>
  <c r="FG252" i="4"/>
  <c r="DN429" i="4"/>
  <c r="DW205" i="4"/>
  <c r="DN426" i="4"/>
  <c r="DN425" i="4"/>
  <c r="DW121" i="4"/>
  <c r="DW109" i="4"/>
  <c r="DN418" i="4"/>
  <c r="DW89" i="4"/>
  <c r="DN415" i="4"/>
  <c r="DW57" i="4"/>
  <c r="DN414" i="4"/>
  <c r="DY257" i="4"/>
  <c r="DF303" i="4"/>
  <c r="EB303" i="4" s="1"/>
  <c r="DF311" i="4"/>
  <c r="EB311" i="4" s="1"/>
  <c r="FH318" i="4"/>
  <c r="FG321" i="4"/>
  <c r="EI324" i="4"/>
  <c r="DF327" i="4"/>
  <c r="EB327" i="4" s="1"/>
  <c r="EI343" i="4"/>
  <c r="FC345" i="4"/>
  <c r="FC340" i="4"/>
  <c r="G111" i="34"/>
  <c r="C111" i="34" s="1"/>
  <c r="G119" i="34"/>
  <c r="C119" i="34" s="1"/>
  <c r="FE368" i="4"/>
  <c r="FD370" i="4"/>
  <c r="C138" i="16"/>
  <c r="EH298" i="4"/>
  <c r="DW260" i="4"/>
  <c r="DL429" i="4"/>
  <c r="DL428" i="4"/>
  <c r="DW188" i="4"/>
  <c r="DW156" i="4"/>
  <c r="DL417" i="4"/>
  <c r="DL413" i="4"/>
  <c r="P88" i="16"/>
  <c r="C104" i="16"/>
  <c r="K107" i="34"/>
  <c r="J116" i="34"/>
  <c r="DF359" i="4"/>
  <c r="EB359" i="4" s="1"/>
  <c r="DF360" i="4"/>
  <c r="I126" i="34"/>
  <c r="J134" i="34"/>
  <c r="K140" i="34"/>
  <c r="K145" i="34"/>
  <c r="DF385" i="4"/>
  <c r="P104" i="16"/>
  <c r="P95" i="16"/>
  <c r="P113" i="16"/>
  <c r="DR423" i="4"/>
  <c r="EI254" i="4"/>
  <c r="EI275" i="4"/>
  <c r="DW172" i="4"/>
  <c r="EH268" i="4"/>
  <c r="H14" i="34"/>
  <c r="K48" i="34"/>
  <c r="L8" i="34"/>
  <c r="K16" i="34"/>
  <c r="J12" i="34"/>
  <c r="K31" i="34"/>
  <c r="J31" i="34"/>
  <c r="H41" i="34"/>
  <c r="DL424" i="4"/>
  <c r="EH294" i="4"/>
  <c r="DW176" i="4"/>
  <c r="DS431" i="4"/>
  <c r="L193" i="34" s="1"/>
  <c r="FG247" i="4"/>
  <c r="F49" i="16"/>
  <c r="C30" i="16"/>
  <c r="DM433" i="4"/>
  <c r="C42" i="16"/>
  <c r="EH270" i="4"/>
  <c r="DY99" i="4"/>
  <c r="DW261" i="4"/>
  <c r="DW262" i="4"/>
  <c r="K50" i="34"/>
  <c r="G87" i="34"/>
  <c r="C87" i="34" s="1"/>
  <c r="P101" i="16"/>
  <c r="G108" i="34"/>
  <c r="C108" i="34" s="1"/>
  <c r="M114" i="34"/>
  <c r="I99" i="34"/>
  <c r="I94" i="34"/>
  <c r="DK433" i="4"/>
  <c r="G70" i="34"/>
  <c r="C70" i="34" s="1"/>
  <c r="H51" i="34"/>
  <c r="L16" i="34"/>
  <c r="K8" i="34"/>
  <c r="L27" i="34"/>
  <c r="K27" i="34"/>
  <c r="H22" i="34"/>
  <c r="DL425" i="4"/>
  <c r="DR431" i="4"/>
  <c r="EF434" i="4"/>
  <c r="C17" i="16"/>
  <c r="C15" i="16"/>
  <c r="C9" i="16"/>
  <c r="C35" i="16"/>
  <c r="DY267" i="4"/>
  <c r="DW254" i="4"/>
  <c r="F31" i="16"/>
  <c r="K38" i="34"/>
  <c r="K23" i="34"/>
  <c r="K44" i="34"/>
  <c r="DY225" i="4"/>
  <c r="I31" i="34"/>
  <c r="F23" i="16"/>
  <c r="C41" i="16"/>
  <c r="DW290" i="4"/>
  <c r="DT434" i="4"/>
  <c r="F43" i="16"/>
  <c r="F16" i="16"/>
  <c r="DW266" i="4"/>
  <c r="DL433" i="4"/>
  <c r="M101" i="34"/>
  <c r="FG339" i="4"/>
  <c r="M96" i="34"/>
  <c r="M86" i="34"/>
  <c r="G74" i="34"/>
  <c r="C74" i="34" s="1"/>
  <c r="DK436" i="4"/>
  <c r="FC322" i="4"/>
  <c r="F50" i="16"/>
  <c r="DY271" i="4"/>
  <c r="DW267" i="4"/>
  <c r="H33" i="34"/>
  <c r="DT432" i="4"/>
  <c r="EB217" i="4"/>
  <c r="DF253" i="4"/>
  <c r="EB253" i="4" s="1"/>
  <c r="DW243" i="4"/>
  <c r="C7" i="16"/>
  <c r="C22" i="16"/>
  <c r="I22" i="16" s="1"/>
  <c r="DY292" i="4"/>
  <c r="DY281" i="4"/>
  <c r="DY291" i="4"/>
  <c r="DW252" i="4"/>
  <c r="DW275" i="4"/>
  <c r="H42" i="34"/>
  <c r="H17" i="34"/>
  <c r="H9" i="34"/>
  <c r="H47" i="34"/>
  <c r="L11" i="34"/>
  <c r="K15" i="34"/>
  <c r="K11" i="34"/>
  <c r="J15" i="34"/>
  <c r="F15" i="16"/>
  <c r="F7" i="16"/>
  <c r="J7" i="34"/>
  <c r="H12" i="34"/>
  <c r="L22" i="34"/>
  <c r="K26" i="34"/>
  <c r="K22" i="34"/>
  <c r="H25" i="34"/>
  <c r="J41" i="34"/>
  <c r="J35" i="34"/>
  <c r="P92" i="16"/>
  <c r="DW168" i="4"/>
  <c r="DS423" i="4"/>
  <c r="F48" i="16"/>
  <c r="EJ293" i="4"/>
  <c r="DW180" i="4"/>
  <c r="C51" i="16"/>
  <c r="DS432" i="4"/>
  <c r="DF230" i="4"/>
  <c r="EB230" i="4" s="1"/>
  <c r="C31" i="16"/>
  <c r="DY275" i="4"/>
  <c r="DY289" i="4"/>
  <c r="DW268" i="4"/>
  <c r="DW274" i="4"/>
  <c r="J69" i="34"/>
  <c r="G55" i="34"/>
  <c r="DW273" i="4"/>
  <c r="DL426" i="4"/>
  <c r="F9" i="16"/>
  <c r="DW164" i="4"/>
  <c r="DF187" i="4"/>
  <c r="EB187" i="4" s="1"/>
  <c r="DF179" i="4"/>
  <c r="EB179" i="4" s="1"/>
  <c r="DF147" i="4"/>
  <c r="EB147" i="4" s="1"/>
  <c r="DF315" i="4"/>
  <c r="EB315" i="4" s="1"/>
  <c r="FC319" i="4"/>
  <c r="DF323" i="4"/>
  <c r="DF336" i="4"/>
  <c r="EB336" i="4" s="1"/>
  <c r="EI360" i="4"/>
  <c r="DF296" i="4"/>
  <c r="EB296" i="4" s="1"/>
  <c r="G30" i="34"/>
  <c r="EH310" i="4"/>
  <c r="G88" i="34"/>
  <c r="C88" i="34" s="1"/>
  <c r="FC338" i="4"/>
  <c r="P42" i="16"/>
  <c r="P38" i="16"/>
  <c r="P34" i="16"/>
  <c r="P25" i="16"/>
  <c r="DF200" i="4"/>
  <c r="EB200" i="4" s="1"/>
  <c r="DF192" i="4"/>
  <c r="EB192" i="4" s="1"/>
  <c r="DF168" i="4"/>
  <c r="EB168" i="4" s="1"/>
  <c r="DF160" i="4"/>
  <c r="EB160" i="4" s="1"/>
  <c r="DF152" i="4"/>
  <c r="EB152" i="4" s="1"/>
  <c r="DF144" i="4"/>
  <c r="EB144" i="4" s="1"/>
  <c r="EH308" i="4"/>
  <c r="FC335" i="4"/>
  <c r="EB129" i="4"/>
  <c r="EB89" i="4"/>
  <c r="EB65" i="4"/>
  <c r="EB25" i="4"/>
  <c r="DF299" i="4"/>
  <c r="EB299" i="4" s="1"/>
  <c r="G27" i="34"/>
  <c r="G33" i="34"/>
  <c r="DK435" i="4"/>
  <c r="DK437" i="4"/>
  <c r="J154" i="34"/>
  <c r="DF312" i="4"/>
  <c r="EB312" i="4" s="1"/>
  <c r="DF328" i="4"/>
  <c r="EB328" i="4" s="1"/>
  <c r="DZ435" i="4"/>
  <c r="EB324" i="4"/>
  <c r="DW166" i="4"/>
  <c r="DY165" i="4"/>
  <c r="DF227" i="4"/>
  <c r="EB227" i="4" s="1"/>
  <c r="DF219" i="4"/>
  <c r="EB219" i="4" s="1"/>
  <c r="DF331" i="4"/>
  <c r="EB331" i="4" s="1"/>
  <c r="P52" i="16"/>
  <c r="P33" i="16"/>
  <c r="P12" i="16"/>
  <c r="Q13" i="16" s="1"/>
  <c r="P14" i="16"/>
  <c r="P18" i="16"/>
  <c r="P50" i="16"/>
  <c r="P49" i="16"/>
  <c r="P246" i="16" s="1"/>
  <c r="P46" i="16"/>
  <c r="N194" i="16"/>
  <c r="P11" i="16"/>
  <c r="P43" i="16"/>
  <c r="P37" i="16"/>
  <c r="P26" i="16"/>
  <c r="P56" i="16"/>
  <c r="P51" i="16"/>
  <c r="P47" i="16"/>
  <c r="P87" i="16"/>
  <c r="P90" i="16"/>
  <c r="P7" i="16"/>
  <c r="P9" i="16"/>
  <c r="P15" i="16"/>
  <c r="P17" i="16"/>
  <c r="P41" i="16"/>
  <c r="P39" i="16"/>
  <c r="P30" i="16"/>
  <c r="P28" i="16"/>
  <c r="P24" i="16"/>
  <c r="P22" i="16"/>
  <c r="P48" i="16"/>
  <c r="P105" i="16"/>
  <c r="P109" i="16"/>
  <c r="Q111" i="16" s="1"/>
  <c r="P117" i="16"/>
  <c r="P29" i="16"/>
  <c r="P21" i="16"/>
  <c r="P74" i="16"/>
  <c r="P78" i="16"/>
  <c r="Z241" i="34"/>
  <c r="DT429" i="4"/>
  <c r="DY237" i="4"/>
  <c r="DY233" i="4"/>
  <c r="DY229" i="4"/>
  <c r="DW221" i="4"/>
  <c r="DN417" i="4"/>
  <c r="DW177" i="4"/>
  <c r="DW34" i="4"/>
  <c r="DY30" i="4"/>
  <c r="I17" i="34"/>
  <c r="DW62" i="4"/>
  <c r="DW72" i="4"/>
  <c r="I73" i="34"/>
  <c r="FF319" i="4"/>
  <c r="FE321" i="4"/>
  <c r="K81" i="34"/>
  <c r="DY29" i="4"/>
  <c r="DW22" i="4"/>
  <c r="DY21" i="4"/>
  <c r="DY19" i="4"/>
  <c r="DY17" i="4"/>
  <c r="DW16" i="4"/>
  <c r="DY14" i="4"/>
  <c r="DY13" i="4"/>
  <c r="EH226" i="4"/>
  <c r="EH224" i="4"/>
  <c r="EH222" i="4"/>
  <c r="EH220" i="4"/>
  <c r="EH218" i="4"/>
  <c r="EH238" i="4"/>
  <c r="EH236" i="4"/>
  <c r="EH234" i="4"/>
  <c r="EH232" i="4"/>
  <c r="EH230" i="4"/>
  <c r="DY172" i="4"/>
  <c r="DY168" i="4"/>
  <c r="DY128" i="4"/>
  <c r="DY118" i="4"/>
  <c r="DY110" i="4"/>
  <c r="DY108" i="4"/>
  <c r="DY76" i="4"/>
  <c r="DY72" i="4"/>
  <c r="DY70" i="4"/>
  <c r="DY66" i="4"/>
  <c r="DY60" i="4"/>
  <c r="DY56" i="4"/>
  <c r="DW50" i="4"/>
  <c r="DY38" i="4"/>
  <c r="DY36" i="4"/>
  <c r="DY34" i="4"/>
  <c r="EJ274" i="4"/>
  <c r="EJ253" i="4"/>
  <c r="DY186" i="4"/>
  <c r="DY182" i="4"/>
  <c r="DY180" i="4"/>
  <c r="EI281" i="4"/>
  <c r="EH278" i="4"/>
  <c r="EI276" i="4"/>
  <c r="G14" i="34"/>
  <c r="FD322" i="4"/>
  <c r="P57" i="16"/>
  <c r="P55" i="16"/>
  <c r="J65" i="34"/>
  <c r="G26" i="34"/>
  <c r="DY75" i="4"/>
  <c r="DY202" i="4"/>
  <c r="DY201" i="4"/>
  <c r="DY198" i="4"/>
  <c r="DY197" i="4"/>
  <c r="G72" i="34"/>
  <c r="C72" i="34" s="1"/>
  <c r="FC316" i="4"/>
  <c r="G76" i="34"/>
  <c r="C76" i="34" s="1"/>
  <c r="G80" i="34"/>
  <c r="C80" i="34" s="1"/>
  <c r="EJ310" i="4"/>
  <c r="EH313" i="4"/>
  <c r="P72" i="16"/>
  <c r="EB316" i="4"/>
  <c r="G51" i="34"/>
  <c r="G50" i="34"/>
  <c r="G46" i="34"/>
  <c r="G41" i="34"/>
  <c r="G20" i="34"/>
  <c r="G11" i="34"/>
  <c r="C88" i="16"/>
  <c r="G98" i="34"/>
  <c r="C98" i="34" s="1"/>
  <c r="DS419" i="4"/>
  <c r="DW68" i="4"/>
  <c r="DW174" i="4"/>
  <c r="DW43" i="4"/>
  <c r="DW76" i="4"/>
  <c r="DW102" i="4"/>
  <c r="DY32" i="4"/>
  <c r="DW25" i="4"/>
  <c r="DY25" i="4"/>
  <c r="DW86" i="4"/>
  <c r="EH267" i="4"/>
  <c r="EI268" i="4"/>
  <c r="EG432" i="4"/>
  <c r="EJ266" i="4"/>
  <c r="EJ258" i="4"/>
  <c r="EJ257" i="4"/>
  <c r="DY250" i="4"/>
  <c r="DW250" i="4"/>
  <c r="DW77" i="4"/>
  <c r="DW91" i="4"/>
  <c r="DW113" i="4"/>
  <c r="DW133" i="4"/>
  <c r="DY217" i="4"/>
  <c r="DS411" i="4"/>
  <c r="DY161" i="4"/>
  <c r="DY249" i="4"/>
  <c r="DY243" i="4"/>
  <c r="DY191" i="4"/>
  <c r="DY187" i="4"/>
  <c r="P8" i="16"/>
  <c r="EJ286" i="4"/>
  <c r="C56" i="16"/>
  <c r="C61" i="16"/>
  <c r="DW193" i="4"/>
  <c r="EJ295" i="4"/>
  <c r="G16" i="34"/>
  <c r="DF325" i="4"/>
  <c r="EB325" i="4" s="1"/>
  <c r="DF329" i="4"/>
  <c r="EB329" i="4" s="1"/>
  <c r="DW200" i="4"/>
  <c r="J54" i="34"/>
  <c r="FC320" i="4"/>
  <c r="I30" i="34"/>
  <c r="FD331" i="4"/>
  <c r="DF337" i="4"/>
  <c r="EB337" i="4" s="1"/>
  <c r="DF341" i="4"/>
  <c r="EB341" i="4" s="1"/>
  <c r="I107" i="34"/>
  <c r="I105" i="34"/>
  <c r="I103" i="34"/>
  <c r="DY151" i="4"/>
  <c r="DY147" i="4"/>
  <c r="DY143" i="4"/>
  <c r="DY139" i="4"/>
  <c r="DY137" i="4"/>
  <c r="DY135" i="4"/>
  <c r="DY131" i="4"/>
  <c r="DY127" i="4"/>
  <c r="DY125" i="4"/>
  <c r="DY123" i="4"/>
  <c r="DY121" i="4"/>
  <c r="DY73" i="4"/>
  <c r="DW152" i="4"/>
  <c r="DY150" i="4"/>
  <c r="DY138" i="4"/>
  <c r="EI284" i="4"/>
  <c r="EI277" i="4"/>
  <c r="DW244" i="4"/>
  <c r="DY69" i="4"/>
  <c r="DY67" i="4"/>
  <c r="DY61" i="4"/>
  <c r="DY59" i="4"/>
  <c r="DY53" i="4"/>
  <c r="DY51" i="4"/>
  <c r="DY49" i="4"/>
  <c r="DY47" i="4"/>
  <c r="DY43" i="4"/>
  <c r="DY39" i="4"/>
  <c r="DY35" i="4"/>
  <c r="EH273" i="4"/>
  <c r="EI269" i="4"/>
  <c r="EH261" i="4"/>
  <c r="EH257" i="4"/>
  <c r="EJ267" i="4"/>
  <c r="EH259" i="4"/>
  <c r="P5" i="16"/>
  <c r="EI300" i="4"/>
  <c r="K70" i="34"/>
  <c r="DE414" i="4"/>
  <c r="EC414" i="4" s="1"/>
  <c r="DF322" i="4"/>
  <c r="EB322" i="4" s="1"/>
  <c r="G35" i="34"/>
  <c r="K95" i="34"/>
  <c r="DW286" i="4"/>
  <c r="H54" i="34"/>
  <c r="DY307" i="4"/>
  <c r="Y291" i="34"/>
  <c r="Z281" i="34"/>
  <c r="DW100" i="4"/>
  <c r="DY164" i="4"/>
  <c r="DW285" i="4"/>
  <c r="DW124" i="4"/>
  <c r="DS420" i="4"/>
  <c r="DW69" i="4"/>
  <c r="DW110" i="4"/>
  <c r="DW84" i="4"/>
  <c r="DW114" i="4"/>
  <c r="DY200" i="4"/>
  <c r="DN430" i="4"/>
  <c r="DW234" i="4"/>
  <c r="DW212" i="4"/>
  <c r="DS421" i="4"/>
  <c r="DW59" i="4"/>
  <c r="DW81" i="4"/>
  <c r="DW128" i="4"/>
  <c r="DW42" i="4"/>
  <c r="DY117" i="4"/>
  <c r="DY113" i="4"/>
  <c r="DY105" i="4"/>
  <c r="DW79" i="4"/>
  <c r="DW41" i="4"/>
  <c r="DW37" i="4"/>
  <c r="DY33" i="4"/>
  <c r="DW167" i="4"/>
  <c r="I57" i="34"/>
  <c r="I53" i="34"/>
  <c r="I49" i="34"/>
  <c r="I36" i="34"/>
  <c r="FH323" i="4"/>
  <c r="DL416" i="4"/>
  <c r="DW263" i="4"/>
  <c r="F18" i="16"/>
  <c r="F14" i="16"/>
  <c r="FE253" i="4"/>
  <c r="DY152" i="4"/>
  <c r="DY148" i="4"/>
  <c r="DY146" i="4"/>
  <c r="DY134" i="4"/>
  <c r="DW116" i="4"/>
  <c r="DY114" i="4"/>
  <c r="DW106" i="4"/>
  <c r="DY88" i="4"/>
  <c r="DY80" i="4"/>
  <c r="DY78" i="4"/>
  <c r="DW70" i="4"/>
  <c r="DY68" i="4"/>
  <c r="DY64" i="4"/>
  <c r="DT415" i="4"/>
  <c r="DW56" i="4"/>
  <c r="DY54" i="4"/>
  <c r="DY46" i="4"/>
  <c r="DY44" i="4"/>
  <c r="DY42" i="4"/>
  <c r="DY40" i="4"/>
  <c r="DY246" i="4"/>
  <c r="DY244" i="4"/>
  <c r="DW240" i="4"/>
  <c r="DY190" i="4"/>
  <c r="DY188" i="4"/>
  <c r="DW182" i="4"/>
  <c r="P16" i="16"/>
  <c r="DT427" i="4"/>
  <c r="F54" i="16"/>
  <c r="G49" i="34"/>
  <c r="DW118" i="4"/>
  <c r="J68" i="34"/>
  <c r="G57" i="34"/>
  <c r="G53" i="34"/>
  <c r="G31" i="34"/>
  <c r="G23" i="34"/>
  <c r="G18" i="34"/>
  <c r="G10" i="34"/>
  <c r="DL418" i="4"/>
  <c r="DP413" i="4"/>
  <c r="DP415" i="4"/>
  <c r="DP417" i="4"/>
  <c r="DP419" i="4"/>
  <c r="DP433" i="4"/>
  <c r="DW255" i="4"/>
  <c r="DW271" i="4"/>
  <c r="F27" i="16"/>
  <c r="H27" i="16" s="1"/>
  <c r="EH219" i="4"/>
  <c r="DY176" i="4"/>
  <c r="DY174" i="4"/>
  <c r="DY170" i="4"/>
  <c r="DF342" i="4"/>
  <c r="EB342" i="4" s="1"/>
  <c r="EI305" i="4"/>
  <c r="EI308" i="4"/>
  <c r="DF306" i="4"/>
  <c r="EB306" i="4" s="1"/>
  <c r="G48" i="34"/>
  <c r="J72" i="34"/>
  <c r="I60" i="34"/>
  <c r="I25" i="34"/>
  <c r="I81" i="34"/>
  <c r="I77" i="34"/>
  <c r="DY321" i="4"/>
  <c r="I86" i="34"/>
  <c r="DF338" i="4"/>
  <c r="EB338" i="4" s="1"/>
  <c r="EJ285" i="4"/>
  <c r="EJ283" i="4"/>
  <c r="EJ280" i="4"/>
  <c r="DY193" i="4"/>
  <c r="FE254" i="4"/>
  <c r="EJ251" i="4"/>
  <c r="EG430" i="4"/>
  <c r="DW249" i="4"/>
  <c r="DW247" i="4"/>
  <c r="DW237" i="4"/>
  <c r="DW229" i="4"/>
  <c r="DW217" i="4"/>
  <c r="DW171" i="4"/>
  <c r="DW165" i="4"/>
  <c r="DW161" i="4"/>
  <c r="DW157" i="4"/>
  <c r="DW147" i="4"/>
  <c r="DW129" i="4"/>
  <c r="EH300" i="4"/>
  <c r="G17" i="34"/>
  <c r="EH314" i="4"/>
  <c r="DF318" i="4"/>
  <c r="EB318" i="4" s="1"/>
  <c r="FH320" i="4"/>
  <c r="F80" i="16"/>
  <c r="FE331" i="4"/>
  <c r="DY331" i="4"/>
  <c r="FH334" i="4"/>
  <c r="G95" i="34"/>
  <c r="C95" i="34" s="1"/>
  <c r="C82" i="16"/>
  <c r="DF334" i="4"/>
  <c r="EB334" i="4" s="1"/>
  <c r="FG338" i="4"/>
  <c r="P106" i="16"/>
  <c r="I111" i="34"/>
  <c r="I120" i="34"/>
  <c r="DZ436" i="4"/>
  <c r="I116" i="34"/>
  <c r="P120" i="16"/>
  <c r="DF310" i="4"/>
  <c r="EB310" i="4" s="1"/>
  <c r="I79" i="34"/>
  <c r="H82" i="34"/>
  <c r="P81" i="16"/>
  <c r="P82" i="16"/>
  <c r="I85" i="34"/>
  <c r="DF326" i="4"/>
  <c r="EB326" i="4" s="1"/>
  <c r="DF330" i="4"/>
  <c r="EB330" i="4" s="1"/>
  <c r="FG332" i="4"/>
  <c r="DF340" i="4"/>
  <c r="EB340" i="4" s="1"/>
  <c r="I101" i="34"/>
  <c r="I108" i="34"/>
  <c r="I112" i="34"/>
  <c r="P115" i="16"/>
  <c r="G124" i="34"/>
  <c r="C124" i="34" s="1"/>
  <c r="DP424" i="4"/>
  <c r="DW162" i="4"/>
  <c r="DP422" i="4"/>
  <c r="DW138" i="4"/>
  <c r="I154" i="34"/>
  <c r="DP421" i="4"/>
  <c r="DW66" i="4"/>
  <c r="DW64" i="4"/>
  <c r="DR415" i="4"/>
  <c r="DW60" i="4"/>
  <c r="DW54" i="4"/>
  <c r="DW52" i="4"/>
  <c r="DW47" i="4"/>
  <c r="DS413" i="4"/>
  <c r="DW36" i="4"/>
  <c r="DS412" i="4"/>
  <c r="DY27" i="4"/>
  <c r="DW27" i="4"/>
  <c r="DY26" i="4"/>
  <c r="DW26" i="4"/>
  <c r="DT412" i="4"/>
  <c r="DW24" i="4"/>
  <c r="DY22" i="4"/>
  <c r="DW20" i="4"/>
  <c r="DY20" i="4"/>
  <c r="DY18" i="4"/>
  <c r="DW18" i="4"/>
  <c r="DW14" i="4"/>
  <c r="DT411" i="4"/>
  <c r="DY12" i="4"/>
  <c r="EH228" i="4"/>
  <c r="EG429" i="4"/>
  <c r="DY178" i="4"/>
  <c r="DW178" i="4"/>
  <c r="DW31" i="4"/>
  <c r="DW150" i="4"/>
  <c r="DW23" i="4"/>
  <c r="DW158" i="4"/>
  <c r="DW32" i="4"/>
  <c r="EJ276" i="4"/>
  <c r="EJ277" i="4"/>
  <c r="EG433" i="4"/>
  <c r="DR426" i="4"/>
  <c r="DW198" i="4"/>
  <c r="DS426" i="4"/>
  <c r="DW196" i="4"/>
  <c r="DY195" i="4"/>
  <c r="DT426" i="4"/>
  <c r="DW29" i="4"/>
  <c r="DM412" i="4"/>
  <c r="DW21" i="4"/>
  <c r="DW245" i="4"/>
  <c r="DM430" i="4"/>
  <c r="DW225" i="4"/>
  <c r="DW219" i="4"/>
  <c r="DW215" i="4"/>
  <c r="DM427" i="4"/>
  <c r="DW213" i="4"/>
  <c r="DW209" i="4"/>
  <c r="DN427" i="4"/>
  <c r="DW183" i="4"/>
  <c r="DW181" i="4"/>
  <c r="DN424" i="4"/>
  <c r="DN422" i="4"/>
  <c r="DW145" i="4"/>
  <c r="DW135" i="4"/>
  <c r="DW127" i="4"/>
  <c r="DN420" i="4"/>
  <c r="DN419" i="4"/>
  <c r="DW119" i="4"/>
  <c r="L69" i="34"/>
  <c r="DW143" i="4"/>
  <c r="DL421" i="4"/>
  <c r="EJ336" i="4"/>
  <c r="EG438" i="4"/>
  <c r="L103" i="34"/>
  <c r="FC341" i="4"/>
  <c r="H103" i="34"/>
  <c r="C103" i="16"/>
  <c r="L104" i="34"/>
  <c r="DW111" i="4"/>
  <c r="DR418" i="4"/>
  <c r="DY167" i="4"/>
  <c r="DY160" i="4"/>
  <c r="DW160" i="4"/>
  <c r="DY142" i="4"/>
  <c r="DY130" i="4"/>
  <c r="DY71" i="4"/>
  <c r="DW71" i="4"/>
  <c r="DY63" i="4"/>
  <c r="DW63" i="4"/>
  <c r="DW55" i="4"/>
  <c r="N192" i="16"/>
  <c r="P192" i="16" s="1"/>
  <c r="U193" i="34"/>
  <c r="EF432" i="4"/>
  <c r="EH265" i="4"/>
  <c r="EI258" i="4"/>
  <c r="EH241" i="4"/>
  <c r="DW49" i="4"/>
  <c r="DW93" i="4"/>
  <c r="DW125" i="4"/>
  <c r="DW88" i="4"/>
  <c r="DW142" i="4"/>
  <c r="EH282" i="4"/>
  <c r="DW195" i="4"/>
  <c r="DW201" i="4"/>
  <c r="EJ268" i="4"/>
  <c r="DW241" i="4"/>
  <c r="EH269" i="4"/>
  <c r="DY183" i="4"/>
  <c r="DR417" i="4"/>
  <c r="DW207" i="4"/>
  <c r="DY159" i="4"/>
  <c r="DY120" i="4"/>
  <c r="DW120" i="4"/>
  <c r="DY116" i="4"/>
  <c r="DY112" i="4"/>
  <c r="DW112" i="4"/>
  <c r="DW104" i="4"/>
  <c r="DY100" i="4"/>
  <c r="DY96" i="4"/>
  <c r="DY92" i="4"/>
  <c r="DW92" i="4"/>
  <c r="DY84" i="4"/>
  <c r="DY184" i="4"/>
  <c r="DW184" i="4"/>
  <c r="EI280" i="4"/>
  <c r="EH280" i="4"/>
  <c r="EI278" i="4"/>
  <c r="EI279" i="4"/>
  <c r="DY236" i="4"/>
  <c r="DW228" i="4"/>
  <c r="DY228" i="4"/>
  <c r="DO429" i="4"/>
  <c r="DY220" i="4"/>
  <c r="DW220" i="4"/>
  <c r="DW226" i="4"/>
  <c r="DW218" i="4"/>
  <c r="DY210" i="4"/>
  <c r="DW211" i="4"/>
  <c r="DW208" i="4"/>
  <c r="DY208" i="4"/>
  <c r="DW204" i="4"/>
  <c r="DF251" i="4"/>
  <c r="EB251" i="4" s="1"/>
  <c r="DF246" i="4"/>
  <c r="EB246" i="4" s="1"/>
  <c r="DF241" i="4"/>
  <c r="EB241" i="4" s="1"/>
  <c r="DF231" i="4"/>
  <c r="EB231" i="4" s="1"/>
  <c r="EI252" i="4"/>
  <c r="EI251" i="4"/>
  <c r="EH249" i="4"/>
  <c r="FF249" i="4" s="1"/>
  <c r="FG249" i="4" s="1"/>
  <c r="EH245" i="4"/>
  <c r="FF245" i="4" s="1"/>
  <c r="FG245" i="4" s="1"/>
  <c r="EF430" i="4"/>
  <c r="DN411" i="4"/>
  <c r="DW12" i="4"/>
  <c r="DN412" i="4"/>
  <c r="DW30" i="4"/>
  <c r="H20" i="34"/>
  <c r="DW264" i="4"/>
  <c r="C20" i="16"/>
  <c r="DW287" i="4"/>
  <c r="H43" i="34"/>
  <c r="C43" i="16"/>
  <c r="J42" i="34"/>
  <c r="L41" i="34"/>
  <c r="DW284" i="4"/>
  <c r="F41" i="16"/>
  <c r="K40" i="34"/>
  <c r="DW283" i="4"/>
  <c r="F39" i="16"/>
  <c r="K39" i="34"/>
  <c r="DY282" i="4"/>
  <c r="C39" i="16"/>
  <c r="DW281" i="4"/>
  <c r="F38" i="16"/>
  <c r="L37" i="34"/>
  <c r="F37" i="16"/>
  <c r="DY279" i="4"/>
  <c r="H36" i="34"/>
  <c r="C36" i="16"/>
  <c r="H35" i="34"/>
  <c r="DO433" i="4"/>
  <c r="F34" i="16"/>
  <c r="DY277" i="4"/>
  <c r="DW277" i="4"/>
  <c r="J33" i="34"/>
  <c r="DW276" i="4"/>
  <c r="H52" i="34"/>
  <c r="C52" i="16"/>
  <c r="EI294" i="4"/>
  <c r="EH293" i="4"/>
  <c r="L50" i="34"/>
  <c r="DS434" i="4"/>
  <c r="H50" i="34"/>
  <c r="DN434" i="4"/>
  <c r="DJ434" i="4" s="1"/>
  <c r="DR420" i="4"/>
  <c r="DR419" i="4"/>
  <c r="DW103" i="4"/>
  <c r="DW95" i="4"/>
  <c r="DW87" i="4"/>
  <c r="DY156" i="4"/>
  <c r="DY144" i="4"/>
  <c r="DY140" i="4"/>
  <c r="DW140" i="4"/>
  <c r="DY136" i="4"/>
  <c r="DO421" i="4"/>
  <c r="DW132" i="4"/>
  <c r="DY124" i="4"/>
  <c r="DT419" i="4"/>
  <c r="DY65" i="4"/>
  <c r="DY57" i="4"/>
  <c r="DW45" i="4"/>
  <c r="DR430" i="4"/>
  <c r="EI253" i="4"/>
  <c r="EH253" i="4"/>
  <c r="EH271" i="4"/>
  <c r="EJ272" i="4"/>
  <c r="EH263" i="4"/>
  <c r="EJ264" i="4"/>
  <c r="EH255" i="4"/>
  <c r="EG431" i="4"/>
  <c r="EJ256" i="4"/>
  <c r="DY181" i="4"/>
  <c r="DR424" i="4"/>
  <c r="DW39" i="4"/>
  <c r="DW61" i="4"/>
  <c r="DW73" i="4"/>
  <c r="DW105" i="4"/>
  <c r="DW115" i="4"/>
  <c r="DW137" i="4"/>
  <c r="DW78" i="4"/>
  <c r="DW130" i="4"/>
  <c r="DW169" i="4"/>
  <c r="DO423" i="4"/>
  <c r="DW173" i="4"/>
  <c r="EJ281" i="4"/>
  <c r="DY45" i="4"/>
  <c r="DR421" i="4"/>
  <c r="DN421" i="4"/>
  <c r="DS417" i="4"/>
  <c r="DW233" i="4"/>
  <c r="DS416" i="4"/>
  <c r="DT421" i="4"/>
  <c r="DY106" i="4"/>
  <c r="DY102" i="4"/>
  <c r="DY86" i="4"/>
  <c r="DY82" i="4"/>
  <c r="DW82" i="4"/>
  <c r="DY74" i="4"/>
  <c r="DW74" i="4"/>
  <c r="DY48" i="4"/>
  <c r="DW48" i="4"/>
  <c r="DW248" i="4"/>
  <c r="DT425" i="4"/>
  <c r="P10" i="16"/>
  <c r="EI287" i="4"/>
  <c r="EI286" i="4"/>
  <c r="EI282" i="4"/>
  <c r="EI283" i="4"/>
  <c r="DY251" i="4"/>
  <c r="F5" i="16"/>
  <c r="DY203" i="4"/>
  <c r="DW202" i="4"/>
  <c r="DR429" i="4"/>
  <c r="DY232" i="4"/>
  <c r="DW224" i="4"/>
  <c r="DY222" i="4"/>
  <c r="DW210" i="4"/>
  <c r="DS427" i="4"/>
  <c r="EJ294" i="4"/>
  <c r="DN423" i="4"/>
  <c r="DF254" i="4"/>
  <c r="EB254" i="4" s="1"/>
  <c r="DS430" i="4"/>
  <c r="DW146" i="4"/>
  <c r="FG246" i="4"/>
  <c r="DF249" i="4"/>
  <c r="EB249" i="4" s="1"/>
  <c r="DO428" i="4"/>
  <c r="EH276" i="4"/>
  <c r="DT428" i="4"/>
  <c r="EJ255" i="4"/>
  <c r="EJ263" i="4"/>
  <c r="EI261" i="4"/>
  <c r="EI270" i="4"/>
  <c r="DW144" i="4"/>
  <c r="DW51" i="4"/>
  <c r="DW65" i="4"/>
  <c r="DW75" i="4"/>
  <c r="DW97" i="4"/>
  <c r="DW107" i="4"/>
  <c r="DW117" i="4"/>
  <c r="DW139" i="4"/>
  <c r="DW46" i="4"/>
  <c r="DW80" i="4"/>
  <c r="DW96" i="4"/>
  <c r="DW108" i="4"/>
  <c r="DW134" i="4"/>
  <c r="DW148" i="4"/>
  <c r="EH286" i="4"/>
  <c r="DW189" i="4"/>
  <c r="DW292" i="4"/>
  <c r="DW197" i="4"/>
  <c r="DW203" i="4"/>
  <c r="EJ260" i="4"/>
  <c r="F40" i="16"/>
  <c r="C23" i="16"/>
  <c r="DW251" i="4"/>
  <c r="EF431" i="4"/>
  <c r="DY216" i="4"/>
  <c r="DY248" i="4"/>
  <c r="DY37" i="4"/>
  <c r="DY104" i="4"/>
  <c r="DL422" i="4"/>
  <c r="DY241" i="4"/>
  <c r="DM428" i="4"/>
  <c r="DW280" i="4"/>
  <c r="DW232" i="4"/>
  <c r="DW282" i="4"/>
  <c r="DR433" i="4"/>
  <c r="H40" i="34"/>
  <c r="C34" i="16"/>
  <c r="DR416" i="4"/>
  <c r="DR412" i="4"/>
  <c r="DY31" i="4"/>
  <c r="DY24" i="4"/>
  <c r="DY23" i="4"/>
  <c r="DY16" i="4"/>
  <c r="DY15" i="4"/>
  <c r="J64" i="34"/>
  <c r="DY175" i="4"/>
  <c r="DY171" i="4"/>
  <c r="DY298" i="4"/>
  <c r="EH297" i="4"/>
  <c r="EJ298" i="4"/>
  <c r="J55" i="34"/>
  <c r="F55" i="16"/>
  <c r="K54" i="34"/>
  <c r="G89" i="34"/>
  <c r="C89" i="34" s="1"/>
  <c r="EH305" i="4"/>
  <c r="G42" i="34"/>
  <c r="G38" i="34"/>
  <c r="G34" i="34"/>
  <c r="EJ311" i="4"/>
  <c r="EJ312" i="4"/>
  <c r="FF316" i="4"/>
  <c r="K76" i="34"/>
  <c r="L77" i="34"/>
  <c r="FG317" i="4"/>
  <c r="L90" i="34"/>
  <c r="L133" i="34"/>
  <c r="U194" i="34"/>
  <c r="W194" i="34" s="1"/>
  <c r="DY245" i="4"/>
  <c r="F57" i="16"/>
  <c r="L60" i="34"/>
  <c r="L68" i="34"/>
  <c r="G63" i="34"/>
  <c r="C63" i="34" s="1"/>
  <c r="G59" i="34"/>
  <c r="C59" i="34" s="1"/>
  <c r="G54" i="34"/>
  <c r="L72" i="34"/>
  <c r="K75" i="34"/>
  <c r="FD319" i="4"/>
  <c r="C79" i="16"/>
  <c r="I69" i="34"/>
  <c r="I65" i="34"/>
  <c r="I61" i="34"/>
  <c r="I52" i="34"/>
  <c r="I48" i="34"/>
  <c r="I39" i="34"/>
  <c r="I35" i="34"/>
  <c r="I26" i="34"/>
  <c r="I22" i="34"/>
  <c r="I9" i="34"/>
  <c r="L80" i="34"/>
  <c r="J82" i="34"/>
  <c r="FH322" i="4"/>
  <c r="L82" i="34"/>
  <c r="P79" i="16"/>
  <c r="F78" i="16"/>
  <c r="I74" i="34"/>
  <c r="FD321" i="4"/>
  <c r="G81" i="34"/>
  <c r="C81" i="34" s="1"/>
  <c r="G77" i="34"/>
  <c r="C77" i="34" s="1"/>
  <c r="G73" i="34"/>
  <c r="C73" i="34" s="1"/>
  <c r="FF320" i="4"/>
  <c r="K82" i="34"/>
  <c r="DY322" i="4"/>
  <c r="FE322" i="4"/>
  <c r="DW322" i="4"/>
  <c r="EH323" i="4"/>
  <c r="K94" i="34"/>
  <c r="FF358" i="4"/>
  <c r="K121" i="34"/>
  <c r="I121" i="34"/>
  <c r="L83" i="34"/>
  <c r="L85" i="34"/>
  <c r="FG324" i="4"/>
  <c r="FG346" i="4"/>
  <c r="EJ347" i="4"/>
  <c r="EJ349" i="4"/>
  <c r="EH348" i="4"/>
  <c r="L111" i="34"/>
  <c r="J112" i="34"/>
  <c r="EI384" i="4"/>
  <c r="EB307" i="4"/>
  <c r="J77" i="34"/>
  <c r="FC318" i="4"/>
  <c r="FD317" i="4"/>
  <c r="EJ319" i="4"/>
  <c r="I80" i="34"/>
  <c r="G78" i="34"/>
  <c r="C78" i="34" s="1"/>
  <c r="G82" i="34"/>
  <c r="C82" i="34" s="1"/>
  <c r="FG320" i="4"/>
  <c r="I28" i="34"/>
  <c r="I50" i="34"/>
  <c r="DN437" i="4"/>
  <c r="K89" i="34"/>
  <c r="FG329" i="4"/>
  <c r="H92" i="34"/>
  <c r="EJ333" i="4"/>
  <c r="DF335" i="4"/>
  <c r="L99" i="34"/>
  <c r="FE344" i="4"/>
  <c r="G118" i="34"/>
  <c r="C118" i="34" s="1"/>
  <c r="DY358" i="4"/>
  <c r="F122" i="16"/>
  <c r="DD440" i="4"/>
  <c r="G135" i="34"/>
  <c r="C135" i="34" s="1"/>
  <c r="C315" i="34" s="1"/>
  <c r="DW373" i="4"/>
  <c r="H146" i="34"/>
  <c r="J62" i="34"/>
  <c r="J59" i="34"/>
  <c r="EI310" i="4"/>
  <c r="C73" i="16"/>
  <c r="EJ315" i="4"/>
  <c r="DY320" i="4"/>
  <c r="DY323" i="4"/>
  <c r="FG323" i="4"/>
  <c r="FH325" i="4"/>
  <c r="EI326" i="4"/>
  <c r="DY328" i="4"/>
  <c r="C92" i="16"/>
  <c r="K92" i="34"/>
  <c r="DF339" i="4"/>
  <c r="EB339" i="4" s="1"/>
  <c r="FF352" i="4"/>
  <c r="K115" i="34"/>
  <c r="FG333" i="4"/>
  <c r="FH373" i="4"/>
  <c r="J138" i="34"/>
  <c r="L139" i="34"/>
  <c r="G139" i="34"/>
  <c r="C139" i="34" s="1"/>
  <c r="C319" i="34" s="1"/>
  <c r="EJ377" i="4"/>
  <c r="EH376" i="4"/>
  <c r="EI306" i="4"/>
  <c r="DW309" i="4"/>
  <c r="H74" i="34"/>
  <c r="P76" i="16"/>
  <c r="EB323" i="4"/>
  <c r="DT437" i="4"/>
  <c r="C89" i="16"/>
  <c r="FF336" i="4"/>
  <c r="F111" i="16"/>
  <c r="M95" i="34"/>
  <c r="M120" i="34"/>
  <c r="M126" i="34"/>
  <c r="M127" i="34"/>
  <c r="G132" i="34"/>
  <c r="C132" i="34" s="1"/>
  <c r="F134" i="16"/>
  <c r="I137" i="34"/>
  <c r="FD372" i="4"/>
  <c r="G137" i="34"/>
  <c r="C137" i="34" s="1"/>
  <c r="C317" i="34" s="1"/>
  <c r="H138" i="34"/>
  <c r="G142" i="34"/>
  <c r="C142" i="34" s="1"/>
  <c r="C322" i="34" s="1"/>
  <c r="C142" i="16"/>
  <c r="DY338" i="4"/>
  <c r="DW342" i="4"/>
  <c r="EF439" i="4"/>
  <c r="H116" i="34"/>
  <c r="EJ354" i="4"/>
  <c r="EH354" i="4"/>
  <c r="J118" i="34"/>
  <c r="FH355" i="4"/>
  <c r="EH355" i="4"/>
  <c r="H119" i="34"/>
  <c r="FE358" i="4"/>
  <c r="C122" i="16"/>
  <c r="DY361" i="4"/>
  <c r="P125" i="16"/>
  <c r="DY364" i="4"/>
  <c r="L128" i="34"/>
  <c r="L129" i="34"/>
  <c r="DF367" i="4"/>
  <c r="EB367" i="4" s="1"/>
  <c r="EI368" i="4"/>
  <c r="DY369" i="4"/>
  <c r="DF371" i="4"/>
  <c r="EB371" i="4" s="1"/>
  <c r="I138" i="34"/>
  <c r="DF374" i="4"/>
  <c r="EB374" i="4" s="1"/>
  <c r="G141" i="34"/>
  <c r="C141" i="34" s="1"/>
  <c r="C321" i="34" s="1"/>
  <c r="H142" i="34"/>
  <c r="EJ379" i="4"/>
  <c r="EH387" i="4"/>
  <c r="DF388" i="4"/>
  <c r="EB388" i="4" s="1"/>
  <c r="Q155" i="34"/>
  <c r="EH331" i="4"/>
  <c r="EI337" i="4"/>
  <c r="FH338" i="4"/>
  <c r="FD339" i="4"/>
  <c r="J104" i="34"/>
  <c r="FD343" i="4"/>
  <c r="FD350" i="4"/>
  <c r="FH351" i="4"/>
  <c r="C115" i="16"/>
  <c r="FD356" i="4"/>
  <c r="DN440" i="4"/>
  <c r="FC362" i="4"/>
  <c r="FD367" i="4"/>
  <c r="FD368" i="4"/>
  <c r="EI372" i="4"/>
  <c r="FC375" i="4"/>
  <c r="EI376" i="4"/>
  <c r="H141" i="34"/>
  <c r="EJ380" i="4"/>
  <c r="K152" i="34"/>
  <c r="DY387" i="4"/>
  <c r="DO438" i="4"/>
  <c r="P99" i="16"/>
  <c r="FH342" i="4"/>
  <c r="EI345" i="4"/>
  <c r="EH345" i="4"/>
  <c r="P107" i="16"/>
  <c r="C108" i="16"/>
  <c r="W10" i="34"/>
  <c r="C120" i="16"/>
  <c r="EB360" i="4"/>
  <c r="EI363" i="4"/>
  <c r="H126" i="34"/>
  <c r="DY363" i="4"/>
  <c r="EH367" i="4"/>
  <c r="EJ369" i="4"/>
  <c r="K134" i="34"/>
  <c r="FD371" i="4"/>
  <c r="DF372" i="4"/>
  <c r="EB372" i="4" s="1"/>
  <c r="EH373" i="4"/>
  <c r="K143" i="34"/>
  <c r="G144" i="34"/>
  <c r="C144" i="34" s="1"/>
  <c r="C324" i="34" s="1"/>
  <c r="EI383" i="4"/>
  <c r="EB385" i="4"/>
  <c r="P151" i="16"/>
  <c r="DF387" i="4"/>
  <c r="EB387" i="4" s="1"/>
  <c r="M154" i="34"/>
  <c r="DR411" i="4"/>
  <c r="DS415" i="4"/>
  <c r="DY132" i="4"/>
  <c r="DS414" i="4"/>
  <c r="DY166" i="4"/>
  <c r="DO416" i="4"/>
  <c r="DS418" i="4"/>
  <c r="DO424" i="4"/>
  <c r="DY149" i="4"/>
  <c r="DY145" i="4"/>
  <c r="DT418" i="4"/>
  <c r="DO413" i="4"/>
  <c r="DY179" i="4"/>
  <c r="DT424" i="4"/>
  <c r="DY157" i="4"/>
  <c r="DO419" i="4"/>
  <c r="EI296" i="4"/>
  <c r="DD304" i="4"/>
  <c r="DF304" i="4" s="1"/>
  <c r="DS304" i="4"/>
  <c r="K60" i="34"/>
  <c r="EJ304" i="4"/>
  <c r="EJ303" i="4"/>
  <c r="EI317" i="4"/>
  <c r="EH316" i="4"/>
  <c r="DY240" i="4"/>
  <c r="L61" i="34"/>
  <c r="L59" i="34"/>
  <c r="DY309" i="4"/>
  <c r="G28" i="34"/>
  <c r="G24" i="34"/>
  <c r="G7" i="34"/>
  <c r="EI320" i="4"/>
  <c r="EI319" i="4"/>
  <c r="I10" i="34"/>
  <c r="DO425" i="4"/>
  <c r="DW151" i="4"/>
  <c r="O193" i="16"/>
  <c r="DW298" i="4"/>
  <c r="K56" i="34"/>
  <c r="EI299" i="4"/>
  <c r="L54" i="34"/>
  <c r="EH304" i="4"/>
  <c r="BP435" i="4"/>
  <c r="J66" i="34"/>
  <c r="G69" i="34"/>
  <c r="C69" i="34" s="1"/>
  <c r="G61" i="34"/>
  <c r="C61" i="34" s="1"/>
  <c r="G36" i="34"/>
  <c r="EJ297" i="4"/>
  <c r="H73" i="34"/>
  <c r="EJ317" i="4"/>
  <c r="FH317" i="4"/>
  <c r="FG318" i="4"/>
  <c r="EI303" i="4"/>
  <c r="EJ306" i="4"/>
  <c r="F64" i="16"/>
  <c r="P66" i="16"/>
  <c r="P68" i="16"/>
  <c r="H72" i="34"/>
  <c r="EH318" i="4"/>
  <c r="F67" i="16"/>
  <c r="P77" i="16"/>
  <c r="P80" i="16"/>
  <c r="EJ327" i="4"/>
  <c r="FD327" i="4"/>
  <c r="FC328" i="4"/>
  <c r="H89" i="34"/>
  <c r="F103" i="16"/>
  <c r="DW341" i="4"/>
  <c r="H106" i="34"/>
  <c r="DY346" i="4"/>
  <c r="K108" i="34"/>
  <c r="EJ348" i="4"/>
  <c r="EG439" i="4"/>
  <c r="DL439" i="4"/>
  <c r="DL445" i="4" s="1"/>
  <c r="DL448" i="4" s="1"/>
  <c r="EB349" i="4"/>
  <c r="FH349" i="4"/>
  <c r="J120" i="34"/>
  <c r="EI327" i="4"/>
  <c r="EH335" i="4"/>
  <c r="EB352" i="4"/>
  <c r="K116" i="34"/>
  <c r="J117" i="34"/>
  <c r="DF355" i="4"/>
  <c r="EB355" i="4" s="1"/>
  <c r="DF357" i="4"/>
  <c r="EB357" i="4" s="1"/>
  <c r="DF358" i="4"/>
  <c r="EB358" i="4" s="1"/>
  <c r="FE323" i="4"/>
  <c r="H85" i="34"/>
  <c r="L86" i="34"/>
  <c r="H87" i="34"/>
  <c r="FH327" i="4"/>
  <c r="EH328" i="4"/>
  <c r="K91" i="34"/>
  <c r="EH332" i="4"/>
  <c r="FG334" i="4"/>
  <c r="K96" i="34"/>
  <c r="J98" i="34"/>
  <c r="DN438" i="4"/>
  <c r="FG337" i="4"/>
  <c r="DZ438" i="4"/>
  <c r="J101" i="34"/>
  <c r="EJ339" i="4"/>
  <c r="EJ340" i="4"/>
  <c r="K103" i="34"/>
  <c r="DY341" i="4"/>
  <c r="EH341" i="4"/>
  <c r="G104" i="34"/>
  <c r="C104" i="34" s="1"/>
  <c r="FD342" i="4"/>
  <c r="C105" i="16"/>
  <c r="J105" i="34"/>
  <c r="DE436" i="4"/>
  <c r="EC436" i="4" s="1"/>
  <c r="DF343" i="4"/>
  <c r="EB343" i="4" s="1"/>
  <c r="J106" i="34"/>
  <c r="EH346" i="4"/>
  <c r="G109" i="34"/>
  <c r="C109" i="34" s="1"/>
  <c r="EI347" i="4"/>
  <c r="FH348" i="4"/>
  <c r="EI351" i="4"/>
  <c r="EJ352" i="4"/>
  <c r="FD352" i="4"/>
  <c r="EJ353" i="4"/>
  <c r="FG351" i="4"/>
  <c r="C116" i="16"/>
  <c r="L117" i="34"/>
  <c r="C117" i="16"/>
  <c r="FD355" i="4"/>
  <c r="K119" i="34"/>
  <c r="EJ358" i="4"/>
  <c r="L121" i="34"/>
  <c r="EB383" i="4"/>
  <c r="L81" i="34"/>
  <c r="EJ322" i="4"/>
  <c r="EH324" i="4"/>
  <c r="FD326" i="4"/>
  <c r="FD328" i="4"/>
  <c r="F89" i="16"/>
  <c r="DW328" i="4"/>
  <c r="FC329" i="4"/>
  <c r="EI330" i="4"/>
  <c r="FG330" i="4"/>
  <c r="EH330" i="4"/>
  <c r="FD332" i="4"/>
  <c r="EI333" i="4"/>
  <c r="FD333" i="4"/>
  <c r="FE335" i="4"/>
  <c r="DY335" i="4"/>
  <c r="EF438" i="4"/>
  <c r="H100" i="34"/>
  <c r="FH339" i="4"/>
  <c r="G101" i="34"/>
  <c r="C101" i="34" s="1"/>
  <c r="FD341" i="4"/>
  <c r="G105" i="34"/>
  <c r="C105" i="34" s="1"/>
  <c r="FH343" i="4"/>
  <c r="FH344" i="4"/>
  <c r="J107" i="34"/>
  <c r="EJ345" i="4"/>
  <c r="FD347" i="4"/>
  <c r="FH347" i="4"/>
  <c r="C109" i="16"/>
  <c r="C111" i="16"/>
  <c r="K111" i="34"/>
  <c r="FG348" i="4"/>
  <c r="DR439" i="4"/>
  <c r="EH349" i="4"/>
  <c r="FD349" i="4"/>
  <c r="DY350" i="4"/>
  <c r="EB350" i="4"/>
  <c r="FH350" i="4"/>
  <c r="DF351" i="4"/>
  <c r="M85" i="34"/>
  <c r="C118" i="16"/>
  <c r="FD359" i="4"/>
  <c r="FH360" i="4"/>
  <c r="DF362" i="4"/>
  <c r="EB362" i="4" s="1"/>
  <c r="FH363" i="4"/>
  <c r="EJ364" i="4"/>
  <c r="DF363" i="4"/>
  <c r="EB363" i="4" s="1"/>
  <c r="EI365" i="4"/>
  <c r="FC365" i="4"/>
  <c r="EH366" i="4"/>
  <c r="EI366" i="4"/>
  <c r="FG366" i="4"/>
  <c r="EH368" i="4"/>
  <c r="DY368" i="4"/>
  <c r="I133" i="34"/>
  <c r="EJ370" i="4"/>
  <c r="EB370" i="4"/>
  <c r="FG372" i="4"/>
  <c r="FG373" i="4"/>
  <c r="DW374" i="4"/>
  <c r="EH374" i="4"/>
  <c r="EH378" i="4"/>
  <c r="DF379" i="4"/>
  <c r="EB379" i="4" s="1"/>
  <c r="DF380" i="4"/>
  <c r="EB380" i="4" s="1"/>
  <c r="C146" i="16"/>
  <c r="M146" i="34"/>
  <c r="EJ383" i="4"/>
  <c r="EJ384" i="4"/>
  <c r="K151" i="34"/>
  <c r="L151" i="34"/>
  <c r="EJ357" i="4"/>
  <c r="EH357" i="4"/>
  <c r="I122" i="34"/>
  <c r="M122" i="34"/>
  <c r="H122" i="34"/>
  <c r="J124" i="34"/>
  <c r="K125" i="34"/>
  <c r="EI362" i="4"/>
  <c r="DF361" i="4"/>
  <c r="FH362" i="4"/>
  <c r="P126" i="16"/>
  <c r="K127" i="34"/>
  <c r="J127" i="34"/>
  <c r="K128" i="34"/>
  <c r="I128" i="34"/>
  <c r="FD364" i="4"/>
  <c r="FH366" i="4"/>
  <c r="FC366" i="4"/>
  <c r="H131" i="34"/>
  <c r="J132" i="34"/>
  <c r="FH368" i="4"/>
  <c r="FG369" i="4"/>
  <c r="DF369" i="4"/>
  <c r="EB369" i="4" s="1"/>
  <c r="FG370" i="4"/>
  <c r="DY370" i="4"/>
  <c r="EI371" i="4"/>
  <c r="EI373" i="4"/>
  <c r="FC373" i="4"/>
  <c r="EI374" i="4"/>
  <c r="C139" i="16"/>
  <c r="FE374" i="4"/>
  <c r="H140" i="34"/>
  <c r="DF375" i="4"/>
  <c r="EB375" i="4" s="1"/>
  <c r="O144" i="34"/>
  <c r="Q144" i="34" s="1"/>
  <c r="DY379" i="4"/>
  <c r="EH380" i="4"/>
  <c r="DY381" i="4"/>
  <c r="FC381" i="4"/>
  <c r="K148" i="34"/>
  <c r="EH384" i="4"/>
  <c r="J151" i="34"/>
  <c r="C154" i="16"/>
  <c r="E155" i="16" s="1"/>
  <c r="L154" i="34"/>
  <c r="H121" i="34"/>
  <c r="EJ359" i="4"/>
  <c r="L122" i="34"/>
  <c r="FD360" i="4"/>
  <c r="DQ440" i="4"/>
  <c r="DZ440" i="4"/>
  <c r="C126" i="16"/>
  <c r="K130" i="34"/>
  <c r="EJ367" i="4"/>
  <c r="DF368" i="4"/>
  <c r="EB368" i="4" s="1"/>
  <c r="F135" i="16"/>
  <c r="FC372" i="4"/>
  <c r="K137" i="34"/>
  <c r="M138" i="34"/>
  <c r="FD373" i="4"/>
  <c r="J139" i="34"/>
  <c r="DY374" i="4"/>
  <c r="FH374" i="4"/>
  <c r="C143" i="16"/>
  <c r="C144" i="16"/>
  <c r="C145" i="16"/>
  <c r="DF382" i="4"/>
  <c r="EB382" i="4" s="1"/>
  <c r="O150" i="34"/>
  <c r="EJ385" i="4"/>
  <c r="H151" i="34"/>
  <c r="P152" i="34"/>
  <c r="O153" i="34"/>
  <c r="DW361" i="4"/>
  <c r="M130" i="34"/>
  <c r="K142" i="34"/>
  <c r="DF377" i="4"/>
  <c r="EB377" i="4" s="1"/>
  <c r="F151" i="16"/>
  <c r="C152" i="16"/>
  <c r="M152" i="34"/>
  <c r="EJ387" i="4"/>
  <c r="H153" i="34"/>
  <c r="L153" i="34"/>
  <c r="P154" i="34"/>
  <c r="G154" i="34"/>
  <c r="C154" i="34" s="1"/>
  <c r="C334" i="34" s="1"/>
  <c r="H154" i="34"/>
  <c r="Q156" i="16"/>
  <c r="R156" i="16"/>
  <c r="D156" i="16"/>
  <c r="E156" i="16"/>
  <c r="W48" i="34"/>
  <c r="W21" i="34"/>
  <c r="W8" i="34"/>
  <c r="Z270" i="34"/>
  <c r="K156" i="16"/>
  <c r="G156" i="16"/>
  <c r="H156" i="16"/>
  <c r="Z220" i="34"/>
  <c r="Z215" i="34"/>
  <c r="Z267" i="34"/>
  <c r="Z247" i="34"/>
  <c r="R262" i="34"/>
  <c r="Y262" i="34" s="1"/>
  <c r="W153" i="34"/>
  <c r="W111" i="34"/>
  <c r="Y268" i="34"/>
  <c r="Z259" i="34"/>
  <c r="P35" i="16"/>
  <c r="N193" i="16"/>
  <c r="P53" i="16"/>
  <c r="O194" i="16"/>
  <c r="N155" i="34"/>
  <c r="C155" i="34"/>
  <c r="C335" i="34" s="1"/>
  <c r="P60" i="16"/>
  <c r="P143" i="16"/>
  <c r="W25" i="34"/>
  <c r="P116" i="16"/>
  <c r="P146" i="16"/>
  <c r="P54" i="16"/>
  <c r="W96" i="34"/>
  <c r="W88" i="34"/>
  <c r="P67" i="16"/>
  <c r="N196" i="16"/>
  <c r="P91" i="16"/>
  <c r="W67" i="34"/>
  <c r="P114" i="16"/>
  <c r="P70" i="16"/>
  <c r="W41" i="34"/>
  <c r="EB27" i="4"/>
  <c r="EB16" i="4"/>
  <c r="DR414" i="4"/>
  <c r="DW53" i="4"/>
  <c r="DW19" i="4"/>
  <c r="DW17" i="4"/>
  <c r="DW15" i="4"/>
  <c r="DW13" i="4"/>
  <c r="DO422" i="4"/>
  <c r="DY155" i="4"/>
  <c r="DO418" i="4"/>
  <c r="DY98" i="4"/>
  <c r="DW98" i="4"/>
  <c r="DY52" i="4"/>
  <c r="DT413" i="4"/>
  <c r="DW44" i="4"/>
  <c r="DO430" i="4"/>
  <c r="DW246" i="4"/>
  <c r="DW194" i="4"/>
  <c r="DY194" i="4"/>
  <c r="DO426" i="4"/>
  <c r="DW192" i="4"/>
  <c r="DW186" i="4"/>
  <c r="DS425" i="4"/>
  <c r="DW191" i="4"/>
  <c r="DR425" i="4"/>
  <c r="DR422" i="4"/>
  <c r="DW153" i="4"/>
  <c r="DM429" i="4"/>
  <c r="DW239" i="4"/>
  <c r="DW235" i="4"/>
  <c r="DW231" i="4"/>
  <c r="DW227" i="4"/>
  <c r="DN428" i="4"/>
  <c r="DW223" i="4"/>
  <c r="C8" i="16"/>
  <c r="DW253" i="4"/>
  <c r="H8" i="34"/>
  <c r="DM431" i="4"/>
  <c r="DM434" i="4"/>
  <c r="C49" i="16"/>
  <c r="H49" i="34"/>
  <c r="DW291" i="4"/>
  <c r="H27" i="34"/>
  <c r="C27" i="16"/>
  <c r="H21" i="34"/>
  <c r="C21" i="16"/>
  <c r="DN432" i="4"/>
  <c r="H194" i="34" s="1"/>
  <c r="F36" i="16"/>
  <c r="DW279" i="4"/>
  <c r="L36" i="34"/>
  <c r="DS433" i="4"/>
  <c r="DW278" i="4"/>
  <c r="DT433" i="4"/>
  <c r="K35" i="34"/>
  <c r="DY278" i="4"/>
  <c r="F35" i="16"/>
  <c r="DO414" i="4"/>
  <c r="DW265" i="4"/>
  <c r="EB164" i="4"/>
  <c r="G52" i="34"/>
  <c r="DS429" i="4"/>
  <c r="EJ300" i="4"/>
  <c r="EJ299" i="4"/>
  <c r="EH299" i="4"/>
  <c r="C57" i="16"/>
  <c r="DW299" i="4"/>
  <c r="DO417" i="4"/>
  <c r="DY58" i="4"/>
  <c r="EJ296" i="4"/>
  <c r="F66" i="16"/>
  <c r="DL435" i="4"/>
  <c r="L73" i="34"/>
  <c r="H112" i="34"/>
  <c r="DM439" i="4"/>
  <c r="C54" i="16"/>
  <c r="G67" i="34"/>
  <c r="C67" i="34" s="1"/>
  <c r="C67" i="16"/>
  <c r="FC339" i="4"/>
  <c r="C101" i="16"/>
  <c r="DW339" i="4"/>
  <c r="H101" i="34"/>
  <c r="FG345" i="4"/>
  <c r="DW345" i="4"/>
  <c r="L107" i="34"/>
  <c r="C62" i="16"/>
  <c r="EG435" i="4"/>
  <c r="EJ302" i="4"/>
  <c r="G8" i="34"/>
  <c r="EJ337" i="4"/>
  <c r="EH337" i="4"/>
  <c r="EJ338" i="4"/>
  <c r="C63" i="16"/>
  <c r="G15" i="34"/>
  <c r="L76" i="34"/>
  <c r="FG316" i="4"/>
  <c r="F56" i="16"/>
  <c r="J56" i="34"/>
  <c r="DY297" i="4"/>
  <c r="DW296" i="4"/>
  <c r="C64" i="16"/>
  <c r="H64" i="34"/>
  <c r="EH311" i="4"/>
  <c r="EI311" i="4"/>
  <c r="DF317" i="4"/>
  <c r="EB317" i="4" s="1"/>
  <c r="DD436" i="4"/>
  <c r="J87" i="34"/>
  <c r="FH326" i="4"/>
  <c r="DW297" i="4"/>
  <c r="EH296" i="4"/>
  <c r="G44" i="34"/>
  <c r="G37" i="34"/>
  <c r="F72" i="16"/>
  <c r="EI315" i="4"/>
  <c r="EI316" i="4"/>
  <c r="FG319" i="4"/>
  <c r="L79" i="34"/>
  <c r="FH319" i="4"/>
  <c r="F79" i="16"/>
  <c r="I62" i="34"/>
  <c r="DP435" i="4"/>
  <c r="I44" i="34"/>
  <c r="I27" i="34"/>
  <c r="I18" i="34"/>
  <c r="FH321" i="4"/>
  <c r="J81" i="34"/>
  <c r="F81" i="16"/>
  <c r="C55" i="16"/>
  <c r="DY296" i="4"/>
  <c r="EH301" i="4"/>
  <c r="P61" i="16"/>
  <c r="EI307" i="4"/>
  <c r="EJ305" i="4"/>
  <c r="DY316" i="4"/>
  <c r="EJ318" i="4"/>
  <c r="K77" i="34"/>
  <c r="DW317" i="4"/>
  <c r="K78" i="34"/>
  <c r="FH328" i="4"/>
  <c r="FD335" i="4"/>
  <c r="G96" i="34"/>
  <c r="C96" i="34" s="1"/>
  <c r="C96" i="16"/>
  <c r="FH341" i="4"/>
  <c r="J103" i="34"/>
  <c r="L56" i="34"/>
  <c r="EJ301" i="4"/>
  <c r="DY305" i="4"/>
  <c r="FC333" i="4"/>
  <c r="H94" i="34"/>
  <c r="DM438" i="4"/>
  <c r="H98" i="34"/>
  <c r="FC336" i="4"/>
  <c r="F104" i="16"/>
  <c r="DY342" i="4"/>
  <c r="FE342" i="4"/>
  <c r="K104" i="34"/>
  <c r="EJ343" i="4"/>
  <c r="EJ344" i="4"/>
  <c r="EH343" i="4"/>
  <c r="DY343" i="4"/>
  <c r="FE343" i="4"/>
  <c r="K105" i="34"/>
  <c r="FC351" i="4"/>
  <c r="H114" i="34"/>
  <c r="C114" i="16"/>
  <c r="EH302" i="4"/>
  <c r="DW302" i="4"/>
  <c r="H68" i="34"/>
  <c r="EH317" i="4"/>
  <c r="J73" i="34"/>
  <c r="EH312" i="4"/>
  <c r="FD316" i="4"/>
  <c r="L93" i="34"/>
  <c r="EH334" i="4"/>
  <c r="EJ335" i="4"/>
  <c r="EJ334" i="4"/>
  <c r="EB351" i="4"/>
  <c r="K67" i="34"/>
  <c r="DY315" i="4"/>
  <c r="DL436" i="4"/>
  <c r="J92" i="34"/>
  <c r="FH331" i="4"/>
  <c r="FF338" i="4"/>
  <c r="K100" i="34"/>
  <c r="DT438" i="4"/>
  <c r="F100" i="16"/>
  <c r="J102" i="34"/>
  <c r="EJ342" i="4"/>
  <c r="EH342" i="4"/>
  <c r="DZ439" i="4"/>
  <c r="FF351" i="4"/>
  <c r="DT439" i="4"/>
  <c r="G131" i="34"/>
  <c r="C131" i="34" s="1"/>
  <c r="DW367" i="4"/>
  <c r="FC367" i="4"/>
  <c r="C131" i="16"/>
  <c r="E132" i="16" s="1"/>
  <c r="I132" i="34"/>
  <c r="F132" i="16"/>
  <c r="FG368" i="4"/>
  <c r="K59" i="34"/>
  <c r="EH303" i="4"/>
  <c r="P63" i="16"/>
  <c r="H65" i="34"/>
  <c r="DW306" i="4"/>
  <c r="C76" i="16"/>
  <c r="F77" i="16"/>
  <c r="DP436" i="4"/>
  <c r="DW319" i="4"/>
  <c r="I42" i="34"/>
  <c r="EJ328" i="4"/>
  <c r="EJ329" i="4"/>
  <c r="FC330" i="4"/>
  <c r="H91" i="34"/>
  <c r="FG344" i="4"/>
  <c r="L106" i="34"/>
  <c r="F106" i="16"/>
  <c r="DW351" i="4"/>
  <c r="EI297" i="4"/>
  <c r="C65" i="16"/>
  <c r="F70" i="16"/>
  <c r="FE317" i="4"/>
  <c r="EI322" i="4"/>
  <c r="DY319" i="4"/>
  <c r="K79" i="34"/>
  <c r="H78" i="34"/>
  <c r="I47" i="34"/>
  <c r="I38" i="34"/>
  <c r="I12" i="34"/>
  <c r="FC323" i="4"/>
  <c r="H83" i="34"/>
  <c r="EJ325" i="4"/>
  <c r="EG437" i="4"/>
  <c r="EJ324" i="4"/>
  <c r="DS438" i="4"/>
  <c r="L98" i="34"/>
  <c r="H109" i="34"/>
  <c r="FC347" i="4"/>
  <c r="M121" i="34"/>
  <c r="F121" i="16"/>
  <c r="FG358" i="4"/>
  <c r="F99" i="16"/>
  <c r="DY337" i="4"/>
  <c r="FE337" i="4"/>
  <c r="K99" i="34"/>
  <c r="FC350" i="4"/>
  <c r="H113" i="34"/>
  <c r="C113" i="16"/>
  <c r="FE357" i="4"/>
  <c r="K120" i="34"/>
  <c r="DY357" i="4"/>
  <c r="DS437" i="4"/>
  <c r="EF437" i="4"/>
  <c r="EH327" i="4"/>
  <c r="EI329" i="4"/>
  <c r="C90" i="16"/>
  <c r="EJ331" i="4"/>
  <c r="EH333" i="4"/>
  <c r="F96" i="16"/>
  <c r="FG335" i="4"/>
  <c r="EH336" i="4"/>
  <c r="DR438" i="4"/>
  <c r="H99" i="34"/>
  <c r="DW338" i="4"/>
  <c r="L101" i="34"/>
  <c r="DY339" i="4"/>
  <c r="G102" i="34"/>
  <c r="C102" i="34" s="1"/>
  <c r="EJ341" i="4"/>
  <c r="FG341" i="4"/>
  <c r="L105" i="34"/>
  <c r="F108" i="16"/>
  <c r="J108" i="34"/>
  <c r="I100" i="34"/>
  <c r="I98" i="34"/>
  <c r="J109" i="34"/>
  <c r="J111" i="34"/>
  <c r="FF348" i="4"/>
  <c r="J113" i="34"/>
  <c r="L114" i="34"/>
  <c r="J114" i="34"/>
  <c r="DT440" i="4"/>
  <c r="L127" i="34"/>
  <c r="F127" i="16"/>
  <c r="FD363" i="4"/>
  <c r="DL440" i="4"/>
  <c r="DL446" i="4" s="1"/>
  <c r="DL449" i="4" s="1"/>
  <c r="DW375" i="4"/>
  <c r="FD375" i="4"/>
  <c r="G140" i="34"/>
  <c r="C140" i="34" s="1"/>
  <c r="C320" i="34" s="1"/>
  <c r="C140" i="16"/>
  <c r="L142" i="34"/>
  <c r="DW326" i="4"/>
  <c r="G107" i="34"/>
  <c r="C107" i="34" s="1"/>
  <c r="K109" i="34"/>
  <c r="EI350" i="4"/>
  <c r="DY355" i="4"/>
  <c r="FE355" i="4"/>
  <c r="K118" i="34"/>
  <c r="FE362" i="4"/>
  <c r="F126" i="16"/>
  <c r="DY362" i="4"/>
  <c r="DO440" i="4"/>
  <c r="K126" i="34"/>
  <c r="DW365" i="4"/>
  <c r="G130" i="34"/>
  <c r="C130" i="34" s="1"/>
  <c r="DW366" i="4"/>
  <c r="FD366" i="4"/>
  <c r="FG367" i="4"/>
  <c r="I131" i="34"/>
  <c r="FD369" i="4"/>
  <c r="C133" i="16"/>
  <c r="DW369" i="4"/>
  <c r="FC324" i="4"/>
  <c r="FC325" i="4"/>
  <c r="EI328" i="4"/>
  <c r="I89" i="34"/>
  <c r="FF334" i="4"/>
  <c r="F101" i="16"/>
  <c r="K102" i="34"/>
  <c r="C102" i="16"/>
  <c r="DE437" i="4"/>
  <c r="DE438" i="4"/>
  <c r="C107" i="16"/>
  <c r="H108" i="34"/>
  <c r="DY347" i="4"/>
  <c r="DF347" i="4"/>
  <c r="EB347" i="4" s="1"/>
  <c r="EI354" i="4"/>
  <c r="FC352" i="4"/>
  <c r="DW352" i="4"/>
  <c r="EH359" i="4"/>
  <c r="DE440" i="4"/>
  <c r="H128" i="34"/>
  <c r="C128" i="16"/>
  <c r="F131" i="16"/>
  <c r="I139" i="34"/>
  <c r="F139" i="16"/>
  <c r="FG374" i="4"/>
  <c r="FH375" i="4"/>
  <c r="DY326" i="4"/>
  <c r="H88" i="34"/>
  <c r="FG328" i="4"/>
  <c r="H90" i="34"/>
  <c r="C93" i="16"/>
  <c r="K98" i="34"/>
  <c r="DY336" i="4"/>
  <c r="EH339" i="4"/>
  <c r="DW346" i="4"/>
  <c r="EI348" i="4"/>
  <c r="EH347" i="4"/>
  <c r="FC348" i="4"/>
  <c r="DS439" i="4"/>
  <c r="EH350" i="4"/>
  <c r="J115" i="34"/>
  <c r="FC364" i="4"/>
  <c r="EH369" i="4"/>
  <c r="EI369" i="4"/>
  <c r="FH371" i="4"/>
  <c r="DW371" i="4"/>
  <c r="DR440" i="4"/>
  <c r="J140" i="34"/>
  <c r="K141" i="34"/>
  <c r="DM437" i="4"/>
  <c r="DW325" i="4"/>
  <c r="J86" i="34"/>
  <c r="FE328" i="4"/>
  <c r="L89" i="34"/>
  <c r="L91" i="34"/>
  <c r="F92" i="16"/>
  <c r="DW331" i="4"/>
  <c r="L94" i="34"/>
  <c r="FE336" i="4"/>
  <c r="FD338" i="4"/>
  <c r="DY340" i="4"/>
  <c r="FF340" i="4"/>
  <c r="H104" i="34"/>
  <c r="K106" i="34"/>
  <c r="F107" i="16"/>
  <c r="FE345" i="4"/>
  <c r="L108" i="34"/>
  <c r="FC346" i="4"/>
  <c r="FE347" i="4"/>
  <c r="DW348" i="4"/>
  <c r="K112" i="34"/>
  <c r="DO439" i="4"/>
  <c r="K113" i="34"/>
  <c r="FE350" i="4"/>
  <c r="K114" i="34"/>
  <c r="I124" i="34"/>
  <c r="F124" i="16"/>
  <c r="FG360" i="4"/>
  <c r="DP440" i="4"/>
  <c r="EB361" i="4"/>
  <c r="H134" i="34"/>
  <c r="DW370" i="4"/>
  <c r="J135" i="34"/>
  <c r="H144" i="34"/>
  <c r="FH380" i="4"/>
  <c r="J145" i="34"/>
  <c r="O148" i="34"/>
  <c r="H148" i="34"/>
  <c r="M88" i="34"/>
  <c r="EJ360" i="4"/>
  <c r="EJ361" i="4"/>
  <c r="EG440" i="4"/>
  <c r="FG361" i="4"/>
  <c r="I125" i="34"/>
  <c r="K129" i="34"/>
  <c r="DY365" i="4"/>
  <c r="FE365" i="4"/>
  <c r="EJ376" i="4"/>
  <c r="EH375" i="4"/>
  <c r="EJ375" i="4"/>
  <c r="FG376" i="4"/>
  <c r="I141" i="34"/>
  <c r="FE382" i="4"/>
  <c r="DY382" i="4"/>
  <c r="K147" i="34"/>
  <c r="F147" i="16"/>
  <c r="H86" i="34"/>
  <c r="K88" i="34"/>
  <c r="J96" i="34"/>
  <c r="FH336" i="4"/>
  <c r="J100" i="34"/>
  <c r="FE338" i="4"/>
  <c r="K101" i="34"/>
  <c r="FG342" i="4"/>
  <c r="FC342" i="4"/>
  <c r="DF344" i="4"/>
  <c r="EB344" i="4" s="1"/>
  <c r="EI346" i="4"/>
  <c r="FE346" i="4"/>
  <c r="W62" i="34"/>
  <c r="L109" i="34"/>
  <c r="H111" i="34"/>
  <c r="DD439" i="4"/>
  <c r="FE349" i="4"/>
  <c r="F114" i="16"/>
  <c r="DP439" i="4"/>
  <c r="M109" i="34"/>
  <c r="M117" i="34"/>
  <c r="FG354" i="4"/>
  <c r="F129" i="16"/>
  <c r="K131" i="34"/>
  <c r="EH371" i="4"/>
  <c r="EJ371" i="4"/>
  <c r="FF372" i="4"/>
  <c r="DY372" i="4"/>
  <c r="DY376" i="4"/>
  <c r="L144" i="34"/>
  <c r="DW354" i="4"/>
  <c r="FG356" i="4"/>
  <c r="H120" i="34"/>
  <c r="DW359" i="4"/>
  <c r="M124" i="34"/>
  <c r="FF361" i="4"/>
  <c r="FC363" i="4"/>
  <c r="G128" i="34"/>
  <c r="C128" i="34" s="1"/>
  <c r="J128" i="34"/>
  <c r="FD365" i="4"/>
  <c r="C129" i="16"/>
  <c r="C130" i="16"/>
  <c r="DY366" i="4"/>
  <c r="J131" i="34"/>
  <c r="L131" i="34"/>
  <c r="DW368" i="4"/>
  <c r="FC369" i="4"/>
  <c r="C134" i="16"/>
  <c r="FC370" i="4"/>
  <c r="I135" i="34"/>
  <c r="M135" i="34"/>
  <c r="F137" i="16"/>
  <c r="L137" i="34"/>
  <c r="K138" i="34"/>
  <c r="F140" i="16"/>
  <c r="M140" i="34"/>
  <c r="C141" i="16"/>
  <c r="L141" i="34"/>
  <c r="F142" i="16"/>
  <c r="DW378" i="4"/>
  <c r="FG377" i="4"/>
  <c r="FE378" i="4"/>
  <c r="DF378" i="4"/>
  <c r="EB378" i="4" s="1"/>
  <c r="M145" i="34"/>
  <c r="FC380" i="4"/>
  <c r="FH381" i="4"/>
  <c r="C150" i="16"/>
  <c r="G150" i="34"/>
  <c r="C150" i="34" s="1"/>
  <c r="C330" i="34" s="1"/>
  <c r="DW384" i="4"/>
  <c r="FI384" i="4" s="1"/>
  <c r="FE353" i="4"/>
  <c r="L116" i="34"/>
  <c r="DY354" i="4"/>
  <c r="K117" i="34"/>
  <c r="L118" i="34"/>
  <c r="FD357" i="4"/>
  <c r="L120" i="34"/>
  <c r="FC357" i="4"/>
  <c r="C124" i="16"/>
  <c r="H125" i="34"/>
  <c r="F128" i="16"/>
  <c r="FG365" i="4"/>
  <c r="EJ368" i="4"/>
  <c r="K133" i="34"/>
  <c r="I134" i="34"/>
  <c r="G134" i="34"/>
  <c r="C134" i="34" s="1"/>
  <c r="C314" i="34" s="1"/>
  <c r="C135" i="16"/>
  <c r="FE376" i="4"/>
  <c r="DW377" i="4"/>
  <c r="FH377" i="4"/>
  <c r="DY378" i="4"/>
  <c r="FH379" i="4"/>
  <c r="K146" i="34"/>
  <c r="H147" i="34"/>
  <c r="J150" i="34"/>
  <c r="O152" i="34"/>
  <c r="EH352" i="4"/>
  <c r="H117" i="34"/>
  <c r="L119" i="34"/>
  <c r="FC356" i="4"/>
  <c r="FH357" i="4"/>
  <c r="FG359" i="4"/>
  <c r="DW360" i="4"/>
  <c r="DY360" i="4"/>
  <c r="FC361" i="4"/>
  <c r="L125" i="34"/>
  <c r="FD362" i="4"/>
  <c r="EJ363" i="4"/>
  <c r="I127" i="34"/>
  <c r="DW364" i="4"/>
  <c r="EH364" i="4"/>
  <c r="M128" i="34"/>
  <c r="I129" i="34"/>
  <c r="EI367" i="4"/>
  <c r="FH367" i="4"/>
  <c r="H132" i="34"/>
  <c r="FE369" i="4"/>
  <c r="G133" i="34"/>
  <c r="C133" i="34" s="1"/>
  <c r="FC371" i="4"/>
  <c r="EH372" i="4"/>
  <c r="FH372" i="4"/>
  <c r="H139" i="34"/>
  <c r="DY377" i="4"/>
  <c r="M142" i="34"/>
  <c r="FD377" i="4"/>
  <c r="F143" i="16"/>
  <c r="L143" i="34"/>
  <c r="H143" i="34"/>
  <c r="EH379" i="4"/>
  <c r="M144" i="34"/>
  <c r="FD379" i="4"/>
  <c r="P145" i="16"/>
  <c r="J146" i="34"/>
  <c r="DF384" i="4"/>
  <c r="EB384" i="4" s="1"/>
  <c r="EJ386" i="4"/>
  <c r="EI389" i="4"/>
  <c r="EH388" i="4"/>
  <c r="EI388" i="4"/>
  <c r="DY388" i="4"/>
  <c r="K154" i="34"/>
  <c r="F154" i="16"/>
  <c r="G155" i="16" s="1"/>
  <c r="FH376" i="4"/>
  <c r="FE380" i="4"/>
  <c r="P146" i="34"/>
  <c r="L147" i="34"/>
  <c r="M148" i="34"/>
  <c r="C151" i="16"/>
  <c r="G151" i="34"/>
  <c r="C151" i="34" s="1"/>
  <c r="C331" i="34" s="1"/>
  <c r="DW385" i="4"/>
  <c r="FI385" i="4" s="1"/>
  <c r="L152" i="34"/>
  <c r="FE352" i="4"/>
  <c r="C119" i="16"/>
  <c r="DY359" i="4"/>
  <c r="FH359" i="4"/>
  <c r="K124" i="34"/>
  <c r="F125" i="16"/>
  <c r="FG364" i="4"/>
  <c r="G129" i="34"/>
  <c r="C129" i="34" s="1"/>
  <c r="J129" i="34"/>
  <c r="M129" i="34"/>
  <c r="F130" i="16"/>
  <c r="FE367" i="4"/>
  <c r="M131" i="34"/>
  <c r="EH370" i="4"/>
  <c r="K135" i="34"/>
  <c r="EJ372" i="4"/>
  <c r="L135" i="34"/>
  <c r="C137" i="16"/>
  <c r="DW372" i="4"/>
  <c r="M137" i="34"/>
  <c r="H137" i="34"/>
  <c r="FE373" i="4"/>
  <c r="G138" i="34"/>
  <c r="C138" i="34" s="1"/>
  <c r="FG375" i="4"/>
  <c r="FE375" i="4"/>
  <c r="L140" i="34"/>
  <c r="M141" i="34"/>
  <c r="FD376" i="4"/>
  <c r="FC377" i="4"/>
  <c r="FH378" i="4"/>
  <c r="FD378" i="4"/>
  <c r="K144" i="34"/>
  <c r="FC379" i="4"/>
  <c r="EI381" i="4"/>
  <c r="EJ381" i="4"/>
  <c r="L145" i="34"/>
  <c r="FH382" i="4"/>
  <c r="J147" i="34"/>
  <c r="K150" i="34"/>
  <c r="F150" i="16"/>
  <c r="DY384" i="4"/>
  <c r="FH353" i="4"/>
  <c r="FH354" i="4"/>
  <c r="J122" i="34"/>
  <c r="FC360" i="4"/>
  <c r="DS440" i="4"/>
  <c r="EH361" i="4"/>
  <c r="FH361" i="4"/>
  <c r="M125" i="34"/>
  <c r="EI364" i="4"/>
  <c r="FG363" i="4"/>
  <c r="L130" i="34"/>
  <c r="H130" i="34"/>
  <c r="DY367" i="4"/>
  <c r="M132" i="34"/>
  <c r="J133" i="34"/>
  <c r="EI370" i="4"/>
  <c r="FH369" i="4"/>
  <c r="H133" i="34"/>
  <c r="L134" i="34"/>
  <c r="FE371" i="4"/>
  <c r="FG371" i="4"/>
  <c r="H135" i="34"/>
  <c r="J137" i="34"/>
  <c r="L138" i="34"/>
  <c r="M139" i="34"/>
  <c r="DY375" i="4"/>
  <c r="F141" i="16"/>
  <c r="FE377" i="4"/>
  <c r="M143" i="34"/>
  <c r="H145" i="34"/>
  <c r="G146" i="34"/>
  <c r="C146" i="34" s="1"/>
  <c r="C326" i="34" s="1"/>
  <c r="FE383" i="4"/>
  <c r="DY383" i="4"/>
  <c r="P150" i="34"/>
  <c r="V204" i="34"/>
  <c r="FC354" i="4"/>
  <c r="DF354" i="4"/>
  <c r="EB354" i="4" s="1"/>
  <c r="H124" i="34"/>
  <c r="DM440" i="4"/>
  <c r="C125" i="16"/>
  <c r="F133" i="16"/>
  <c r="DY371" i="4"/>
  <c r="F138" i="16"/>
  <c r="FC374" i="4"/>
  <c r="DW376" i="4"/>
  <c r="FC376" i="4"/>
  <c r="FC378" i="4"/>
  <c r="FE379" i="4"/>
  <c r="DY380" i="4"/>
  <c r="EI386" i="4"/>
  <c r="EH385" i="4"/>
  <c r="EI385" i="4"/>
  <c r="I151" i="34"/>
  <c r="L148" i="34"/>
  <c r="F152" i="16"/>
  <c r="EI387" i="4"/>
  <c r="P153" i="16"/>
  <c r="M153" i="34"/>
  <c r="F153" i="16"/>
  <c r="EH381" i="4"/>
  <c r="DF381" i="4"/>
  <c r="EB381" i="4" s="1"/>
  <c r="FD382" i="4"/>
  <c r="FD383" i="4"/>
  <c r="J148" i="34"/>
  <c r="M150" i="34"/>
  <c r="DY385" i="4"/>
  <c r="J152" i="34"/>
  <c r="C153" i="16"/>
  <c r="K153" i="34"/>
  <c r="FC382" i="4"/>
  <c r="FC383" i="4"/>
  <c r="L150" i="34"/>
  <c r="I152" i="34"/>
  <c r="DW388" i="4"/>
  <c r="DW382" i="4"/>
  <c r="G147" i="34"/>
  <c r="C147" i="34" s="1"/>
  <c r="C327" i="34" s="1"/>
  <c r="G148" i="34"/>
  <c r="C148" i="34" s="1"/>
  <c r="C328" i="34" s="1"/>
  <c r="H152" i="34"/>
  <c r="EJ388" i="4"/>
  <c r="FD380" i="4"/>
  <c r="C147" i="16"/>
  <c r="FG383" i="4"/>
  <c r="P148" i="16"/>
  <c r="P152" i="16"/>
  <c r="P153" i="34"/>
  <c r="G153" i="34"/>
  <c r="C153" i="34" s="1"/>
  <c r="C333" i="34" s="1"/>
  <c r="N197" i="16"/>
  <c r="O195" i="16"/>
  <c r="P62" i="16"/>
  <c r="W52" i="34"/>
  <c r="P133" i="16"/>
  <c r="P86" i="16"/>
  <c r="P103" i="16"/>
  <c r="P150" i="16"/>
  <c r="P121" i="16"/>
  <c r="P129" i="16"/>
  <c r="W101" i="34"/>
  <c r="P112" i="16"/>
  <c r="P94" i="16"/>
  <c r="O198" i="16"/>
  <c r="W63" i="34"/>
  <c r="W33" i="34"/>
  <c r="P119" i="16"/>
  <c r="P108" i="16"/>
  <c r="W85" i="34"/>
  <c r="W80" i="34"/>
  <c r="W74" i="34"/>
  <c r="W65" i="34"/>
  <c r="W36" i="34"/>
  <c r="W27" i="34"/>
  <c r="P140" i="16"/>
  <c r="P147" i="16"/>
  <c r="O202" i="16"/>
  <c r="P130" i="16"/>
  <c r="P132" i="16"/>
  <c r="P138" i="16"/>
  <c r="P124" i="16"/>
  <c r="V199" i="34"/>
  <c r="W55" i="34"/>
  <c r="W14" i="34"/>
  <c r="W12" i="34"/>
  <c r="P122" i="16"/>
  <c r="N195" i="16"/>
  <c r="P127" i="16"/>
  <c r="P142" i="16"/>
  <c r="W151" i="34"/>
  <c r="EB267" i="4"/>
  <c r="DR413" i="4"/>
  <c r="DW38" i="4"/>
  <c r="DR428" i="4"/>
  <c r="DW222" i="4"/>
  <c r="DF232" i="4"/>
  <c r="EB232" i="4" s="1"/>
  <c r="DY94" i="4"/>
  <c r="DW170" i="4"/>
  <c r="DS424" i="4"/>
  <c r="DY28" i="4"/>
  <c r="DO412" i="4"/>
  <c r="DO420" i="4"/>
  <c r="DY126" i="4"/>
  <c r="DO415" i="4"/>
  <c r="DY62" i="4"/>
  <c r="DO427" i="4"/>
  <c r="DW206" i="4"/>
  <c r="DY206" i="4"/>
  <c r="DW126" i="4"/>
  <c r="DT422" i="4"/>
  <c r="DY154" i="4"/>
  <c r="DW122" i="4"/>
  <c r="DY122" i="4"/>
  <c r="DT420" i="4"/>
  <c r="DT417" i="4"/>
  <c r="DW90" i="4"/>
  <c r="DY90" i="4"/>
  <c r="DW58" i="4"/>
  <c r="DT414" i="4"/>
  <c r="DY242" i="4"/>
  <c r="DT430" i="4"/>
  <c r="DW242" i="4"/>
  <c r="DW154" i="4"/>
  <c r="DS422" i="4"/>
  <c r="DW230" i="4"/>
  <c r="DW214" i="4"/>
  <c r="DY214" i="4"/>
  <c r="DF240" i="4"/>
  <c r="DW28" i="4"/>
  <c r="DW94" i="4"/>
  <c r="EI304" i="4"/>
  <c r="F59" i="16"/>
  <c r="F61" i="16"/>
  <c r="J60" i="34"/>
  <c r="DW301" i="4"/>
  <c r="DW300" i="4"/>
  <c r="H66" i="34"/>
  <c r="C70" i="16"/>
  <c r="J67" i="34"/>
  <c r="J70" i="34"/>
  <c r="EH315" i="4"/>
  <c r="J75" i="34"/>
  <c r="FC321" i="4"/>
  <c r="J63" i="34"/>
  <c r="H61" i="34"/>
  <c r="H60" i="34"/>
  <c r="EJ314" i="4"/>
  <c r="I59" i="34"/>
  <c r="FD320" i="4"/>
  <c r="C80" i="16"/>
  <c r="DW320" i="4"/>
  <c r="I66" i="34"/>
  <c r="I40" i="34"/>
  <c r="I23" i="34"/>
  <c r="DW316" i="4"/>
  <c r="I76" i="34"/>
  <c r="F76" i="16"/>
  <c r="K57" i="34"/>
  <c r="EI298" i="4"/>
  <c r="C60" i="16"/>
  <c r="P59" i="16"/>
  <c r="DT435" i="4"/>
  <c r="K62" i="34"/>
  <c r="F65" i="16"/>
  <c r="EH306" i="4"/>
  <c r="DY310" i="4"/>
  <c r="G60" i="34"/>
  <c r="C60" i="34" s="1"/>
  <c r="EI309" i="4"/>
  <c r="P69" i="16"/>
  <c r="DS436" i="4"/>
  <c r="EG436" i="4"/>
  <c r="EJ313" i="4"/>
  <c r="F73" i="16"/>
  <c r="EI314" i="4"/>
  <c r="DW321" i="4"/>
  <c r="H81" i="34"/>
  <c r="F82" i="16"/>
  <c r="I82" i="34"/>
  <c r="FG322" i="4"/>
  <c r="H56" i="34"/>
  <c r="F60" i="16"/>
  <c r="EI302" i="4"/>
  <c r="DW303" i="4"/>
  <c r="DY302" i="4"/>
  <c r="H62" i="34"/>
  <c r="C66" i="16"/>
  <c r="P65" i="16"/>
  <c r="F69" i="16"/>
  <c r="K69" i="34"/>
  <c r="G21" i="34"/>
  <c r="G62" i="34"/>
  <c r="C62" i="34" s="1"/>
  <c r="F75" i="16"/>
  <c r="EJ316" i="4"/>
  <c r="L74" i="34"/>
  <c r="FD318" i="4"/>
  <c r="C78" i="16"/>
  <c r="DW318" i="4"/>
  <c r="I64" i="34"/>
  <c r="I55" i="34"/>
  <c r="I29" i="34"/>
  <c r="P75" i="16"/>
  <c r="F62" i="16"/>
  <c r="DY303" i="4"/>
  <c r="EI301" i="4"/>
  <c r="DW307" i="4"/>
  <c r="L65" i="34"/>
  <c r="K64" i="34"/>
  <c r="EJ307" i="4"/>
  <c r="DW311" i="4"/>
  <c r="G25" i="34"/>
  <c r="DY313" i="4"/>
  <c r="DN436" i="4"/>
  <c r="I67" i="34"/>
  <c r="I11" i="34"/>
  <c r="C81" i="16"/>
  <c r="EF435" i="4"/>
  <c r="H63" i="34"/>
  <c r="K61" i="34"/>
  <c r="G65" i="34"/>
  <c r="C65" i="34" s="1"/>
  <c r="G40" i="34"/>
  <c r="H70" i="34"/>
  <c r="G75" i="34"/>
  <c r="C75" i="34" s="1"/>
  <c r="M98" i="34"/>
  <c r="DQ438" i="4"/>
  <c r="FG336" i="4"/>
  <c r="DK439" i="4"/>
  <c r="FC349" i="4"/>
  <c r="G112" i="34"/>
  <c r="C112" i="34" s="1"/>
  <c r="DW349" i="4"/>
  <c r="C112" i="16"/>
  <c r="O196" i="16"/>
  <c r="FG325" i="4"/>
  <c r="O197" i="16"/>
  <c r="I87" i="34"/>
  <c r="DY327" i="4"/>
  <c r="FD329" i="4"/>
  <c r="G92" i="34"/>
  <c r="G93" i="34"/>
  <c r="C93" i="34" s="1"/>
  <c r="DW333" i="4"/>
  <c r="FG340" i="4"/>
  <c r="DW340" i="4"/>
  <c r="I102" i="34"/>
  <c r="F102" i="16"/>
  <c r="DW344" i="4"/>
  <c r="DK438" i="4"/>
  <c r="C106" i="16"/>
  <c r="FC344" i="4"/>
  <c r="G106" i="34"/>
  <c r="C106" i="34" s="1"/>
  <c r="DE439" i="4"/>
  <c r="DF348" i="4"/>
  <c r="EB348" i="4" s="1"/>
  <c r="FG347" i="4"/>
  <c r="I109" i="34"/>
  <c r="F109" i="16"/>
  <c r="DW347" i="4"/>
  <c r="DW343" i="4"/>
  <c r="M105" i="34"/>
  <c r="F105" i="16"/>
  <c r="FG350" i="4"/>
  <c r="I113" i="34"/>
  <c r="F113" i="16"/>
  <c r="M116" i="34"/>
  <c r="DQ439" i="4"/>
  <c r="P118" i="16"/>
  <c r="N199" i="16"/>
  <c r="N198" i="16"/>
  <c r="P100" i="16"/>
  <c r="C121" i="16"/>
  <c r="G121" i="34"/>
  <c r="C121" i="34" s="1"/>
  <c r="DW358" i="4"/>
  <c r="N200" i="16"/>
  <c r="P135" i="16"/>
  <c r="C83" i="16"/>
  <c r="DW324" i="4"/>
  <c r="DP437" i="4"/>
  <c r="FE326" i="4"/>
  <c r="FH329" i="4"/>
  <c r="DY330" i="4"/>
  <c r="DY332" i="4"/>
  <c r="DY333" i="4"/>
  <c r="P98" i="16"/>
  <c r="F98" i="16"/>
  <c r="FC358" i="4"/>
  <c r="H79" i="34"/>
  <c r="F83" i="16"/>
  <c r="FH324" i="4"/>
  <c r="DD437" i="4"/>
  <c r="C87" i="16"/>
  <c r="K87" i="34"/>
  <c r="F88" i="16"/>
  <c r="G90" i="34"/>
  <c r="C90" i="34" s="1"/>
  <c r="K93" i="34"/>
  <c r="EB332" i="4"/>
  <c r="F95" i="16"/>
  <c r="DL438" i="4"/>
  <c r="M118" i="34"/>
  <c r="DW383" i="4"/>
  <c r="P148" i="34"/>
  <c r="K80" i="34"/>
  <c r="J83" i="34"/>
  <c r="P83" i="16"/>
  <c r="L88" i="34"/>
  <c r="DZ437" i="4"/>
  <c r="F93" i="16"/>
  <c r="F94" i="16"/>
  <c r="DW337" i="4"/>
  <c r="C99" i="16"/>
  <c r="FD337" i="4"/>
  <c r="DD438" i="4"/>
  <c r="DF345" i="4"/>
  <c r="EB345" i="4" s="1"/>
  <c r="M94" i="34"/>
  <c r="EI378" i="4"/>
  <c r="EI377" i="4"/>
  <c r="EH377" i="4"/>
  <c r="I145" i="34"/>
  <c r="FG380" i="4"/>
  <c r="G100" i="34"/>
  <c r="C100" i="34" s="1"/>
  <c r="W104" i="34"/>
  <c r="W102" i="34"/>
  <c r="W100" i="34"/>
  <c r="W92" i="34"/>
  <c r="W81" i="34"/>
  <c r="W79" i="34"/>
  <c r="W66" i="34"/>
  <c r="W40" i="34"/>
  <c r="DW362" i="4"/>
  <c r="W126" i="34"/>
  <c r="P131" i="16"/>
  <c r="Q143" i="34"/>
  <c r="P144" i="16"/>
  <c r="DW381" i="4"/>
  <c r="EI356" i="4"/>
  <c r="F120" i="16"/>
  <c r="G126" i="34"/>
  <c r="C126" i="34" s="1"/>
  <c r="EI379" i="4"/>
  <c r="FG378" i="4"/>
  <c r="C100" i="16"/>
  <c r="W109" i="34"/>
  <c r="O199" i="16"/>
  <c r="M115" i="34"/>
  <c r="F118" i="16"/>
  <c r="DF356" i="4"/>
  <c r="EB356" i="4" s="1"/>
  <c r="EI358" i="4"/>
  <c r="W112" i="34"/>
  <c r="U199" i="34"/>
  <c r="EF440" i="4"/>
  <c r="G125" i="34"/>
  <c r="C125" i="34" s="1"/>
  <c r="C127" i="16"/>
  <c r="W134" i="34"/>
  <c r="P139" i="16"/>
  <c r="F146" i="16"/>
  <c r="F148" i="16"/>
  <c r="F112" i="16"/>
  <c r="EI357" i="4"/>
  <c r="DK440" i="4"/>
  <c r="DK446" i="4" s="1"/>
  <c r="DK449" i="4" s="1"/>
  <c r="FG357" i="4"/>
  <c r="P128" i="16"/>
  <c r="W129" i="34"/>
  <c r="P134" i="16"/>
  <c r="O201" i="16"/>
  <c r="I148" i="34"/>
  <c r="C98" i="16"/>
  <c r="DF346" i="4"/>
  <c r="EB346" i="4" s="1"/>
  <c r="DP438" i="4"/>
  <c r="W120" i="34"/>
  <c r="EI359" i="4"/>
  <c r="G122" i="34"/>
  <c r="C122" i="34" s="1"/>
  <c r="O200" i="16"/>
  <c r="W128" i="34"/>
  <c r="W139" i="34"/>
  <c r="I144" i="34"/>
  <c r="FG379" i="4"/>
  <c r="FG381" i="4"/>
  <c r="FG382" i="4"/>
  <c r="DW336" i="4"/>
  <c r="FD336" i="4"/>
  <c r="W115" i="34"/>
  <c r="W119" i="34"/>
  <c r="W107" i="34"/>
  <c r="P141" i="16"/>
  <c r="Z273" i="34"/>
  <c r="Z274" i="34"/>
  <c r="Z243" i="34"/>
  <c r="Z248" i="34"/>
  <c r="Z218" i="34"/>
  <c r="Z228" i="34"/>
  <c r="Z224" i="34"/>
  <c r="Y215" i="34"/>
  <c r="R240" i="34"/>
  <c r="Y240" i="34" s="1"/>
  <c r="Z240" i="34"/>
  <c r="R231" i="34"/>
  <c r="Y231" i="34" s="1"/>
  <c r="Z231" i="34"/>
  <c r="R285" i="34"/>
  <c r="Y285" i="34" s="1"/>
  <c r="Y236" i="34"/>
  <c r="Y234" i="34"/>
  <c r="Y230" i="34"/>
  <c r="Y218" i="34"/>
  <c r="Y210" i="34"/>
  <c r="Y211" i="34"/>
  <c r="Z233" i="34"/>
  <c r="Y267" i="34"/>
  <c r="Y213" i="34"/>
  <c r="Z210" i="34"/>
  <c r="R250" i="34"/>
  <c r="Y250" i="34" s="1"/>
  <c r="Z250" i="34"/>
  <c r="R229" i="34"/>
  <c r="Y229" i="34" s="1"/>
  <c r="Z229" i="34"/>
  <c r="R269" i="34"/>
  <c r="Y269" i="34" s="1"/>
  <c r="Z269" i="34"/>
  <c r="R254" i="34"/>
  <c r="Y254" i="34" s="1"/>
  <c r="Z254" i="34"/>
  <c r="Z236" i="34"/>
  <c r="R249" i="34"/>
  <c r="Y249" i="34" s="1"/>
  <c r="R286" i="34"/>
  <c r="Y286" i="34" s="1"/>
  <c r="Y221" i="34"/>
  <c r="R244" i="34"/>
  <c r="Y244" i="34" s="1"/>
  <c r="Z284" i="34"/>
  <c r="Z266" i="34"/>
  <c r="Z226" i="34"/>
  <c r="Z256" i="34"/>
  <c r="Z242" i="34"/>
  <c r="Z268" i="34"/>
  <c r="R278" i="34"/>
  <c r="Y278" i="34" s="1"/>
  <c r="Y233" i="34"/>
  <c r="Y224" i="34"/>
  <c r="Z221" i="34"/>
  <c r="Z219" i="34"/>
  <c r="Z216" i="34"/>
  <c r="N313" i="34"/>
  <c r="Z313" i="34" s="1"/>
  <c r="Z280" i="34"/>
  <c r="Y237" i="34"/>
  <c r="Y220" i="34"/>
  <c r="Z214" i="34"/>
  <c r="Z211" i="34"/>
  <c r="Z291" i="34"/>
  <c r="D202" i="34"/>
  <c r="Z258" i="34"/>
  <c r="Z227" i="34"/>
  <c r="Z217" i="34"/>
  <c r="R272" i="34"/>
  <c r="Y272" i="34" s="1"/>
  <c r="Y228" i="34"/>
  <c r="D201" i="34"/>
  <c r="W327" i="34"/>
  <c r="N328" i="34"/>
  <c r="Z328" i="34" s="1"/>
  <c r="Z332" i="34"/>
  <c r="Z230" i="34"/>
  <c r="R271" i="34"/>
  <c r="Y271" i="34" s="1"/>
  <c r="R300" i="34"/>
  <c r="Y300" i="34" s="1"/>
  <c r="Z300" i="34"/>
  <c r="C306" i="34"/>
  <c r="Y219" i="34"/>
  <c r="Y216" i="34"/>
  <c r="Z283" i="34"/>
  <c r="Z261" i="34"/>
  <c r="Z255" i="34"/>
  <c r="R279" i="34"/>
  <c r="Y279" i="34" s="1"/>
  <c r="R260" i="34"/>
  <c r="Y260" i="34" s="1"/>
  <c r="W319" i="34"/>
  <c r="R263" i="34"/>
  <c r="Y263" i="34" s="1"/>
  <c r="R239" i="34"/>
  <c r="Y239" i="34" s="1"/>
  <c r="Y226" i="34"/>
  <c r="W116" i="34"/>
  <c r="N312" i="34"/>
  <c r="N319" i="34"/>
  <c r="W142" i="34"/>
  <c r="W99" i="34"/>
  <c r="U198" i="34"/>
  <c r="V196" i="34"/>
  <c r="W37" i="34"/>
  <c r="W35" i="34"/>
  <c r="V195" i="34"/>
  <c r="W30" i="34"/>
  <c r="W24" i="34"/>
  <c r="W15" i="34"/>
  <c r="W13" i="34"/>
  <c r="R288" i="34"/>
  <c r="Y288" i="34" s="1"/>
  <c r="T202" i="34"/>
  <c r="W133" i="34"/>
  <c r="V203" i="34"/>
  <c r="W144" i="34"/>
  <c r="W147" i="34"/>
  <c r="R252" i="34"/>
  <c r="Y252" i="34" s="1"/>
  <c r="Y214" i="34"/>
  <c r="W94" i="34"/>
  <c r="W93" i="34"/>
  <c r="W90" i="34"/>
  <c r="W86" i="34"/>
  <c r="W82" i="34"/>
  <c r="W78" i="34"/>
  <c r="W75" i="34"/>
  <c r="W61" i="34"/>
  <c r="W49" i="34"/>
  <c r="W47" i="34"/>
  <c r="W42" i="34"/>
  <c r="T201" i="34"/>
  <c r="W118" i="34"/>
  <c r="W121" i="34"/>
  <c r="U200" i="34"/>
  <c r="W95" i="34"/>
  <c r="V202" i="34"/>
  <c r="N307" i="34"/>
  <c r="R307" i="34" s="1"/>
  <c r="Y307" i="34" s="1"/>
  <c r="W137" i="34"/>
  <c r="N317" i="34"/>
  <c r="R317" i="34" s="1"/>
  <c r="Y317" i="34" s="1"/>
  <c r="W148" i="34"/>
  <c r="T204" i="34"/>
  <c r="W152" i="34"/>
  <c r="T195" i="34"/>
  <c r="W108" i="34"/>
  <c r="W89" i="34"/>
  <c r="T199" i="34"/>
  <c r="W83" i="34"/>
  <c r="W77" i="34"/>
  <c r="W76" i="34"/>
  <c r="T198" i="34"/>
  <c r="W70" i="34"/>
  <c r="W69" i="34"/>
  <c r="W60" i="34"/>
  <c r="T197" i="34"/>
  <c r="W57" i="34"/>
  <c r="W54" i="34"/>
  <c r="W53" i="34"/>
  <c r="W50" i="34"/>
  <c r="W46" i="34"/>
  <c r="W44" i="34"/>
  <c r="W23" i="34"/>
  <c r="W18" i="34"/>
  <c r="W7" i="34"/>
  <c r="T200" i="34"/>
  <c r="W98" i="34"/>
  <c r="U197" i="34"/>
  <c r="U196" i="34"/>
  <c r="W117" i="34"/>
  <c r="W28" i="34"/>
  <c r="W20" i="34"/>
  <c r="W11" i="34"/>
  <c r="U202" i="34"/>
  <c r="W127" i="34"/>
  <c r="W140" i="34"/>
  <c r="W146" i="34"/>
  <c r="W122" i="34"/>
  <c r="W125" i="34"/>
  <c r="W130" i="34"/>
  <c r="W131" i="34"/>
  <c r="W135" i="34"/>
  <c r="W141" i="34"/>
  <c r="W143" i="34"/>
  <c r="Q145" i="34"/>
  <c r="W145" i="34"/>
  <c r="Q151" i="34"/>
  <c r="W106" i="34"/>
  <c r="W105" i="34"/>
  <c r="W103" i="34"/>
  <c r="V200" i="34"/>
  <c r="W91" i="34"/>
  <c r="W87" i="34"/>
  <c r="W73" i="34"/>
  <c r="V198" i="34"/>
  <c r="W68" i="34"/>
  <c r="W64" i="34"/>
  <c r="V197" i="34"/>
  <c r="W56" i="34"/>
  <c r="W51" i="34"/>
  <c r="T196" i="34"/>
  <c r="W43" i="34"/>
  <c r="W39" i="34"/>
  <c r="W38" i="34"/>
  <c r="U195" i="34"/>
  <c r="W34" i="34"/>
  <c r="W31" i="34"/>
  <c r="W29" i="34"/>
  <c r="W26" i="34"/>
  <c r="W22" i="34"/>
  <c r="W17" i="34"/>
  <c r="W16" i="34"/>
  <c r="W9" i="34"/>
  <c r="U201" i="34"/>
  <c r="V201" i="34"/>
  <c r="W113" i="34"/>
  <c r="W132" i="34"/>
  <c r="R276" i="34"/>
  <c r="Y276" i="34" s="1"/>
  <c r="Z276" i="34"/>
  <c r="Z235" i="34"/>
  <c r="R235" i="34"/>
  <c r="Y235" i="34" s="1"/>
  <c r="R232" i="34"/>
  <c r="Y232" i="34" s="1"/>
  <c r="Z232" i="34"/>
  <c r="R246" i="34"/>
  <c r="Y246" i="34" s="1"/>
  <c r="Z246" i="34"/>
  <c r="N334" i="34"/>
  <c r="R296" i="34"/>
  <c r="Y296" i="34" s="1"/>
  <c r="Z296" i="34"/>
  <c r="R297" i="34"/>
  <c r="Y297" i="34" s="1"/>
  <c r="Z297" i="34"/>
  <c r="Z245" i="34"/>
  <c r="Z257" i="34"/>
  <c r="Z282" i="34"/>
  <c r="Z287" i="34"/>
  <c r="Z234" i="34"/>
  <c r="Z237" i="34"/>
  <c r="Z265" i="34"/>
  <c r="R292" i="34"/>
  <c r="Y292" i="34" s="1"/>
  <c r="Z292" i="34"/>
  <c r="R293" i="34"/>
  <c r="Y293" i="34" s="1"/>
  <c r="Z293" i="34"/>
  <c r="R304" i="34"/>
  <c r="Y304" i="34" s="1"/>
  <c r="Z304" i="34"/>
  <c r="R223" i="34"/>
  <c r="Y223" i="34" s="1"/>
  <c r="Z223" i="34"/>
  <c r="Z288" i="34"/>
  <c r="Z271" i="34"/>
  <c r="R289" i="34"/>
  <c r="Y289" i="34" s="1"/>
  <c r="Z289" i="34"/>
  <c r="Z295" i="34"/>
  <c r="R295" i="34"/>
  <c r="Y295" i="34" s="1"/>
  <c r="Z298" i="34"/>
  <c r="R298" i="34"/>
  <c r="Y298" i="34" s="1"/>
  <c r="R299" i="34"/>
  <c r="Y299" i="34" s="1"/>
  <c r="Z299" i="34"/>
  <c r="R301" i="34"/>
  <c r="Y301" i="34" s="1"/>
  <c r="Z301" i="34"/>
  <c r="Z253" i="34"/>
  <c r="Z275" i="34"/>
  <c r="R294" i="34"/>
  <c r="Y294" i="34" s="1"/>
  <c r="Z294" i="34"/>
  <c r="Z302" i="34"/>
  <c r="R302" i="34"/>
  <c r="Y302" i="34" s="1"/>
  <c r="Z330" i="34"/>
  <c r="U155" i="16"/>
  <c r="H57" i="34"/>
  <c r="EB300" i="4"/>
  <c r="DY301" i="4"/>
  <c r="DO435" i="4"/>
  <c r="H59" i="34"/>
  <c r="DW310" i="4"/>
  <c r="C69" i="16"/>
  <c r="H69" i="34"/>
  <c r="DM436" i="4"/>
  <c r="DW312" i="4"/>
  <c r="C72" i="16"/>
  <c r="H75" i="34"/>
  <c r="C75" i="16"/>
  <c r="K74" i="34"/>
  <c r="DY314" i="4"/>
  <c r="DW314" i="4"/>
  <c r="P64" i="16"/>
  <c r="DY311" i="4"/>
  <c r="G66" i="34"/>
  <c r="G56" i="34"/>
  <c r="G47" i="34"/>
  <c r="G22" i="34"/>
  <c r="G12" i="34"/>
  <c r="EI313" i="4"/>
  <c r="EF436" i="4"/>
  <c r="EI312" i="4"/>
  <c r="C59" i="16"/>
  <c r="DR435" i="4"/>
  <c r="DN435" i="4"/>
  <c r="DW305" i="4"/>
  <c r="EJ308" i="4"/>
  <c r="K65" i="34"/>
  <c r="DY306" i="4"/>
  <c r="H67" i="34"/>
  <c r="DW308" i="4"/>
  <c r="F74" i="16"/>
  <c r="DT436" i="4"/>
  <c r="DY299" i="4"/>
  <c r="K55" i="34"/>
  <c r="H55" i="34"/>
  <c r="DY300" i="4"/>
  <c r="DY304" i="4"/>
  <c r="DM435" i="4"/>
  <c r="DI435" i="4" s="1"/>
  <c r="K63" i="34"/>
  <c r="EH307" i="4"/>
  <c r="K66" i="34"/>
  <c r="F68" i="16"/>
  <c r="K68" i="34"/>
  <c r="G64" i="34"/>
  <c r="G39" i="34"/>
  <c r="G29" i="34"/>
  <c r="P73" i="16"/>
  <c r="DW315" i="4"/>
  <c r="J74" i="34"/>
  <c r="DR436" i="4"/>
  <c r="DW313" i="4"/>
  <c r="C74" i="16"/>
  <c r="DO436" i="4"/>
  <c r="K73" i="34"/>
  <c r="K72" i="34"/>
  <c r="C77" i="16"/>
  <c r="H77" i="34"/>
  <c r="FC317" i="4"/>
  <c r="DY308" i="4"/>
  <c r="C68" i="16"/>
  <c r="DY312" i="4"/>
  <c r="J79" i="34"/>
  <c r="DY329" i="4"/>
  <c r="DW329" i="4"/>
  <c r="FE329" i="4"/>
  <c r="K90" i="34"/>
  <c r="DO437" i="4"/>
  <c r="DY324" i="4"/>
  <c r="FD323" i="4"/>
  <c r="FD324" i="4"/>
  <c r="DY325" i="4"/>
  <c r="F87" i="16"/>
  <c r="FG326" i="4"/>
  <c r="I88" i="34"/>
  <c r="FH330" i="4"/>
  <c r="F91" i="16"/>
  <c r="J91" i="34"/>
  <c r="DW323" i="4"/>
  <c r="C85" i="16"/>
  <c r="DR437" i="4"/>
  <c r="G85" i="34"/>
  <c r="G83" i="34"/>
  <c r="F86" i="16"/>
  <c r="FE325" i="4"/>
  <c r="FD325" i="4"/>
  <c r="F90" i="16"/>
  <c r="I90" i="34"/>
  <c r="FD330" i="4"/>
  <c r="C91" i="16"/>
  <c r="F85" i="16"/>
  <c r="K85" i="34"/>
  <c r="DL437" i="4"/>
  <c r="C86" i="16"/>
  <c r="K86" i="34"/>
  <c r="L87" i="34"/>
  <c r="DW327" i="4"/>
  <c r="FG327" i="4"/>
  <c r="DW330" i="4"/>
  <c r="G91" i="34"/>
  <c r="J93" i="34"/>
  <c r="FH332" i="4"/>
  <c r="J94" i="34"/>
  <c r="G94" i="34"/>
  <c r="DY334" i="4"/>
  <c r="C95" i="16"/>
  <c r="J95" i="34"/>
  <c r="FD334" i="4"/>
  <c r="W59" i="34"/>
  <c r="W72" i="34"/>
  <c r="W114" i="34"/>
  <c r="DW332" i="4"/>
  <c r="C94" i="16"/>
  <c r="DW334" i="4"/>
  <c r="DW335" i="4"/>
  <c r="EH360" i="4"/>
  <c r="W138" i="34"/>
  <c r="T203" i="34"/>
  <c r="DW356" i="4"/>
  <c r="Q147" i="34"/>
  <c r="FG349" i="4"/>
  <c r="I114" i="34"/>
  <c r="F115" i="16"/>
  <c r="I115" i="34"/>
  <c r="M89" i="34"/>
  <c r="FG353" i="4"/>
  <c r="I117" i="34"/>
  <c r="I118" i="34"/>
  <c r="DW357" i="4"/>
  <c r="EH358" i="4"/>
  <c r="G127" i="34"/>
  <c r="DW363" i="4"/>
  <c r="N201" i="16"/>
  <c r="DW350" i="4"/>
  <c r="FG352" i="4"/>
  <c r="DQ437" i="4"/>
  <c r="M111" i="34"/>
  <c r="DW353" i="4"/>
  <c r="F116" i="16"/>
  <c r="F117" i="16"/>
  <c r="EI355" i="4"/>
  <c r="DW355" i="4"/>
  <c r="FG355" i="4"/>
  <c r="F119" i="16"/>
  <c r="W124" i="34"/>
  <c r="P137" i="16"/>
  <c r="F145" i="16"/>
  <c r="DW380" i="4"/>
  <c r="EH382" i="4"/>
  <c r="W150" i="34"/>
  <c r="DW379" i="4"/>
  <c r="O146" i="34"/>
  <c r="F144" i="16"/>
  <c r="EI382" i="4"/>
  <c r="N202" i="16"/>
  <c r="P154" i="16"/>
  <c r="W154" i="34"/>
  <c r="H42" i="16" l="1"/>
  <c r="E31" i="16"/>
  <c r="E38" i="16"/>
  <c r="D7" i="16"/>
  <c r="I132" i="16"/>
  <c r="U132" i="16" s="1"/>
  <c r="Z320" i="34"/>
  <c r="N13" i="34"/>
  <c r="R13" i="34" s="1"/>
  <c r="Y13" i="34" s="1"/>
  <c r="R310" i="34"/>
  <c r="Y310" i="34" s="1"/>
  <c r="H44" i="16"/>
  <c r="D51" i="16"/>
  <c r="E47" i="16"/>
  <c r="N34" i="34"/>
  <c r="R34" i="34" s="1"/>
  <c r="Y34" i="34" s="1"/>
  <c r="I37" i="16"/>
  <c r="U37" i="16" s="1"/>
  <c r="E16" i="16"/>
  <c r="R90" i="16"/>
  <c r="E51" i="16"/>
  <c r="D17" i="16"/>
  <c r="G193" i="34"/>
  <c r="I11" i="16"/>
  <c r="U11" i="16" s="1"/>
  <c r="N18" i="34"/>
  <c r="R18" i="34" s="1"/>
  <c r="Y18" i="34" s="1"/>
  <c r="E5" i="16"/>
  <c r="N37" i="34"/>
  <c r="R37" i="34" s="1"/>
  <c r="Y37" i="34" s="1"/>
  <c r="DF432" i="4"/>
  <c r="N21" i="34"/>
  <c r="EB425" i="4"/>
  <c r="ED425" i="4" s="1"/>
  <c r="D47" i="16"/>
  <c r="E48" i="16"/>
  <c r="R93" i="16"/>
  <c r="Q90" i="16"/>
  <c r="DF412" i="4"/>
  <c r="DD412" i="4" s="1"/>
  <c r="EB275" i="4"/>
  <c r="Z305" i="34"/>
  <c r="N20" i="34"/>
  <c r="R20" i="34" s="1"/>
  <c r="Y20" i="34" s="1"/>
  <c r="DI437" i="4"/>
  <c r="I46" i="16"/>
  <c r="U46" i="16" s="1"/>
  <c r="R89" i="16"/>
  <c r="I24" i="16"/>
  <c r="U24" i="16" s="1"/>
  <c r="D48" i="16"/>
  <c r="D25" i="16"/>
  <c r="DF425" i="4"/>
  <c r="DD425" i="4" s="1"/>
  <c r="DF427" i="4"/>
  <c r="DD427" i="4" s="1"/>
  <c r="Q101" i="16"/>
  <c r="G25" i="16"/>
  <c r="R102" i="16"/>
  <c r="I104" i="16"/>
  <c r="U104" i="16" s="1"/>
  <c r="E10" i="16"/>
  <c r="DF417" i="4"/>
  <c r="DD417" i="4" s="1"/>
  <c r="D46" i="16"/>
  <c r="I42" i="16"/>
  <c r="U42" i="16" s="1"/>
  <c r="H21" i="16"/>
  <c r="N28" i="34"/>
  <c r="R28" i="34" s="1"/>
  <c r="Y28" i="34" s="1"/>
  <c r="N24" i="34"/>
  <c r="R24" i="34" s="1"/>
  <c r="Y24" i="34" s="1"/>
  <c r="R323" i="34"/>
  <c r="Y323" i="34" s="1"/>
  <c r="Q40" i="16"/>
  <c r="D33" i="16"/>
  <c r="FI388" i="4"/>
  <c r="EB427" i="4"/>
  <c r="ED427" i="4" s="1"/>
  <c r="I25" i="16"/>
  <c r="U25" i="16" s="1"/>
  <c r="G26" i="16"/>
  <c r="R41" i="16"/>
  <c r="E46" i="16"/>
  <c r="DF416" i="4"/>
  <c r="K193" i="34"/>
  <c r="DJ433" i="4"/>
  <c r="D42" i="16"/>
  <c r="I51" i="16"/>
  <c r="U51" i="16" s="1"/>
  <c r="G12" i="16"/>
  <c r="E25" i="16"/>
  <c r="H26" i="16"/>
  <c r="EB87" i="4"/>
  <c r="EB417" i="4" s="1"/>
  <c r="ED417" i="4" s="1"/>
  <c r="I33" i="16"/>
  <c r="U33" i="16" s="1"/>
  <c r="E26" i="16"/>
  <c r="G22" i="16"/>
  <c r="I13" i="16"/>
  <c r="U13" i="16" s="1"/>
  <c r="D138" i="16"/>
  <c r="DI436" i="4"/>
  <c r="D26" i="16"/>
  <c r="Q102" i="16"/>
  <c r="H34" i="16"/>
  <c r="H22" i="16"/>
  <c r="G21" i="16"/>
  <c r="N10" i="34"/>
  <c r="R10" i="34" s="1"/>
  <c r="Y10" i="34" s="1"/>
  <c r="N43" i="34"/>
  <c r="R43" i="34" s="1"/>
  <c r="N29" i="34"/>
  <c r="Q93" i="16"/>
  <c r="H47" i="16"/>
  <c r="E42" i="16"/>
  <c r="EB412" i="4"/>
  <c r="ED412" i="4" s="1"/>
  <c r="E11" i="16"/>
  <c r="D16" i="16"/>
  <c r="D13" i="16"/>
  <c r="DF415" i="4"/>
  <c r="DD415" i="4" s="1"/>
  <c r="R94" i="16"/>
  <c r="N14" i="34"/>
  <c r="R14" i="34" s="1"/>
  <c r="Y14" i="34" s="1"/>
  <c r="DF419" i="4"/>
  <c r="DD419" i="4" s="1"/>
  <c r="D10" i="16"/>
  <c r="E7" i="16"/>
  <c r="H29" i="16"/>
  <c r="H53" i="16"/>
  <c r="H30" i="16"/>
  <c r="G47" i="16"/>
  <c r="I29" i="16"/>
  <c r="U29" i="16" s="1"/>
  <c r="H52" i="16"/>
  <c r="I52" i="16"/>
  <c r="K53" i="16" s="1"/>
  <c r="R331" i="34"/>
  <c r="Y331" i="34" s="1"/>
  <c r="R327" i="34"/>
  <c r="Y327" i="34" s="1"/>
  <c r="R308" i="34"/>
  <c r="Y308" i="34" s="1"/>
  <c r="R333" i="34"/>
  <c r="Y333" i="34" s="1"/>
  <c r="Z327" i="34"/>
  <c r="DF413" i="4"/>
  <c r="DD413" i="4" s="1"/>
  <c r="EB422" i="4"/>
  <c r="ED422" i="4" s="1"/>
  <c r="N30" i="34"/>
  <c r="R30" i="34" s="1"/>
  <c r="Y30" i="34" s="1"/>
  <c r="I15" i="16"/>
  <c r="U15" i="16" s="1"/>
  <c r="I44" i="16"/>
  <c r="DF433" i="4"/>
  <c r="K194" i="34"/>
  <c r="F191" i="16"/>
  <c r="I47" i="16"/>
  <c r="U47" i="16" s="1"/>
  <c r="H12" i="16"/>
  <c r="R326" i="34"/>
  <c r="Y326" i="34" s="1"/>
  <c r="H25" i="16"/>
  <c r="Q154" i="34"/>
  <c r="N7" i="34"/>
  <c r="R7" i="34" s="1"/>
  <c r="Y7" i="34" s="1"/>
  <c r="Y332" i="34"/>
  <c r="EB428" i="4"/>
  <c r="ED428" i="4" s="1"/>
  <c r="EB418" i="4"/>
  <c r="ED418" i="4" s="1"/>
  <c r="EB419" i="4"/>
  <c r="ED419" i="4" s="1"/>
  <c r="DF428" i="4"/>
  <c r="DD428" i="4" s="1"/>
  <c r="FI346" i="4"/>
  <c r="DF423" i="4"/>
  <c r="DD423" i="4" s="1"/>
  <c r="E12" i="16"/>
  <c r="G17" i="16"/>
  <c r="DY431" i="4"/>
  <c r="J194" i="34"/>
  <c r="W193" i="34"/>
  <c r="D12" i="16"/>
  <c r="H18" i="16"/>
  <c r="EB281" i="4"/>
  <c r="EB433" i="4" s="1"/>
  <c r="G24" i="16"/>
  <c r="N51" i="34"/>
  <c r="R51" i="34" s="1"/>
  <c r="Y51" i="34" s="1"/>
  <c r="DF421" i="4"/>
  <c r="DD421" i="4" s="1"/>
  <c r="D11" i="16"/>
  <c r="DF426" i="4"/>
  <c r="DD426" i="4" s="1"/>
  <c r="R14" i="16"/>
  <c r="EB424" i="4"/>
  <c r="ED424" i="4" s="1"/>
  <c r="EB47" i="4"/>
  <c r="EB413" i="4" s="1"/>
  <c r="ED413" i="4" s="1"/>
  <c r="N46" i="34"/>
  <c r="R46" i="34" s="1"/>
  <c r="Y46" i="34" s="1"/>
  <c r="R306" i="34"/>
  <c r="Y306" i="34" s="1"/>
  <c r="R325" i="34"/>
  <c r="Y325" i="34" s="1"/>
  <c r="Y321" i="34"/>
  <c r="G52" i="16"/>
  <c r="G13" i="16"/>
  <c r="I12" i="16"/>
  <c r="U12" i="16" s="1"/>
  <c r="G29" i="16"/>
  <c r="H13" i="16"/>
  <c r="Y318" i="34"/>
  <c r="N12" i="34"/>
  <c r="R12" i="34" s="1"/>
  <c r="Y12" i="34" s="1"/>
  <c r="Y320" i="34"/>
  <c r="N9" i="34"/>
  <c r="Z311" i="34"/>
  <c r="G30" i="16"/>
  <c r="EB423" i="4"/>
  <c r="ED423" i="4" s="1"/>
  <c r="R9" i="34"/>
  <c r="Y9" i="34" s="1"/>
  <c r="R105" i="16"/>
  <c r="H8" i="16"/>
  <c r="DF414" i="4"/>
  <c r="DD414" i="4" s="1"/>
  <c r="DF422" i="4"/>
  <c r="DD422" i="4" s="1"/>
  <c r="DF420" i="4"/>
  <c r="DD420" i="4" s="1"/>
  <c r="R104" i="16"/>
  <c r="N53" i="34"/>
  <c r="R53" i="34" s="1"/>
  <c r="Y53" i="34" s="1"/>
  <c r="EB426" i="4"/>
  <c r="ED426" i="4" s="1"/>
  <c r="E30" i="16"/>
  <c r="DF418" i="4"/>
  <c r="DD418" i="4" s="1"/>
  <c r="DD416" i="4"/>
  <c r="Q37" i="16"/>
  <c r="D29" i="16"/>
  <c r="DM445" i="4"/>
  <c r="DM448" i="4" s="1"/>
  <c r="DF411" i="4"/>
  <c r="DD411" i="4" s="1"/>
  <c r="EB421" i="4"/>
  <c r="ED421" i="4" s="1"/>
  <c r="E15" i="16"/>
  <c r="E29" i="16"/>
  <c r="D28" i="16"/>
  <c r="I28" i="16"/>
  <c r="Q46" i="16"/>
  <c r="I82" i="16"/>
  <c r="U82" i="16" s="1"/>
  <c r="E33" i="16"/>
  <c r="H31" i="16"/>
  <c r="Q96" i="16"/>
  <c r="D15" i="16"/>
  <c r="N25" i="34"/>
  <c r="R25" i="34" s="1"/>
  <c r="Y25" i="34" s="1"/>
  <c r="EB420" i="4"/>
  <c r="ED420" i="4" s="1"/>
  <c r="H10" i="16"/>
  <c r="EB415" i="4"/>
  <c r="ED415" i="4" s="1"/>
  <c r="EB416" i="4"/>
  <c r="ED416" i="4" s="1"/>
  <c r="EB414" i="4"/>
  <c r="H15" i="16"/>
  <c r="E14" i="16"/>
  <c r="D9" i="16"/>
  <c r="D104" i="16"/>
  <c r="Q31" i="16"/>
  <c r="D38" i="16"/>
  <c r="G43" i="16"/>
  <c r="G33" i="16"/>
  <c r="N11" i="34"/>
  <c r="R11" i="34" s="1"/>
  <c r="Y11" i="34" s="1"/>
  <c r="D30" i="16"/>
  <c r="G46" i="16"/>
  <c r="D40" i="16"/>
  <c r="D14" i="16"/>
  <c r="G31" i="16"/>
  <c r="H46" i="16"/>
  <c r="R96" i="16"/>
  <c r="E148" i="16"/>
  <c r="D41" i="16"/>
  <c r="I30" i="16"/>
  <c r="U30" i="16" s="1"/>
  <c r="D31" i="16"/>
  <c r="R21" i="16"/>
  <c r="Q20" i="16"/>
  <c r="R115" i="16"/>
  <c r="I43" i="16"/>
  <c r="R314" i="34"/>
  <c r="Y314" i="34" s="1"/>
  <c r="Z318" i="34"/>
  <c r="R309" i="34"/>
  <c r="Y309" i="34" s="1"/>
  <c r="Z321" i="34"/>
  <c r="R322" i="34"/>
  <c r="Y322" i="34" s="1"/>
  <c r="G8" i="16"/>
  <c r="G9" i="16"/>
  <c r="H9" i="16"/>
  <c r="I9" i="16"/>
  <c r="H48" i="16"/>
  <c r="G48" i="16"/>
  <c r="DY432" i="4"/>
  <c r="FI349" i="4"/>
  <c r="H43" i="16"/>
  <c r="G49" i="16"/>
  <c r="H49" i="16"/>
  <c r="EK2" i="4"/>
  <c r="G11" i="16"/>
  <c r="I10" i="16"/>
  <c r="U10" i="16" s="1"/>
  <c r="H11" i="16"/>
  <c r="G10" i="16"/>
  <c r="I193" i="34"/>
  <c r="Q35" i="16"/>
  <c r="I48" i="16"/>
  <c r="G44" i="16"/>
  <c r="DF424" i="4"/>
  <c r="DD424" i="4" s="1"/>
  <c r="J193" i="34"/>
  <c r="E35" i="16"/>
  <c r="I31" i="16"/>
  <c r="J33" i="16" s="1"/>
  <c r="N38" i="34"/>
  <c r="R38" i="34" s="1"/>
  <c r="Y38" i="34" s="1"/>
  <c r="I49" i="16"/>
  <c r="U49" i="16" s="1"/>
  <c r="EB411" i="4"/>
  <c r="ED411" i="4" s="1"/>
  <c r="Q23" i="16"/>
  <c r="G50" i="16"/>
  <c r="U26" i="16"/>
  <c r="I38" i="16"/>
  <c r="U38" i="16" s="1"/>
  <c r="R24" i="16"/>
  <c r="R48" i="16"/>
  <c r="Q34" i="16"/>
  <c r="DI433" i="4"/>
  <c r="H51" i="16"/>
  <c r="G51" i="16"/>
  <c r="I50" i="16"/>
  <c r="U50" i="16" s="1"/>
  <c r="H50" i="16"/>
  <c r="N26" i="34"/>
  <c r="R26" i="34" s="1"/>
  <c r="Y26" i="34" s="1"/>
  <c r="N41" i="34"/>
  <c r="R41" i="34" s="1"/>
  <c r="Y41" i="34" s="1"/>
  <c r="N15" i="34"/>
  <c r="R15" i="34" s="1"/>
  <c r="Y15" i="34" s="1"/>
  <c r="N16" i="34"/>
  <c r="R16" i="34" s="1"/>
  <c r="Y16" i="34" s="1"/>
  <c r="N48" i="34"/>
  <c r="R48" i="34" s="1"/>
  <c r="Y48" i="34" s="1"/>
  <c r="N44" i="34"/>
  <c r="R44" i="34" s="1"/>
  <c r="Y44" i="34" s="1"/>
  <c r="N17" i="34"/>
  <c r="R17" i="34" s="1"/>
  <c r="Y17" i="34" s="1"/>
  <c r="G23" i="16"/>
  <c r="H24" i="16"/>
  <c r="H23" i="16"/>
  <c r="H33" i="16"/>
  <c r="I23" i="16"/>
  <c r="R324" i="34"/>
  <c r="Y324" i="34" s="1"/>
  <c r="Z315" i="34"/>
  <c r="N31" i="34"/>
  <c r="R31" i="34" s="1"/>
  <c r="Y31" i="34" s="1"/>
  <c r="Q89" i="16"/>
  <c r="DJ436" i="4"/>
  <c r="I16" i="16"/>
  <c r="H195" i="34"/>
  <c r="Q88" i="16"/>
  <c r="EH428" i="4"/>
  <c r="R47" i="16"/>
  <c r="R33" i="16"/>
  <c r="H16" i="16"/>
  <c r="DF434" i="4"/>
  <c r="G16" i="16"/>
  <c r="D18" i="16"/>
  <c r="Q33" i="16"/>
  <c r="R34" i="16"/>
  <c r="Q52" i="16"/>
  <c r="N47" i="34"/>
  <c r="R47" i="34" s="1"/>
  <c r="Y47" i="34" s="1"/>
  <c r="H17" i="16"/>
  <c r="E139" i="16"/>
  <c r="I17" i="16"/>
  <c r="U17" i="16" s="1"/>
  <c r="E18" i="16"/>
  <c r="I7" i="16"/>
  <c r="U7" i="16" s="1"/>
  <c r="DJ437" i="4"/>
  <c r="N8" i="34"/>
  <c r="R8" i="34" s="1"/>
  <c r="Y8" i="34" s="1"/>
  <c r="Q28" i="16"/>
  <c r="R26" i="16"/>
  <c r="DK445" i="4"/>
  <c r="I138" i="16"/>
  <c r="U138" i="16" s="1"/>
  <c r="E17" i="16"/>
  <c r="R114" i="16"/>
  <c r="E80" i="16"/>
  <c r="N22" i="34"/>
  <c r="R22" i="34" s="1"/>
  <c r="Y22" i="34" s="1"/>
  <c r="E79" i="16"/>
  <c r="N23" i="34"/>
  <c r="R23" i="34" s="1"/>
  <c r="Y23" i="34" s="1"/>
  <c r="Q113" i="16"/>
  <c r="Q114" i="16"/>
  <c r="H7" i="16"/>
  <c r="D90" i="16"/>
  <c r="EB431" i="4"/>
  <c r="ED431" i="4" s="1"/>
  <c r="L194" i="34"/>
  <c r="N54" i="34"/>
  <c r="R54" i="34" s="1"/>
  <c r="Y54" i="34" s="1"/>
  <c r="Q43" i="16"/>
  <c r="I89" i="16"/>
  <c r="U89" i="16" s="1"/>
  <c r="Q42" i="16"/>
  <c r="E41" i="16"/>
  <c r="Q152" i="34"/>
  <c r="Q130" i="16"/>
  <c r="R12" i="16"/>
  <c r="I139" i="16"/>
  <c r="H80" i="16"/>
  <c r="I109" i="16"/>
  <c r="U109" i="16" s="1"/>
  <c r="Q14" i="16"/>
  <c r="I145" i="16"/>
  <c r="U145" i="16" s="1"/>
  <c r="I62" i="16"/>
  <c r="U62" i="16" s="1"/>
  <c r="R62" i="16"/>
  <c r="Q12" i="16"/>
  <c r="E127" i="16"/>
  <c r="R95" i="16"/>
  <c r="R111" i="16"/>
  <c r="R13" i="16"/>
  <c r="R25" i="16"/>
  <c r="R42" i="16"/>
  <c r="R57" i="16"/>
  <c r="Q48" i="16"/>
  <c r="Q15" i="16"/>
  <c r="Q38" i="16"/>
  <c r="R37" i="16"/>
  <c r="R20" i="16"/>
  <c r="I118" i="16"/>
  <c r="U118" i="16" s="1"/>
  <c r="D139" i="16"/>
  <c r="Q57" i="16"/>
  <c r="R38" i="16"/>
  <c r="R15" i="16"/>
  <c r="G20" i="16"/>
  <c r="R72" i="16"/>
  <c r="E52" i="16"/>
  <c r="R78" i="16"/>
  <c r="R31" i="16"/>
  <c r="Q145" i="16"/>
  <c r="Q54" i="16"/>
  <c r="R46" i="16"/>
  <c r="R103" i="16"/>
  <c r="D43" i="16"/>
  <c r="D146" i="16"/>
  <c r="Q26" i="16"/>
  <c r="D52" i="16"/>
  <c r="E53" i="16"/>
  <c r="D53" i="16"/>
  <c r="Q125" i="16"/>
  <c r="Q66" i="16"/>
  <c r="P194" i="16"/>
  <c r="R28" i="16"/>
  <c r="R27" i="16"/>
  <c r="Q21" i="16"/>
  <c r="Q106" i="16"/>
  <c r="R101" i="16"/>
  <c r="Q105" i="16"/>
  <c r="Q78" i="16"/>
  <c r="Q29" i="16"/>
  <c r="Q27" i="16"/>
  <c r="Q81" i="16"/>
  <c r="R130" i="16"/>
  <c r="R30" i="16"/>
  <c r="R22" i="16"/>
  <c r="Q115" i="16"/>
  <c r="U22" i="16"/>
  <c r="R23" i="16"/>
  <c r="E104" i="16"/>
  <c r="R39" i="16"/>
  <c r="E145" i="16"/>
  <c r="I103" i="16"/>
  <c r="R56" i="16"/>
  <c r="Q44" i="16"/>
  <c r="Q75" i="16"/>
  <c r="Q120" i="16"/>
  <c r="R40" i="16"/>
  <c r="Q50" i="16"/>
  <c r="R10" i="16"/>
  <c r="Q47" i="16"/>
  <c r="Q51" i="16"/>
  <c r="R106" i="16"/>
  <c r="Q74" i="16"/>
  <c r="Q72" i="16"/>
  <c r="R49" i="16"/>
  <c r="E119" i="16"/>
  <c r="R52" i="16"/>
  <c r="R51" i="16"/>
  <c r="Q22" i="16"/>
  <c r="Q18" i="16"/>
  <c r="R88" i="16"/>
  <c r="Q70" i="16"/>
  <c r="R44" i="16"/>
  <c r="Q39" i="16"/>
  <c r="Q107" i="16"/>
  <c r="R43" i="16"/>
  <c r="Q49" i="16"/>
  <c r="D108" i="16"/>
  <c r="R8" i="16"/>
  <c r="R50" i="16"/>
  <c r="E138" i="16"/>
  <c r="I92" i="16"/>
  <c r="U92" i="16" s="1"/>
  <c r="I79" i="16"/>
  <c r="U79" i="16" s="1"/>
  <c r="G34" i="16"/>
  <c r="D88" i="16"/>
  <c r="I65" i="16"/>
  <c r="U65" i="16" s="1"/>
  <c r="Q56" i="16"/>
  <c r="Q25" i="16"/>
  <c r="Q24" i="16"/>
  <c r="R7" i="16"/>
  <c r="R29" i="16"/>
  <c r="G89" i="16"/>
  <c r="E147" i="16"/>
  <c r="R134" i="16"/>
  <c r="I88" i="16"/>
  <c r="U88" i="16" s="1"/>
  <c r="F192" i="16"/>
  <c r="Q41" i="16"/>
  <c r="E141" i="16"/>
  <c r="G18" i="16"/>
  <c r="D89" i="16"/>
  <c r="R18" i="16"/>
  <c r="P193" i="16"/>
  <c r="E108" i="16"/>
  <c r="E114" i="16"/>
  <c r="Q30" i="16"/>
  <c r="R139" i="16"/>
  <c r="I107" i="16"/>
  <c r="U107" i="16" s="1"/>
  <c r="Q95" i="16"/>
  <c r="D109" i="16"/>
  <c r="D135" i="16"/>
  <c r="Q94" i="16"/>
  <c r="Q100" i="16"/>
  <c r="Q7" i="16"/>
  <c r="R75" i="16"/>
  <c r="N52" i="34"/>
  <c r="R52" i="34" s="1"/>
  <c r="Y52" i="34" s="1"/>
  <c r="G7" i="16"/>
  <c r="H143" i="16"/>
  <c r="G128" i="16"/>
  <c r="G111" i="16"/>
  <c r="H14" i="16"/>
  <c r="I122" i="16"/>
  <c r="U122" i="16" s="1"/>
  <c r="G143" i="16"/>
  <c r="G144" i="16"/>
  <c r="EM275" i="4"/>
  <c r="R120" i="16"/>
  <c r="Q104" i="16"/>
  <c r="Q103" i="16"/>
  <c r="Q55" i="16"/>
  <c r="E65" i="16"/>
  <c r="R82" i="16"/>
  <c r="I143" i="16"/>
  <c r="U143" i="16" s="1"/>
  <c r="G150" i="16"/>
  <c r="I151" i="16"/>
  <c r="U151" i="16" s="1"/>
  <c r="I57" i="16"/>
  <c r="U57" i="16" s="1"/>
  <c r="G80" i="16"/>
  <c r="H129" i="16"/>
  <c r="H142" i="16"/>
  <c r="R143" i="16"/>
  <c r="Q142" i="16"/>
  <c r="R125" i="16"/>
  <c r="EB304" i="4"/>
  <c r="EB435" i="4" s="1"/>
  <c r="ED435" i="4" s="1"/>
  <c r="DF435" i="4"/>
  <c r="Q8" i="16"/>
  <c r="Q9" i="16"/>
  <c r="R9" i="16"/>
  <c r="Q79" i="16"/>
  <c r="R80" i="16"/>
  <c r="EN263" i="4"/>
  <c r="R98" i="16"/>
  <c r="R99" i="16"/>
  <c r="R135" i="16"/>
  <c r="K204" i="34"/>
  <c r="FI338" i="4"/>
  <c r="Q116" i="16"/>
  <c r="R116" i="16"/>
  <c r="E144" i="16"/>
  <c r="D145" i="16"/>
  <c r="Q126" i="16"/>
  <c r="R126" i="16"/>
  <c r="E20" i="16"/>
  <c r="D20" i="16"/>
  <c r="R107" i="16"/>
  <c r="D73" i="16"/>
  <c r="N64" i="34"/>
  <c r="R64" i="34" s="1"/>
  <c r="Y64" i="34" s="1"/>
  <c r="D61" i="16"/>
  <c r="DD435" i="4"/>
  <c r="FI382" i="4"/>
  <c r="J204" i="34"/>
  <c r="N36" i="34"/>
  <c r="R36" i="34" s="1"/>
  <c r="Y36" i="34" s="1"/>
  <c r="Q16" i="16"/>
  <c r="R16" i="16"/>
  <c r="G15" i="16"/>
  <c r="I14" i="16"/>
  <c r="U14" i="16" s="1"/>
  <c r="H130" i="16"/>
  <c r="R100" i="16"/>
  <c r="DJ435" i="4"/>
  <c r="D99" i="16"/>
  <c r="I61" i="16"/>
  <c r="U61" i="16" s="1"/>
  <c r="Q131" i="16"/>
  <c r="DW432" i="4"/>
  <c r="E21" i="16"/>
  <c r="H28" i="16"/>
  <c r="G27" i="16"/>
  <c r="Q127" i="16"/>
  <c r="Q108" i="16"/>
  <c r="D119" i="16"/>
  <c r="FI331" i="4"/>
  <c r="L196" i="34"/>
  <c r="E56" i="16"/>
  <c r="D62" i="16"/>
  <c r="I111" i="16"/>
  <c r="U111" i="16" s="1"/>
  <c r="H124" i="16"/>
  <c r="H79" i="16"/>
  <c r="H55" i="16"/>
  <c r="ED414" i="4"/>
  <c r="Q150" i="34"/>
  <c r="G81" i="16"/>
  <c r="DW431" i="4"/>
  <c r="G120" i="16"/>
  <c r="H38" i="16"/>
  <c r="H35" i="16"/>
  <c r="H69" i="16"/>
  <c r="H112" i="16"/>
  <c r="G142" i="16"/>
  <c r="H107" i="16"/>
  <c r="I94" i="16"/>
  <c r="I35" i="16"/>
  <c r="U35" i="16" s="1"/>
  <c r="G78" i="16"/>
  <c r="G35" i="16"/>
  <c r="G122" i="16"/>
  <c r="G38" i="16"/>
  <c r="N107" i="34"/>
  <c r="R107" i="34" s="1"/>
  <c r="Y107" i="34" s="1"/>
  <c r="N27" i="34"/>
  <c r="R27" i="34" s="1"/>
  <c r="Y27" i="34" s="1"/>
  <c r="FI373" i="4"/>
  <c r="I67" i="16"/>
  <c r="U67" i="16" s="1"/>
  <c r="N39" i="34"/>
  <c r="R39" i="34" s="1"/>
  <c r="Y39" i="34" s="1"/>
  <c r="D128" i="16"/>
  <c r="D79" i="16"/>
  <c r="Q139" i="16"/>
  <c r="FI359" i="4"/>
  <c r="FI342" i="4"/>
  <c r="I101" i="16"/>
  <c r="U101" i="16" s="1"/>
  <c r="D114" i="16"/>
  <c r="I106" i="16"/>
  <c r="U106" i="16" s="1"/>
  <c r="H39" i="16"/>
  <c r="DY426" i="4"/>
  <c r="EN281" i="4"/>
  <c r="DW423" i="4"/>
  <c r="G55" i="16"/>
  <c r="D144" i="16"/>
  <c r="EN275" i="4"/>
  <c r="EH431" i="4"/>
  <c r="EK5" i="4" s="1"/>
  <c r="EU6" i="4" s="1"/>
  <c r="EM281" i="4"/>
  <c r="E40" i="16"/>
  <c r="Q82" i="16"/>
  <c r="FI333" i="4"/>
  <c r="G96" i="16"/>
  <c r="G67" i="16"/>
  <c r="G39" i="16"/>
  <c r="H41" i="16"/>
  <c r="G104" i="16"/>
  <c r="G42" i="16"/>
  <c r="H103" i="16"/>
  <c r="G140" i="16"/>
  <c r="I96" i="16"/>
  <c r="U96" i="16" s="1"/>
  <c r="I39" i="16"/>
  <c r="H78" i="16"/>
  <c r="G103" i="16"/>
  <c r="H104" i="16"/>
  <c r="G73" i="16"/>
  <c r="I41" i="16"/>
  <c r="U41" i="16" s="1"/>
  <c r="G65" i="16"/>
  <c r="H66" i="16"/>
  <c r="G121" i="16"/>
  <c r="G14" i="16"/>
  <c r="H113" i="16"/>
  <c r="I5" i="16"/>
  <c r="G28" i="16"/>
  <c r="H20" i="16"/>
  <c r="I18" i="16"/>
  <c r="N62" i="34"/>
  <c r="R62" i="34" s="1"/>
  <c r="Y62" i="34" s="1"/>
  <c r="N146" i="34"/>
  <c r="N85" i="34"/>
  <c r="R85" i="34" s="1"/>
  <c r="N80" i="34"/>
  <c r="R80" i="34" s="1"/>
  <c r="Y80" i="34" s="1"/>
  <c r="N92" i="34"/>
  <c r="R92" i="34" s="1"/>
  <c r="Y92" i="34" s="1"/>
  <c r="N35" i="34"/>
  <c r="R35" i="34" s="1"/>
  <c r="Y35" i="34" s="1"/>
  <c r="N151" i="34"/>
  <c r="R151" i="34" s="1"/>
  <c r="Y151" i="34" s="1"/>
  <c r="N154" i="34"/>
  <c r="N121" i="34"/>
  <c r="R121" i="34" s="1"/>
  <c r="Y121" i="34" s="1"/>
  <c r="N49" i="34"/>
  <c r="R49" i="34" s="1"/>
  <c r="Y49" i="34" s="1"/>
  <c r="N122" i="34"/>
  <c r="R122" i="34" s="1"/>
  <c r="Y122" i="34" s="1"/>
  <c r="D148" i="16"/>
  <c r="Q121" i="16"/>
  <c r="R121" i="16"/>
  <c r="EB335" i="4"/>
  <c r="EB437" i="4" s="1"/>
  <c r="DF437" i="4"/>
  <c r="E102" i="16"/>
  <c r="D102" i="16"/>
  <c r="G36" i="16"/>
  <c r="F193" i="16"/>
  <c r="H54" i="16"/>
  <c r="G54" i="16"/>
  <c r="G112" i="16"/>
  <c r="G141" i="16"/>
  <c r="H140" i="16"/>
  <c r="D80" i="16"/>
  <c r="Q122" i="16"/>
  <c r="O204" i="34"/>
  <c r="FI366" i="4"/>
  <c r="E109" i="16"/>
  <c r="D111" i="16"/>
  <c r="EH433" i="4"/>
  <c r="EK7" i="4" s="1"/>
  <c r="FA8" i="4" s="1"/>
  <c r="N50" i="34"/>
  <c r="R50" i="34" s="1"/>
  <c r="Y50" i="34" s="1"/>
  <c r="EK3" i="4"/>
  <c r="EO4" i="4" s="1"/>
  <c r="EH429" i="4"/>
  <c r="H141" i="16"/>
  <c r="I80" i="16"/>
  <c r="U80" i="16" s="1"/>
  <c r="FI357" i="4"/>
  <c r="FI356" i="4"/>
  <c r="D103" i="16"/>
  <c r="I147" i="16"/>
  <c r="U147" i="16" s="1"/>
  <c r="Q112" i="16"/>
  <c r="R113" i="16"/>
  <c r="E103" i="16"/>
  <c r="E125" i="16"/>
  <c r="FI341" i="4"/>
  <c r="G56" i="16"/>
  <c r="L63" i="34"/>
  <c r="L197" i="34" s="1"/>
  <c r="DW304" i="4"/>
  <c r="DW435" i="4" s="1"/>
  <c r="DS435" i="4"/>
  <c r="F63" i="16"/>
  <c r="H64" i="16" s="1"/>
  <c r="E34" i="16"/>
  <c r="C193" i="16"/>
  <c r="D147" i="16"/>
  <c r="H90" i="16"/>
  <c r="Q77" i="16"/>
  <c r="N138" i="34"/>
  <c r="R138" i="34" s="1"/>
  <c r="Y138" i="34" s="1"/>
  <c r="FI320" i="4"/>
  <c r="FI322" i="4"/>
  <c r="N82" i="34"/>
  <c r="R82" i="34" s="1"/>
  <c r="Y82" i="34" s="1"/>
  <c r="DW419" i="4"/>
  <c r="DW415" i="4"/>
  <c r="FI362" i="4"/>
  <c r="I99" i="16"/>
  <c r="U99" i="16" s="1"/>
  <c r="G94" i="16"/>
  <c r="H99" i="16"/>
  <c r="N61" i="34"/>
  <c r="R61" i="34" s="1"/>
  <c r="Y61" i="34" s="1"/>
  <c r="FI318" i="4"/>
  <c r="R142" i="16"/>
  <c r="Q62" i="16"/>
  <c r="I150" i="16"/>
  <c r="I128" i="16"/>
  <c r="U128" i="16" s="1"/>
  <c r="I54" i="16"/>
  <c r="K54" i="16" s="1"/>
  <c r="Q68" i="16"/>
  <c r="FI374" i="4"/>
  <c r="D118" i="16"/>
  <c r="E111" i="16"/>
  <c r="U53" i="16"/>
  <c r="N126" i="34"/>
  <c r="R126" i="34" s="1"/>
  <c r="Y126" i="34" s="1"/>
  <c r="E115" i="16"/>
  <c r="H111" i="16"/>
  <c r="I78" i="16"/>
  <c r="R17" i="16"/>
  <c r="D101" i="16"/>
  <c r="Q119" i="16"/>
  <c r="DY422" i="4"/>
  <c r="H133" i="16"/>
  <c r="N142" i="34"/>
  <c r="R142" i="34" s="1"/>
  <c r="Y142" i="34" s="1"/>
  <c r="N119" i="34"/>
  <c r="R119" i="34" s="1"/>
  <c r="Y119" i="34" s="1"/>
  <c r="FI368" i="4"/>
  <c r="N96" i="34"/>
  <c r="R96" i="34" s="1"/>
  <c r="Y96" i="34" s="1"/>
  <c r="H132" i="16"/>
  <c r="E140" i="16"/>
  <c r="G108" i="16"/>
  <c r="N103" i="34"/>
  <c r="R103" i="34" s="1"/>
  <c r="Y103" i="34" s="1"/>
  <c r="D126" i="16"/>
  <c r="J196" i="34"/>
  <c r="DY425" i="4"/>
  <c r="DW421" i="4"/>
  <c r="EB429" i="4"/>
  <c r="ED429" i="4" s="1"/>
  <c r="DY428" i="4"/>
  <c r="Q17" i="16"/>
  <c r="R152" i="16"/>
  <c r="Q153" i="16"/>
  <c r="Q152" i="16"/>
  <c r="D152" i="16"/>
  <c r="E152" i="16"/>
  <c r="E151" i="16"/>
  <c r="R77" i="16"/>
  <c r="R79" i="16"/>
  <c r="I102" i="16"/>
  <c r="U102" i="16" s="1"/>
  <c r="G102" i="16"/>
  <c r="H102" i="16"/>
  <c r="DW429" i="4"/>
  <c r="R140" i="16"/>
  <c r="Q141" i="16"/>
  <c r="J203" i="34"/>
  <c r="C202" i="16"/>
  <c r="FI339" i="4"/>
  <c r="D117" i="16"/>
  <c r="E117" i="16"/>
  <c r="E116" i="16"/>
  <c r="D116" i="16"/>
  <c r="E105" i="16"/>
  <c r="D105" i="16"/>
  <c r="Q69" i="16"/>
  <c r="R69" i="16"/>
  <c r="I40" i="16"/>
  <c r="G40" i="16"/>
  <c r="G41" i="16"/>
  <c r="H40" i="16"/>
  <c r="I152" i="16"/>
  <c r="G152" i="16"/>
  <c r="H152" i="16"/>
  <c r="I130" i="16"/>
  <c r="U130" i="16" s="1"/>
  <c r="E131" i="16"/>
  <c r="Q146" i="16"/>
  <c r="R146" i="16"/>
  <c r="D120" i="16"/>
  <c r="E120" i="16"/>
  <c r="I142" i="16"/>
  <c r="U142" i="16" s="1"/>
  <c r="E143" i="16"/>
  <c r="D143" i="16"/>
  <c r="E99" i="16"/>
  <c r="H94" i="16"/>
  <c r="I154" i="16"/>
  <c r="J155" i="16" s="1"/>
  <c r="I113" i="16"/>
  <c r="U113" i="16" s="1"/>
  <c r="G113" i="16"/>
  <c r="D151" i="16"/>
  <c r="Q86" i="16"/>
  <c r="Q87" i="16"/>
  <c r="N135" i="34"/>
  <c r="R135" i="34" s="1"/>
  <c r="Y135" i="34" s="1"/>
  <c r="R91" i="16"/>
  <c r="Q91" i="16"/>
  <c r="Q92" i="16"/>
  <c r="R92" i="16"/>
  <c r="H135" i="16"/>
  <c r="G135" i="16"/>
  <c r="D155" i="16"/>
  <c r="E154" i="16"/>
  <c r="DF440" i="4"/>
  <c r="Q80" i="16"/>
  <c r="J195" i="34"/>
  <c r="N33" i="34"/>
  <c r="R33" i="34" s="1"/>
  <c r="Y33" i="34" s="1"/>
  <c r="D36" i="16"/>
  <c r="E36" i="16"/>
  <c r="D37" i="16"/>
  <c r="E37" i="16"/>
  <c r="EM263" i="4"/>
  <c r="DY429" i="4"/>
  <c r="EK4" i="4"/>
  <c r="FF241" i="4"/>
  <c r="EH430" i="4"/>
  <c r="D131" i="16"/>
  <c r="I134" i="16"/>
  <c r="U134" i="16" s="1"/>
  <c r="Q146" i="34"/>
  <c r="R153" i="16"/>
  <c r="FI317" i="4"/>
  <c r="I148" i="16"/>
  <c r="U148" i="16" s="1"/>
  <c r="G148" i="16"/>
  <c r="I120" i="16"/>
  <c r="U120" i="16" s="1"/>
  <c r="R147" i="16"/>
  <c r="FI354" i="4"/>
  <c r="FI345" i="4"/>
  <c r="J201" i="34"/>
  <c r="Q63" i="16"/>
  <c r="R63" i="16"/>
  <c r="Q61" i="16"/>
  <c r="R61" i="16"/>
  <c r="DW416" i="4"/>
  <c r="DY423" i="4"/>
  <c r="EB440" i="4"/>
  <c r="DW411" i="4"/>
  <c r="E89" i="16"/>
  <c r="DW424" i="4"/>
  <c r="N137" i="34"/>
  <c r="R137" i="34" s="1"/>
  <c r="Y137" i="34" s="1"/>
  <c r="DY433" i="4"/>
  <c r="DW433" i="4"/>
  <c r="G131" i="16"/>
  <c r="H108" i="16"/>
  <c r="FI352" i="4"/>
  <c r="R131" i="16"/>
  <c r="Q117" i="16"/>
  <c r="D115" i="16"/>
  <c r="N95" i="34"/>
  <c r="R95" i="34" s="1"/>
  <c r="Y95" i="34" s="1"/>
  <c r="G90" i="16"/>
  <c r="R81" i="16"/>
  <c r="EH435" i="4"/>
  <c r="G79" i="16"/>
  <c r="H36" i="16"/>
  <c r="H147" i="16"/>
  <c r="I108" i="16"/>
  <c r="FI378" i="4"/>
  <c r="D140" i="16"/>
  <c r="E90" i="16"/>
  <c r="DN445" i="4"/>
  <c r="DN448" i="4" s="1"/>
  <c r="I105" i="16"/>
  <c r="FI316" i="4"/>
  <c r="DW414" i="4"/>
  <c r="R151" i="16"/>
  <c r="D34" i="16"/>
  <c r="I135" i="16"/>
  <c r="U135" i="16" s="1"/>
  <c r="DY439" i="4"/>
  <c r="FI365" i="4"/>
  <c r="FI370" i="4"/>
  <c r="D150" i="16"/>
  <c r="EH434" i="4"/>
  <c r="EK8" i="4" s="1"/>
  <c r="DF431" i="4"/>
  <c r="DD431" i="4" s="1"/>
  <c r="K195" i="34"/>
  <c r="R11" i="16"/>
  <c r="Q10" i="16"/>
  <c r="Q11" i="16"/>
  <c r="EH432" i="4"/>
  <c r="EK6" i="4" s="1"/>
  <c r="I198" i="34"/>
  <c r="DW430" i="4"/>
  <c r="H109" i="16"/>
  <c r="FI350" i="4"/>
  <c r="EH440" i="4"/>
  <c r="FI335" i="4"/>
  <c r="R117" i="16"/>
  <c r="DF438" i="4"/>
  <c r="FI326" i="4"/>
  <c r="FI324" i="4"/>
  <c r="N68" i="34"/>
  <c r="R68" i="34" s="1"/>
  <c r="Y68" i="34" s="1"/>
  <c r="N67" i="34"/>
  <c r="R67" i="34" s="1"/>
  <c r="Y67" i="34" s="1"/>
  <c r="N65" i="34"/>
  <c r="R65" i="34" s="1"/>
  <c r="Y65" i="34" s="1"/>
  <c r="I20" i="16"/>
  <c r="U20" i="16" s="1"/>
  <c r="D132" i="16"/>
  <c r="R112" i="16"/>
  <c r="E150" i="16"/>
  <c r="I140" i="16"/>
  <c r="U140" i="16" s="1"/>
  <c r="P203" i="34"/>
  <c r="G109" i="16"/>
  <c r="N40" i="34"/>
  <c r="R40" i="34" s="1"/>
  <c r="Y40" i="34" s="1"/>
  <c r="N60" i="34"/>
  <c r="R60" i="34" s="1"/>
  <c r="Y60" i="34" s="1"/>
  <c r="I34" i="16"/>
  <c r="U34" i="16" s="1"/>
  <c r="DW412" i="4"/>
  <c r="DW422" i="4"/>
  <c r="DY430" i="4"/>
  <c r="DW413" i="4"/>
  <c r="Q147" i="16"/>
  <c r="R55" i="16"/>
  <c r="D35" i="16"/>
  <c r="Q153" i="34"/>
  <c r="H204" i="34"/>
  <c r="D154" i="16"/>
  <c r="D125" i="16"/>
  <c r="EB434" i="4"/>
  <c r="ED434" i="4" s="1"/>
  <c r="DW418" i="4"/>
  <c r="DY424" i="4"/>
  <c r="E24" i="16"/>
  <c r="D24" i="16"/>
  <c r="E23" i="16"/>
  <c r="D23" i="16"/>
  <c r="E39" i="16"/>
  <c r="D39" i="16"/>
  <c r="E43" i="16"/>
  <c r="D44" i="16"/>
  <c r="E44" i="16"/>
  <c r="DW434" i="4"/>
  <c r="FI323" i="4"/>
  <c r="FI337" i="4"/>
  <c r="I59" i="16"/>
  <c r="DW417" i="4"/>
  <c r="R133" i="16"/>
  <c r="FI361" i="4"/>
  <c r="D65" i="16"/>
  <c r="Q143" i="16"/>
  <c r="FI340" i="4"/>
  <c r="FI336" i="4"/>
  <c r="I137" i="16"/>
  <c r="FI372" i="4"/>
  <c r="I124" i="16"/>
  <c r="U124" i="16" s="1"/>
  <c r="FI328" i="4"/>
  <c r="EH437" i="4"/>
  <c r="EH436" i="4"/>
  <c r="DW425" i="4"/>
  <c r="E146" i="16"/>
  <c r="Q135" i="16"/>
  <c r="Q140" i="16"/>
  <c r="N150" i="34"/>
  <c r="FI364" i="4"/>
  <c r="FI360" i="4"/>
  <c r="N131" i="34"/>
  <c r="R131" i="34" s="1"/>
  <c r="Y131" i="34" s="1"/>
  <c r="E129" i="16"/>
  <c r="N125" i="34"/>
  <c r="R125" i="34" s="1"/>
  <c r="Y125" i="34" s="1"/>
  <c r="Q148" i="34"/>
  <c r="J202" i="34"/>
  <c r="N124" i="34"/>
  <c r="R124" i="34" s="1"/>
  <c r="I70" i="16"/>
  <c r="U70" i="16" s="1"/>
  <c r="E118" i="16"/>
  <c r="G130" i="16"/>
  <c r="G114" i="16"/>
  <c r="G93" i="16"/>
  <c r="R313" i="34"/>
  <c r="Y313" i="34" s="1"/>
  <c r="N143" i="34"/>
  <c r="R143" i="34" s="1"/>
  <c r="Y143" i="34" s="1"/>
  <c r="N127" i="34"/>
  <c r="R127" i="34" s="1"/>
  <c r="Y127" i="34" s="1"/>
  <c r="N93" i="34"/>
  <c r="R93" i="34" s="1"/>
  <c r="Y93" i="34" s="1"/>
  <c r="N73" i="34"/>
  <c r="R73" i="34" s="1"/>
  <c r="Y73" i="34" s="1"/>
  <c r="N66" i="34"/>
  <c r="R66" i="34" s="1"/>
  <c r="Y66" i="34" s="1"/>
  <c r="N130" i="34"/>
  <c r="R130" i="34" s="1"/>
  <c r="Y130" i="34" s="1"/>
  <c r="K203" i="34"/>
  <c r="N140" i="34"/>
  <c r="R140" i="34" s="1"/>
  <c r="Y140" i="34" s="1"/>
  <c r="L204" i="34"/>
  <c r="L201" i="34"/>
  <c r="N101" i="34"/>
  <c r="R101" i="34" s="1"/>
  <c r="Y101" i="34" s="1"/>
  <c r="N129" i="34"/>
  <c r="R129" i="34" s="1"/>
  <c r="Y129" i="34" s="1"/>
  <c r="N108" i="34"/>
  <c r="R108" i="34" s="1"/>
  <c r="Y108" i="34" s="1"/>
  <c r="N128" i="34"/>
  <c r="R128" i="34" s="1"/>
  <c r="Y128" i="34" s="1"/>
  <c r="I202" i="34"/>
  <c r="N100" i="34"/>
  <c r="R100" i="34" s="1"/>
  <c r="Y100" i="34" s="1"/>
  <c r="N113" i="34"/>
  <c r="R113" i="34" s="1"/>
  <c r="Y113" i="34" s="1"/>
  <c r="N132" i="34"/>
  <c r="R132" i="34" s="1"/>
  <c r="Y132" i="34" s="1"/>
  <c r="N105" i="34"/>
  <c r="R105" i="34" s="1"/>
  <c r="Y105" i="34" s="1"/>
  <c r="N104" i="34"/>
  <c r="R104" i="34" s="1"/>
  <c r="Y104" i="34" s="1"/>
  <c r="N148" i="34"/>
  <c r="N145" i="34"/>
  <c r="R145" i="34" s="1"/>
  <c r="Y145" i="34" s="1"/>
  <c r="I196" i="34"/>
  <c r="Z317" i="34"/>
  <c r="W156" i="16"/>
  <c r="V156" i="16"/>
  <c r="H83" i="16"/>
  <c r="H67" i="16"/>
  <c r="G87" i="16"/>
  <c r="I121" i="16"/>
  <c r="I66" i="16"/>
  <c r="U66" i="16" s="1"/>
  <c r="I129" i="16"/>
  <c r="U129" i="16" s="1"/>
  <c r="H81" i="16"/>
  <c r="I146" i="16"/>
  <c r="G134" i="16"/>
  <c r="G124" i="16"/>
  <c r="G82" i="16"/>
  <c r="H114" i="16"/>
  <c r="G66" i="16"/>
  <c r="H96" i="16"/>
  <c r="H93" i="16"/>
  <c r="G147" i="16"/>
  <c r="G95" i="16"/>
  <c r="I81" i="16"/>
  <c r="U81" i="16" s="1"/>
  <c r="G129" i="16"/>
  <c r="G151" i="16"/>
  <c r="G125" i="16"/>
  <c r="H122" i="16"/>
  <c r="H95" i="16"/>
  <c r="I77" i="16"/>
  <c r="U77" i="16" s="1"/>
  <c r="G133" i="16"/>
  <c r="G75" i="16"/>
  <c r="H151" i="16"/>
  <c r="H134" i="16"/>
  <c r="N141" i="34"/>
  <c r="R141" i="34" s="1"/>
  <c r="Y141" i="34" s="1"/>
  <c r="N76" i="34"/>
  <c r="R76" i="34" s="1"/>
  <c r="Y76" i="34" s="1"/>
  <c r="N116" i="34"/>
  <c r="R116" i="34" s="1"/>
  <c r="Y116" i="34" s="1"/>
  <c r="H202" i="34"/>
  <c r="N120" i="34"/>
  <c r="R120" i="34" s="1"/>
  <c r="Y120" i="34" s="1"/>
  <c r="H199" i="34"/>
  <c r="N91" i="34"/>
  <c r="R91" i="34" s="1"/>
  <c r="Y91" i="34" s="1"/>
  <c r="N75" i="34"/>
  <c r="R75" i="34" s="1"/>
  <c r="Y75" i="34" s="1"/>
  <c r="R155" i="34"/>
  <c r="M202" i="34"/>
  <c r="N147" i="34"/>
  <c r="R147" i="34" s="1"/>
  <c r="Y147" i="34" s="1"/>
  <c r="N133" i="34"/>
  <c r="R133" i="34" s="1"/>
  <c r="Y133" i="34" s="1"/>
  <c r="I200" i="34"/>
  <c r="N56" i="34"/>
  <c r="R56" i="34" s="1"/>
  <c r="Y56" i="34" s="1"/>
  <c r="H200" i="34"/>
  <c r="N78" i="34"/>
  <c r="R78" i="34" s="1"/>
  <c r="Y78" i="34" s="1"/>
  <c r="H60" i="16"/>
  <c r="H59" i="16"/>
  <c r="H73" i="16"/>
  <c r="H89" i="16"/>
  <c r="G105" i="16"/>
  <c r="I69" i="16"/>
  <c r="U69" i="16" s="1"/>
  <c r="H125" i="16"/>
  <c r="H155" i="16"/>
  <c r="I112" i="16"/>
  <c r="U112" i="16" s="1"/>
  <c r="G127" i="16"/>
  <c r="H100" i="16"/>
  <c r="G77" i="16"/>
  <c r="I93" i="16"/>
  <c r="U93" i="16" s="1"/>
  <c r="H148" i="16"/>
  <c r="H101" i="16"/>
  <c r="F198" i="16"/>
  <c r="H77" i="16"/>
  <c r="H126" i="16"/>
  <c r="G118" i="16"/>
  <c r="Q151" i="16"/>
  <c r="E93" i="16"/>
  <c r="G99" i="16"/>
  <c r="I125" i="16"/>
  <c r="U125" i="16" s="1"/>
  <c r="N98" i="34"/>
  <c r="R98" i="34" s="1"/>
  <c r="Q132" i="16"/>
  <c r="D129" i="16"/>
  <c r="M203" i="34"/>
  <c r="H203" i="34"/>
  <c r="R21" i="34"/>
  <c r="Y21" i="34" s="1"/>
  <c r="G139" i="16"/>
  <c r="H88" i="16"/>
  <c r="H76" i="16"/>
  <c r="G126" i="16"/>
  <c r="H150" i="16"/>
  <c r="H138" i="16"/>
  <c r="N114" i="34"/>
  <c r="R114" i="34" s="1"/>
  <c r="Y114" i="34" s="1"/>
  <c r="G201" i="34"/>
  <c r="D93" i="16"/>
  <c r="N86" i="34"/>
  <c r="R86" i="34" s="1"/>
  <c r="Y86" i="34" s="1"/>
  <c r="N77" i="34"/>
  <c r="R77" i="34" s="1"/>
  <c r="Y77" i="34" s="1"/>
  <c r="D63" i="16"/>
  <c r="R67" i="16"/>
  <c r="I21" i="16"/>
  <c r="E130" i="16"/>
  <c r="E137" i="16"/>
  <c r="Q150" i="16"/>
  <c r="G153" i="16"/>
  <c r="M204" i="34"/>
  <c r="N134" i="34"/>
  <c r="R134" i="34" s="1"/>
  <c r="Y134" i="34" s="1"/>
  <c r="L203" i="34"/>
  <c r="N99" i="34"/>
  <c r="R99" i="34" s="1"/>
  <c r="Y99" i="34" s="1"/>
  <c r="N112" i="34"/>
  <c r="R112" i="34" s="1"/>
  <c r="Y112" i="34" s="1"/>
  <c r="G88" i="16"/>
  <c r="I126" i="16"/>
  <c r="U126" i="16" s="1"/>
  <c r="D113" i="16"/>
  <c r="G100" i="16"/>
  <c r="P195" i="16"/>
  <c r="N152" i="34"/>
  <c r="P200" i="16"/>
  <c r="N109" i="34"/>
  <c r="R109" i="34" s="1"/>
  <c r="Y109" i="34" s="1"/>
  <c r="R68" i="16"/>
  <c r="K201" i="34"/>
  <c r="J200" i="34"/>
  <c r="H131" i="16"/>
  <c r="G98" i="16"/>
  <c r="N57" i="34"/>
  <c r="R57" i="34" s="1"/>
  <c r="Y57" i="34" s="1"/>
  <c r="G132" i="16"/>
  <c r="I131" i="16"/>
  <c r="U131" i="16" s="1"/>
  <c r="H105" i="16"/>
  <c r="H106" i="16"/>
  <c r="G106" i="16"/>
  <c r="R141" i="16"/>
  <c r="G200" i="34"/>
  <c r="K196" i="34"/>
  <c r="I73" i="16"/>
  <c r="U73" i="16" s="1"/>
  <c r="Y43" i="34"/>
  <c r="P204" i="34"/>
  <c r="I203" i="34"/>
  <c r="H128" i="16"/>
  <c r="E126" i="16"/>
  <c r="D130" i="16"/>
  <c r="Q67" i="16"/>
  <c r="N102" i="34"/>
  <c r="R102" i="34" s="1"/>
  <c r="Y102" i="34" s="1"/>
  <c r="I133" i="16"/>
  <c r="U133" i="16" s="1"/>
  <c r="I197" i="34"/>
  <c r="H98" i="16"/>
  <c r="L198" i="34"/>
  <c r="H139" i="16"/>
  <c r="H127" i="16"/>
  <c r="F200" i="16"/>
  <c r="I127" i="16"/>
  <c r="C200" i="34"/>
  <c r="I98" i="16"/>
  <c r="C92" i="34"/>
  <c r="N69" i="34"/>
  <c r="R69" i="34" s="1"/>
  <c r="Y69" i="34" s="1"/>
  <c r="G101" i="16"/>
  <c r="N83" i="34"/>
  <c r="R83" i="34" s="1"/>
  <c r="Y83" i="34" s="1"/>
  <c r="E153" i="16"/>
  <c r="D21" i="16"/>
  <c r="E135" i="16"/>
  <c r="E63" i="16"/>
  <c r="D112" i="16"/>
  <c r="D127" i="16"/>
  <c r="D153" i="16"/>
  <c r="N81" i="34"/>
  <c r="R81" i="34" s="1"/>
  <c r="Y81" i="34" s="1"/>
  <c r="E62" i="16"/>
  <c r="E142" i="16"/>
  <c r="H201" i="34"/>
  <c r="N106" i="34"/>
  <c r="R106" i="34" s="1"/>
  <c r="Y106" i="34" s="1"/>
  <c r="I195" i="34"/>
  <c r="R54" i="16"/>
  <c r="R53" i="16"/>
  <c r="Q53" i="16"/>
  <c r="Q36" i="16"/>
  <c r="R36" i="16"/>
  <c r="R35" i="16"/>
  <c r="H82" i="16"/>
  <c r="Q134" i="16"/>
  <c r="N88" i="34"/>
  <c r="R88" i="34" s="1"/>
  <c r="Y88" i="34" s="1"/>
  <c r="D81" i="16"/>
  <c r="I56" i="16"/>
  <c r="I64" i="16"/>
  <c r="K200" i="34"/>
  <c r="N42" i="34"/>
  <c r="R42" i="34" s="1"/>
  <c r="Y42" i="34" s="1"/>
  <c r="H57" i="16"/>
  <c r="Q129" i="16"/>
  <c r="FI358" i="4"/>
  <c r="FI377" i="4"/>
  <c r="D124" i="16"/>
  <c r="E124" i="16"/>
  <c r="DY438" i="4"/>
  <c r="FI369" i="4"/>
  <c r="FI319" i="4"/>
  <c r="E55" i="16"/>
  <c r="D55" i="16"/>
  <c r="N139" i="34"/>
  <c r="R139" i="34" s="1"/>
  <c r="Y139" i="34" s="1"/>
  <c r="I204" i="34"/>
  <c r="N144" i="34"/>
  <c r="R144" i="34" s="1"/>
  <c r="Y144" i="34" s="1"/>
  <c r="K202" i="34"/>
  <c r="N153" i="34"/>
  <c r="G62" i="16"/>
  <c r="G72" i="16"/>
  <c r="H56" i="16"/>
  <c r="C201" i="16"/>
  <c r="FI383" i="4"/>
  <c r="FI343" i="4"/>
  <c r="R86" i="16"/>
  <c r="D142" i="16"/>
  <c r="FI348" i="4"/>
  <c r="E27" i="16"/>
  <c r="E28" i="16"/>
  <c r="I27" i="16"/>
  <c r="D27" i="16"/>
  <c r="I8" i="16"/>
  <c r="E8" i="16"/>
  <c r="D8" i="16"/>
  <c r="H137" i="16"/>
  <c r="N118" i="34"/>
  <c r="R118" i="34" s="1"/>
  <c r="Y118" i="34" s="1"/>
  <c r="R129" i="16"/>
  <c r="N79" i="34"/>
  <c r="R79" i="34" s="1"/>
  <c r="Y79" i="34" s="1"/>
  <c r="G70" i="16"/>
  <c r="F194" i="16"/>
  <c r="G57" i="16"/>
  <c r="R87" i="16"/>
  <c r="DF429" i="4"/>
  <c r="DD429" i="4" s="1"/>
  <c r="D141" i="16"/>
  <c r="FI376" i="4"/>
  <c r="DM446" i="4"/>
  <c r="I36" i="16"/>
  <c r="U36" i="16" s="1"/>
  <c r="H37" i="16"/>
  <c r="G37" i="16"/>
  <c r="E49" i="16"/>
  <c r="D50" i="16"/>
  <c r="C194" i="16"/>
  <c r="D49" i="16"/>
  <c r="E50" i="16"/>
  <c r="I55" i="16"/>
  <c r="G154" i="16"/>
  <c r="G83" i="16"/>
  <c r="H70" i="16"/>
  <c r="FI379" i="4"/>
  <c r="N117" i="34"/>
  <c r="R117" i="34" s="1"/>
  <c r="Y117" i="34" s="1"/>
  <c r="R118" i="16"/>
  <c r="N94" i="34"/>
  <c r="R94" i="34" s="1"/>
  <c r="Y94" i="34" s="1"/>
  <c r="P197" i="16"/>
  <c r="E81" i="16"/>
  <c r="R29" i="34"/>
  <c r="Y29" i="34" s="1"/>
  <c r="L200" i="34"/>
  <c r="G204" i="34"/>
  <c r="EB438" i="4"/>
  <c r="DW428" i="4"/>
  <c r="D134" i="16"/>
  <c r="E134" i="16"/>
  <c r="DN446" i="4"/>
  <c r="DN449" i="4" s="1"/>
  <c r="EH438" i="4"/>
  <c r="FI351" i="4"/>
  <c r="D57" i="16"/>
  <c r="E57" i="16"/>
  <c r="DI434" i="4"/>
  <c r="H196" i="34"/>
  <c r="DW426" i="4"/>
  <c r="D56" i="16"/>
  <c r="E9" i="16"/>
  <c r="I141" i="16"/>
  <c r="H154" i="16"/>
  <c r="FI380" i="4"/>
  <c r="H72" i="16"/>
  <c r="I153" i="16"/>
  <c r="M201" i="34"/>
  <c r="Q118" i="16"/>
  <c r="M199" i="34"/>
  <c r="G137" i="16"/>
  <c r="R150" i="16"/>
  <c r="EB439" i="4"/>
  <c r="R132" i="16"/>
  <c r="R119" i="16"/>
  <c r="FI329" i="4"/>
  <c r="DF436" i="4"/>
  <c r="D64" i="16"/>
  <c r="L202" i="34"/>
  <c r="Q133" i="16"/>
  <c r="FI321" i="4"/>
  <c r="D133" i="16"/>
  <c r="D137" i="16"/>
  <c r="I114" i="16"/>
  <c r="U114" i="16" s="1"/>
  <c r="C200" i="16"/>
  <c r="DY434" i="4"/>
  <c r="EB436" i="4"/>
  <c r="ED436" i="4" s="1"/>
  <c r="E64" i="16"/>
  <c r="G203" i="34"/>
  <c r="DW438" i="4"/>
  <c r="E133" i="16"/>
  <c r="FI371" i="4"/>
  <c r="G107" i="16"/>
  <c r="FI367" i="4"/>
  <c r="D54" i="16"/>
  <c r="E54" i="16"/>
  <c r="C192" i="16"/>
  <c r="H193" i="34"/>
  <c r="C191" i="16"/>
  <c r="F202" i="16"/>
  <c r="H153" i="16"/>
  <c r="G138" i="16"/>
  <c r="FI355" i="4"/>
  <c r="EH439" i="4"/>
  <c r="H116" i="16"/>
  <c r="DY440" i="4"/>
  <c r="FI375" i="4"/>
  <c r="L195" i="34"/>
  <c r="E22" i="16"/>
  <c r="D22" i="16"/>
  <c r="N70" i="34"/>
  <c r="R70" i="34" s="1"/>
  <c r="Y70" i="34" s="1"/>
  <c r="W199" i="34"/>
  <c r="P199" i="16"/>
  <c r="Q98" i="16"/>
  <c r="R145" i="16"/>
  <c r="R148" i="16"/>
  <c r="Q148" i="16"/>
  <c r="H62" i="16"/>
  <c r="R127" i="16"/>
  <c r="R124" i="16"/>
  <c r="J197" i="34"/>
  <c r="R109" i="16"/>
  <c r="R108" i="16"/>
  <c r="R66" i="16"/>
  <c r="N115" i="34"/>
  <c r="R115" i="34" s="1"/>
  <c r="Y115" i="34" s="1"/>
  <c r="R122" i="16"/>
  <c r="Q124" i="16"/>
  <c r="Q99" i="16"/>
  <c r="E88" i="16"/>
  <c r="Q109" i="16"/>
  <c r="Q144" i="16"/>
  <c r="R128" i="16"/>
  <c r="I100" i="16"/>
  <c r="R144" i="16"/>
  <c r="H61" i="16"/>
  <c r="G117" i="16"/>
  <c r="P198" i="16"/>
  <c r="I87" i="16"/>
  <c r="Q76" i="16"/>
  <c r="Q128" i="16"/>
  <c r="K198" i="34"/>
  <c r="R76" i="16"/>
  <c r="DY436" i="4"/>
  <c r="FI381" i="4"/>
  <c r="I83" i="16"/>
  <c r="U83" i="16" s="1"/>
  <c r="M200" i="34"/>
  <c r="D66" i="16"/>
  <c r="E67" i="16"/>
  <c r="E66" i="16"/>
  <c r="D67" i="16"/>
  <c r="Q155" i="16"/>
  <c r="R155" i="16"/>
  <c r="FI334" i="4"/>
  <c r="H121" i="16"/>
  <c r="E122" i="16"/>
  <c r="D122" i="16"/>
  <c r="D121" i="16"/>
  <c r="E121" i="16"/>
  <c r="FI344" i="4"/>
  <c r="H65" i="16"/>
  <c r="DW420" i="4"/>
  <c r="DD432" i="4"/>
  <c r="FI353" i="4"/>
  <c r="E83" i="16"/>
  <c r="D83" i="16"/>
  <c r="DF439" i="4"/>
  <c r="D82" i="16"/>
  <c r="E82" i="16"/>
  <c r="EB240" i="4"/>
  <c r="EB430" i="4" s="1"/>
  <c r="ED430" i="4" s="1"/>
  <c r="DF430" i="4"/>
  <c r="DD430" i="4" s="1"/>
  <c r="DY427" i="4"/>
  <c r="EB432" i="4"/>
  <c r="DK448" i="4"/>
  <c r="I76" i="16"/>
  <c r="U76" i="16" s="1"/>
  <c r="G76" i="16"/>
  <c r="DW427" i="4"/>
  <c r="FI332" i="4"/>
  <c r="G91" i="16"/>
  <c r="E128" i="16"/>
  <c r="R83" i="16"/>
  <c r="Q83" i="16"/>
  <c r="R85" i="16"/>
  <c r="Q85" i="16"/>
  <c r="FI347" i="4"/>
  <c r="R60" i="16"/>
  <c r="Q60" i="16"/>
  <c r="Q59" i="16"/>
  <c r="R59" i="16"/>
  <c r="R70" i="16"/>
  <c r="FI325" i="4"/>
  <c r="E61" i="16"/>
  <c r="I60" i="16"/>
  <c r="G61" i="16"/>
  <c r="E106" i="16"/>
  <c r="D107" i="16"/>
  <c r="D106" i="16"/>
  <c r="E107" i="16"/>
  <c r="G60" i="16"/>
  <c r="G59" i="16"/>
  <c r="N90" i="34"/>
  <c r="R90" i="34" s="1"/>
  <c r="Y90" i="34" s="1"/>
  <c r="D98" i="16"/>
  <c r="C198" i="16"/>
  <c r="E98" i="16"/>
  <c r="D100" i="16"/>
  <c r="E101" i="16"/>
  <c r="E100" i="16"/>
  <c r="E112" i="16"/>
  <c r="C199" i="16"/>
  <c r="E113" i="16"/>
  <c r="DD433" i="4"/>
  <c r="H118" i="16"/>
  <c r="G146" i="16"/>
  <c r="H146" i="16"/>
  <c r="I90" i="16"/>
  <c r="H91" i="16"/>
  <c r="F197" i="16"/>
  <c r="I144" i="16"/>
  <c r="H117" i="16"/>
  <c r="H144" i="16"/>
  <c r="F199" i="16"/>
  <c r="H75" i="16"/>
  <c r="F196" i="16"/>
  <c r="F201" i="16"/>
  <c r="I117" i="16"/>
  <c r="R328" i="34"/>
  <c r="Y328" i="34" s="1"/>
  <c r="C201" i="34"/>
  <c r="W198" i="34"/>
  <c r="W197" i="34"/>
  <c r="G197" i="34"/>
  <c r="Z307" i="34"/>
  <c r="W202" i="34"/>
  <c r="W203" i="34"/>
  <c r="W201" i="34"/>
  <c r="W196" i="34"/>
  <c r="W195" i="34"/>
  <c r="C204" i="34"/>
  <c r="R319" i="34"/>
  <c r="Y319" i="34" s="1"/>
  <c r="Z319" i="34"/>
  <c r="Z312" i="34"/>
  <c r="R312" i="34"/>
  <c r="Y312" i="34" s="1"/>
  <c r="W200" i="34"/>
  <c r="J199" i="34"/>
  <c r="H198" i="34"/>
  <c r="R334" i="34"/>
  <c r="Y334" i="34" s="1"/>
  <c r="Z334" i="34"/>
  <c r="DI439" i="4"/>
  <c r="DH436" i="4"/>
  <c r="G116" i="16"/>
  <c r="I116" i="16"/>
  <c r="DY437" i="4"/>
  <c r="I68" i="16"/>
  <c r="E68" i="16"/>
  <c r="D68" i="16"/>
  <c r="D78" i="16"/>
  <c r="E78" i="16"/>
  <c r="D77" i="16"/>
  <c r="E77" i="16"/>
  <c r="D74" i="16"/>
  <c r="I74" i="16"/>
  <c r="E74" i="16"/>
  <c r="Q65" i="16"/>
  <c r="R65" i="16"/>
  <c r="R64" i="16"/>
  <c r="Q64" i="16"/>
  <c r="E75" i="16"/>
  <c r="I75" i="16"/>
  <c r="D76" i="16"/>
  <c r="E76" i="16"/>
  <c r="D75" i="16"/>
  <c r="DW436" i="4"/>
  <c r="G195" i="34"/>
  <c r="C203" i="34"/>
  <c r="C318" i="34"/>
  <c r="FI363" i="4"/>
  <c r="DW440" i="4"/>
  <c r="H115" i="16"/>
  <c r="G115" i="16"/>
  <c r="I95" i="16"/>
  <c r="E95" i="16"/>
  <c r="D95" i="16"/>
  <c r="I115" i="16"/>
  <c r="C91" i="34"/>
  <c r="D87" i="16"/>
  <c r="E87" i="16"/>
  <c r="I86" i="16"/>
  <c r="E86" i="16"/>
  <c r="D86" i="16"/>
  <c r="H85" i="16"/>
  <c r="G85" i="16"/>
  <c r="C83" i="34"/>
  <c r="C198" i="34" s="1"/>
  <c r="N74" i="34"/>
  <c r="R74" i="34" s="1"/>
  <c r="Y74" i="34" s="1"/>
  <c r="J198" i="34"/>
  <c r="G198" i="34"/>
  <c r="H74" i="16"/>
  <c r="G74" i="16"/>
  <c r="N72" i="34"/>
  <c r="E69" i="16"/>
  <c r="D69" i="16"/>
  <c r="D70" i="16"/>
  <c r="E70" i="16"/>
  <c r="H145" i="16"/>
  <c r="G145" i="16"/>
  <c r="Q154" i="16"/>
  <c r="R154" i="16"/>
  <c r="R137" i="16"/>
  <c r="P201" i="16"/>
  <c r="Q138" i="16"/>
  <c r="R138" i="16"/>
  <c r="Q137" i="16"/>
  <c r="I119" i="16"/>
  <c r="H119" i="16"/>
  <c r="G119" i="16"/>
  <c r="H120" i="16"/>
  <c r="C127" i="34"/>
  <c r="C202" i="34" s="1"/>
  <c r="G202" i="34"/>
  <c r="P202" i="16"/>
  <c r="N111" i="34"/>
  <c r="D94" i="16"/>
  <c r="E94" i="16"/>
  <c r="E96" i="16"/>
  <c r="FI330" i="4"/>
  <c r="FI327" i="4"/>
  <c r="DW437" i="4"/>
  <c r="G92" i="16"/>
  <c r="H92" i="16"/>
  <c r="C64" i="34"/>
  <c r="DY435" i="4"/>
  <c r="N55" i="34"/>
  <c r="R55" i="34" s="1"/>
  <c r="Y55" i="34" s="1"/>
  <c r="G196" i="34"/>
  <c r="D60" i="16"/>
  <c r="C195" i="16"/>
  <c r="E60" i="16"/>
  <c r="D59" i="16"/>
  <c r="E59" i="16"/>
  <c r="N59" i="34"/>
  <c r="H197" i="34"/>
  <c r="K197" i="34"/>
  <c r="W204" i="34"/>
  <c r="O203" i="34"/>
  <c r="I201" i="34"/>
  <c r="DW439" i="4"/>
  <c r="C94" i="34"/>
  <c r="L199" i="34"/>
  <c r="N87" i="34"/>
  <c r="R87" i="34" s="1"/>
  <c r="Y87" i="34" s="1"/>
  <c r="K199" i="34"/>
  <c r="I91" i="16"/>
  <c r="E91" i="16"/>
  <c r="E92" i="16"/>
  <c r="D92" i="16"/>
  <c r="D91" i="16"/>
  <c r="H87" i="16"/>
  <c r="H86" i="16"/>
  <c r="G86" i="16"/>
  <c r="C85" i="34"/>
  <c r="G199" i="34"/>
  <c r="C197" i="16"/>
  <c r="E85" i="16"/>
  <c r="D85" i="16"/>
  <c r="I85" i="16"/>
  <c r="N89" i="34"/>
  <c r="R89" i="34" s="1"/>
  <c r="Y89" i="34" s="1"/>
  <c r="D96" i="16"/>
  <c r="I199" i="34"/>
  <c r="Q73" i="16"/>
  <c r="R73" i="16"/>
  <c r="R74" i="16"/>
  <c r="G68" i="16"/>
  <c r="G69" i="16"/>
  <c r="H68" i="16"/>
  <c r="C66" i="34"/>
  <c r="C196" i="16"/>
  <c r="I72" i="16"/>
  <c r="E73" i="16"/>
  <c r="D72" i="16"/>
  <c r="E72" i="16"/>
  <c r="P196" i="16"/>
  <c r="K46" i="16" l="1"/>
  <c r="DH437" i="4"/>
  <c r="I191" i="16"/>
  <c r="U191" i="16" s="1"/>
  <c r="D202" i="16"/>
  <c r="K105" i="16"/>
  <c r="J25" i="16"/>
  <c r="K24" i="16"/>
  <c r="K104" i="16"/>
  <c r="K43" i="16"/>
  <c r="DJ439" i="4"/>
  <c r="ED433" i="4"/>
  <c r="V47" i="16"/>
  <c r="U52" i="16"/>
  <c r="V52" i="16" s="1"/>
  <c r="K26" i="16"/>
  <c r="J26" i="16"/>
  <c r="K25" i="16"/>
  <c r="J47" i="16"/>
  <c r="K47" i="16"/>
  <c r="J48" i="16"/>
  <c r="J29" i="16"/>
  <c r="R154" i="34"/>
  <c r="Y154" i="34" s="1"/>
  <c r="J13" i="16"/>
  <c r="J53" i="16"/>
  <c r="K52" i="16"/>
  <c r="J16" i="16"/>
  <c r="J52" i="16"/>
  <c r="J46" i="16"/>
  <c r="U44" i="16"/>
  <c r="V46" i="16" s="1"/>
  <c r="DO445" i="4"/>
  <c r="K48" i="16"/>
  <c r="N194" i="34"/>
  <c r="Y194" i="34" s="1"/>
  <c r="K13" i="16"/>
  <c r="K12" i="16"/>
  <c r="W34" i="16"/>
  <c r="K16" i="16"/>
  <c r="J12" i="16"/>
  <c r="U48" i="16"/>
  <c r="V49" i="16" s="1"/>
  <c r="K29" i="16"/>
  <c r="J30" i="16"/>
  <c r="J49" i="16"/>
  <c r="U28" i="16"/>
  <c r="W29" i="16" s="1"/>
  <c r="K30" i="16"/>
  <c r="K31" i="16"/>
  <c r="K44" i="16"/>
  <c r="J44" i="16"/>
  <c r="U43" i="16"/>
  <c r="K39" i="16"/>
  <c r="J43" i="16"/>
  <c r="K49" i="16"/>
  <c r="K57" i="16"/>
  <c r="K11" i="16"/>
  <c r="J38" i="16"/>
  <c r="K10" i="16"/>
  <c r="J11" i="16"/>
  <c r="K38" i="16"/>
  <c r="U31" i="16"/>
  <c r="V31" i="16" s="1"/>
  <c r="K33" i="16"/>
  <c r="J31" i="16"/>
  <c r="J10" i="16"/>
  <c r="U9" i="16"/>
  <c r="W10" i="16" s="1"/>
  <c r="J59" i="16"/>
  <c r="K7" i="16"/>
  <c r="V26" i="16"/>
  <c r="N193" i="34"/>
  <c r="Y193" i="34" s="1"/>
  <c r="U23" i="16"/>
  <c r="W23" i="16" s="1"/>
  <c r="D191" i="16"/>
  <c r="W26" i="16"/>
  <c r="J23" i="16"/>
  <c r="J138" i="16"/>
  <c r="J109" i="16"/>
  <c r="K17" i="16"/>
  <c r="K23" i="16"/>
  <c r="K51" i="16"/>
  <c r="K50" i="16"/>
  <c r="K90" i="16"/>
  <c r="J24" i="16"/>
  <c r="J51" i="16"/>
  <c r="J50" i="16"/>
  <c r="K18" i="16"/>
  <c r="H191" i="16"/>
  <c r="J139" i="16"/>
  <c r="J17" i="16"/>
  <c r="J146" i="16"/>
  <c r="U16" i="16"/>
  <c r="V16" i="16" s="1"/>
  <c r="J104" i="16"/>
  <c r="J65" i="16"/>
  <c r="J111" i="16"/>
  <c r="V89" i="16"/>
  <c r="J15" i="16"/>
  <c r="R152" i="34"/>
  <c r="Y152" i="34" s="1"/>
  <c r="U139" i="16"/>
  <c r="W139" i="16" s="1"/>
  <c r="K139" i="16"/>
  <c r="J103" i="16"/>
  <c r="G203" i="16"/>
  <c r="W47" i="16"/>
  <c r="K111" i="16"/>
  <c r="H203" i="16"/>
  <c r="R146" i="34"/>
  <c r="Y146" i="34" s="1"/>
  <c r="J130" i="16"/>
  <c r="K82" i="16"/>
  <c r="J107" i="16"/>
  <c r="J89" i="16"/>
  <c r="U103" i="16"/>
  <c r="V103" i="16" s="1"/>
  <c r="K118" i="16"/>
  <c r="S192" i="16"/>
  <c r="K107" i="16"/>
  <c r="I192" i="16"/>
  <c r="U192" i="16" s="1"/>
  <c r="Q192" i="16"/>
  <c r="K108" i="16"/>
  <c r="J108" i="16"/>
  <c r="K62" i="16"/>
  <c r="R192" i="16"/>
  <c r="G192" i="16"/>
  <c r="K122" i="16"/>
  <c r="J79" i="16"/>
  <c r="J106" i="16"/>
  <c r="K14" i="16"/>
  <c r="K89" i="16"/>
  <c r="J80" i="16"/>
  <c r="Q193" i="16"/>
  <c r="J96" i="16"/>
  <c r="W93" i="16"/>
  <c r="J113" i="16"/>
  <c r="J94" i="16"/>
  <c r="V70" i="16"/>
  <c r="J142" i="16"/>
  <c r="D201" i="16"/>
  <c r="R191" i="16"/>
  <c r="K80" i="16"/>
  <c r="K151" i="16"/>
  <c r="H192" i="16"/>
  <c r="U94" i="16"/>
  <c r="V94" i="16" s="1"/>
  <c r="K128" i="16"/>
  <c r="K152" i="16"/>
  <c r="J62" i="16"/>
  <c r="J144" i="16"/>
  <c r="K61" i="16"/>
  <c r="K143" i="16"/>
  <c r="Q204" i="34"/>
  <c r="K133" i="16"/>
  <c r="G63" i="16"/>
  <c r="J78" i="16"/>
  <c r="J148" i="16"/>
  <c r="J14" i="16"/>
  <c r="K103" i="16"/>
  <c r="W15" i="16"/>
  <c r="K130" i="16"/>
  <c r="F195" i="16"/>
  <c r="K15" i="16"/>
  <c r="R150" i="34"/>
  <c r="Y150" i="34" s="1"/>
  <c r="W70" i="16"/>
  <c r="G191" i="16"/>
  <c r="Q191" i="16"/>
  <c r="EN3" i="4"/>
  <c r="J151" i="16"/>
  <c r="K42" i="16"/>
  <c r="K35" i="16"/>
  <c r="J150" i="16"/>
  <c r="J143" i="16"/>
  <c r="U59" i="16"/>
  <c r="W59" i="16" s="1"/>
  <c r="J42" i="16"/>
  <c r="K142" i="16"/>
  <c r="H193" i="16"/>
  <c r="W102" i="16"/>
  <c r="V124" i="16"/>
  <c r="K140" i="16"/>
  <c r="K134" i="16"/>
  <c r="K59" i="16"/>
  <c r="H63" i="16"/>
  <c r="H195" i="16" s="1"/>
  <c r="J20" i="16"/>
  <c r="G64" i="16"/>
  <c r="V102" i="16"/>
  <c r="G194" i="16"/>
  <c r="K99" i="16"/>
  <c r="U5" i="16"/>
  <c r="W7" i="16" s="1"/>
  <c r="J133" i="16"/>
  <c r="J140" i="16"/>
  <c r="I63" i="16"/>
  <c r="J64" i="16" s="1"/>
  <c r="U154" i="16"/>
  <c r="W155" i="16" s="1"/>
  <c r="K155" i="16"/>
  <c r="J102" i="16"/>
  <c r="J7" i="16"/>
  <c r="J35" i="16"/>
  <c r="N195" i="34"/>
  <c r="E201" i="16"/>
  <c r="K150" i="16"/>
  <c r="D200" i="16"/>
  <c r="K20" i="16"/>
  <c r="U150" i="16"/>
  <c r="W150" i="16" s="1"/>
  <c r="U90" i="16"/>
  <c r="V90" i="16" s="1"/>
  <c r="U39" i="16"/>
  <c r="J39" i="16"/>
  <c r="W129" i="16"/>
  <c r="J36" i="16"/>
  <c r="J18" i="16"/>
  <c r="J112" i="16"/>
  <c r="V148" i="16"/>
  <c r="J126" i="16"/>
  <c r="U78" i="16"/>
  <c r="V79" i="16" s="1"/>
  <c r="J37" i="16"/>
  <c r="U18" i="16"/>
  <c r="W18" i="16" s="1"/>
  <c r="J122" i="16"/>
  <c r="K79" i="16"/>
  <c r="J114" i="16"/>
  <c r="K147" i="16"/>
  <c r="K126" i="16"/>
  <c r="W114" i="16"/>
  <c r="K66" i="16"/>
  <c r="K78" i="16"/>
  <c r="U64" i="16"/>
  <c r="W65" i="16" s="1"/>
  <c r="K102" i="16"/>
  <c r="I193" i="16"/>
  <c r="U193" i="16" s="1"/>
  <c r="N196" i="34"/>
  <c r="N202" i="34"/>
  <c r="U144" i="16"/>
  <c r="V145" i="16" s="1"/>
  <c r="J154" i="16"/>
  <c r="J124" i="16"/>
  <c r="K148" i="16"/>
  <c r="J54" i="16"/>
  <c r="U152" i="16"/>
  <c r="V152" i="16" s="1"/>
  <c r="Q197" i="16"/>
  <c r="K121" i="16"/>
  <c r="K65" i="16"/>
  <c r="U127" i="16"/>
  <c r="W128" i="16" s="1"/>
  <c r="V125" i="16"/>
  <c r="J21" i="16"/>
  <c r="U54" i="16"/>
  <c r="N63" i="34"/>
  <c r="R63" i="34" s="1"/>
  <c r="Y63" i="34" s="1"/>
  <c r="J137" i="16"/>
  <c r="J152" i="16"/>
  <c r="K124" i="16"/>
  <c r="J127" i="16"/>
  <c r="W148" i="16"/>
  <c r="J147" i="16"/>
  <c r="V15" i="16"/>
  <c r="S193" i="16"/>
  <c r="R148" i="34"/>
  <c r="Y148" i="34" s="1"/>
  <c r="E202" i="16"/>
  <c r="S191" i="16"/>
  <c r="J128" i="16"/>
  <c r="J67" i="16"/>
  <c r="J135" i="16"/>
  <c r="K138" i="16"/>
  <c r="R194" i="16"/>
  <c r="J34" i="16"/>
  <c r="K34" i="16"/>
  <c r="E193" i="16"/>
  <c r="K40" i="16"/>
  <c r="U40" i="16"/>
  <c r="K41" i="16"/>
  <c r="J40" i="16"/>
  <c r="J41" i="16"/>
  <c r="ER5" i="4"/>
  <c r="EN4" i="4"/>
  <c r="V112" i="16"/>
  <c r="K135" i="16"/>
  <c r="K106" i="16"/>
  <c r="K131" i="16"/>
  <c r="V129" i="16"/>
  <c r="U105" i="16"/>
  <c r="V106" i="16" s="1"/>
  <c r="K146" i="16"/>
  <c r="K109" i="16"/>
  <c r="W135" i="16"/>
  <c r="K77" i="16"/>
  <c r="J66" i="16"/>
  <c r="K94" i="16"/>
  <c r="J105" i="16"/>
  <c r="U146" i="16"/>
  <c r="W147" i="16" s="1"/>
  <c r="K132" i="16"/>
  <c r="S196" i="16"/>
  <c r="U108" i="16"/>
  <c r="W108" i="16" s="1"/>
  <c r="R199" i="16"/>
  <c r="G193" i="16"/>
  <c r="D193" i="16"/>
  <c r="I200" i="16"/>
  <c r="K67" i="16"/>
  <c r="J132" i="16"/>
  <c r="U137" i="16"/>
  <c r="W138" i="16" s="1"/>
  <c r="V93" i="16"/>
  <c r="J131" i="16"/>
  <c r="J134" i="16"/>
  <c r="W89" i="16"/>
  <c r="J77" i="16"/>
  <c r="K113" i="16"/>
  <c r="R202" i="16"/>
  <c r="Q203" i="34"/>
  <c r="K36" i="16"/>
  <c r="K37" i="16"/>
  <c r="Q199" i="16"/>
  <c r="K137" i="16"/>
  <c r="FG241" i="4"/>
  <c r="FF254" i="4"/>
  <c r="FG254" i="4" s="1"/>
  <c r="FF253" i="4"/>
  <c r="FG253" i="4" s="1"/>
  <c r="DO448" i="4"/>
  <c r="S198" i="16"/>
  <c r="R200" i="16"/>
  <c r="D194" i="16"/>
  <c r="DO446" i="4"/>
  <c r="D192" i="16"/>
  <c r="D199" i="16"/>
  <c r="J129" i="16"/>
  <c r="I201" i="16"/>
  <c r="J145" i="16"/>
  <c r="K144" i="16"/>
  <c r="G198" i="16"/>
  <c r="H202" i="16"/>
  <c r="G200" i="16"/>
  <c r="J81" i="16"/>
  <c r="U121" i="16"/>
  <c r="W122" i="16" s="1"/>
  <c r="J98" i="16"/>
  <c r="V34" i="16"/>
  <c r="J121" i="16"/>
  <c r="K153" i="16"/>
  <c r="U153" i="16"/>
  <c r="K81" i="16"/>
  <c r="J82" i="16"/>
  <c r="N204" i="34"/>
  <c r="R153" i="34"/>
  <c r="Y153" i="34" s="1"/>
  <c r="J83" i="16"/>
  <c r="I202" i="16"/>
  <c r="K83" i="16"/>
  <c r="K98" i="16"/>
  <c r="K145" i="16"/>
  <c r="J99" i="16"/>
  <c r="K112" i="16"/>
  <c r="K154" i="16"/>
  <c r="J57" i="16"/>
  <c r="K129" i="16"/>
  <c r="J90" i="16"/>
  <c r="U98" i="16"/>
  <c r="V99" i="16" s="1"/>
  <c r="J153" i="16"/>
  <c r="K93" i="16"/>
  <c r="J93" i="16"/>
  <c r="Y155" i="34"/>
  <c r="H198" i="16"/>
  <c r="H200" i="16"/>
  <c r="K70" i="16"/>
  <c r="J70" i="16"/>
  <c r="K21" i="16"/>
  <c r="K127" i="16"/>
  <c r="G202" i="16"/>
  <c r="N200" i="34"/>
  <c r="S199" i="16"/>
  <c r="S197" i="16"/>
  <c r="E192" i="16"/>
  <c r="E200" i="16"/>
  <c r="K125" i="16"/>
  <c r="J125" i="16"/>
  <c r="N203" i="34"/>
  <c r="H194" i="16"/>
  <c r="R193" i="16"/>
  <c r="J22" i="16"/>
  <c r="U21" i="16"/>
  <c r="V21" i="16" s="1"/>
  <c r="K22" i="16"/>
  <c r="S194" i="16"/>
  <c r="Q194" i="16"/>
  <c r="W125" i="16"/>
  <c r="K27" i="16"/>
  <c r="U27" i="16"/>
  <c r="K28" i="16"/>
  <c r="J27" i="16"/>
  <c r="R198" i="16"/>
  <c r="Q200" i="16"/>
  <c r="G201" i="16"/>
  <c r="E194" i="16"/>
  <c r="J28" i="16"/>
  <c r="I194" i="16"/>
  <c r="U194" i="16" s="1"/>
  <c r="K141" i="16"/>
  <c r="J141" i="16"/>
  <c r="R196" i="16"/>
  <c r="DH439" i="4"/>
  <c r="R197" i="16"/>
  <c r="Q198" i="16"/>
  <c r="K114" i="16"/>
  <c r="E191" i="16"/>
  <c r="DM449" i="4"/>
  <c r="DO449" i="4" s="1"/>
  <c r="K9" i="16"/>
  <c r="J9" i="16"/>
  <c r="U8" i="16"/>
  <c r="J8" i="16"/>
  <c r="K8" i="16"/>
  <c r="U56" i="16"/>
  <c r="J56" i="16"/>
  <c r="K56" i="16"/>
  <c r="U141" i="16"/>
  <c r="W142" i="16" s="1"/>
  <c r="U55" i="16"/>
  <c r="J55" i="16"/>
  <c r="K55" i="16"/>
  <c r="D198" i="16"/>
  <c r="K60" i="16"/>
  <c r="Y195" i="34"/>
  <c r="J60" i="16"/>
  <c r="H199" i="16"/>
  <c r="J100" i="16"/>
  <c r="J101" i="16"/>
  <c r="I198" i="16"/>
  <c r="S200" i="16"/>
  <c r="E199" i="16"/>
  <c r="E198" i="16"/>
  <c r="K101" i="16"/>
  <c r="K100" i="16"/>
  <c r="U100" i="16"/>
  <c r="W101" i="16" s="1"/>
  <c r="J88" i="16"/>
  <c r="K88" i="16"/>
  <c r="U87" i="16"/>
  <c r="Y196" i="34"/>
  <c r="S202" i="16"/>
  <c r="W50" i="16"/>
  <c r="V50" i="16"/>
  <c r="K95" i="16"/>
  <c r="J117" i="16"/>
  <c r="Q202" i="16"/>
  <c r="W124" i="16"/>
  <c r="E197" i="16"/>
  <c r="R195" i="16"/>
  <c r="U60" i="16"/>
  <c r="J61" i="16"/>
  <c r="ED432" i="4"/>
  <c r="W37" i="16"/>
  <c r="W38" i="16"/>
  <c r="V37" i="16"/>
  <c r="V38" i="16"/>
  <c r="G196" i="16"/>
  <c r="G199" i="16"/>
  <c r="I196" i="16"/>
  <c r="W11" i="16"/>
  <c r="V11" i="16"/>
  <c r="V12" i="16"/>
  <c r="W12" i="16"/>
  <c r="U117" i="16"/>
  <c r="V118" i="16" s="1"/>
  <c r="K117" i="16"/>
  <c r="I197" i="16"/>
  <c r="H196" i="16"/>
  <c r="J118" i="16"/>
  <c r="W42" i="16"/>
  <c r="V42" i="16"/>
  <c r="I199" i="16"/>
  <c r="H197" i="16"/>
  <c r="V13" i="16"/>
  <c r="W13" i="16"/>
  <c r="W14" i="16"/>
  <c r="V14" i="16"/>
  <c r="W51" i="16"/>
  <c r="V51" i="16"/>
  <c r="H201" i="16"/>
  <c r="W25" i="16"/>
  <c r="V25" i="16"/>
  <c r="V35" i="16"/>
  <c r="W35" i="16"/>
  <c r="V36" i="16"/>
  <c r="W36" i="16"/>
  <c r="K96" i="16"/>
  <c r="V135" i="16"/>
  <c r="G197" i="16"/>
  <c r="W30" i="16"/>
  <c r="V30" i="16"/>
  <c r="C199" i="34"/>
  <c r="K92" i="16"/>
  <c r="J91" i="16"/>
  <c r="U91" i="16"/>
  <c r="J92" i="16"/>
  <c r="K91" i="16"/>
  <c r="R59" i="34"/>
  <c r="Y59" i="34" s="1"/>
  <c r="N198" i="34"/>
  <c r="R72" i="34"/>
  <c r="Q196" i="16"/>
  <c r="S195" i="16"/>
  <c r="Q195" i="16"/>
  <c r="N199" i="34"/>
  <c r="Y98" i="34"/>
  <c r="Y200" i="34" s="1"/>
  <c r="R200" i="34"/>
  <c r="E195" i="16"/>
  <c r="R111" i="34"/>
  <c r="N201" i="34"/>
  <c r="U95" i="16"/>
  <c r="W96" i="16" s="1"/>
  <c r="J95" i="16"/>
  <c r="U75" i="16"/>
  <c r="J75" i="16"/>
  <c r="K75" i="16"/>
  <c r="J76" i="16"/>
  <c r="K76" i="16"/>
  <c r="U68" i="16"/>
  <c r="K68" i="16"/>
  <c r="K69" i="16"/>
  <c r="J69" i="16"/>
  <c r="J68" i="16"/>
  <c r="E196" i="16"/>
  <c r="U85" i="16"/>
  <c r="K85" i="16"/>
  <c r="J85" i="16"/>
  <c r="D195" i="16"/>
  <c r="U119" i="16"/>
  <c r="J119" i="16"/>
  <c r="K120" i="16"/>
  <c r="K119" i="16"/>
  <c r="J120" i="16"/>
  <c r="K115" i="16"/>
  <c r="U115" i="16"/>
  <c r="J115" i="16"/>
  <c r="R202" i="34"/>
  <c r="Y124" i="34"/>
  <c r="Y202" i="34" s="1"/>
  <c r="U72" i="16"/>
  <c r="W73" i="16" s="1"/>
  <c r="J72" i="16"/>
  <c r="K73" i="16"/>
  <c r="K72" i="16"/>
  <c r="D196" i="16"/>
  <c r="D197" i="16"/>
  <c r="R199" i="34"/>
  <c r="Y85" i="34"/>
  <c r="Y199" i="34" s="1"/>
  <c r="J73" i="16"/>
  <c r="C197" i="34"/>
  <c r="S201" i="16"/>
  <c r="Q201" i="16"/>
  <c r="R201" i="16"/>
  <c r="U86" i="16"/>
  <c r="K86" i="16"/>
  <c r="J86" i="16"/>
  <c r="J87" i="16"/>
  <c r="K87" i="16"/>
  <c r="U74" i="16"/>
  <c r="J74" i="16"/>
  <c r="K74" i="16"/>
  <c r="U116" i="16"/>
  <c r="J116" i="16"/>
  <c r="K116" i="16"/>
  <c r="W132" i="16"/>
  <c r="V132" i="16"/>
  <c r="W80" i="16"/>
  <c r="V80" i="16"/>
  <c r="V81" i="16"/>
  <c r="W81" i="16"/>
  <c r="V134" i="16"/>
  <c r="W134" i="16"/>
  <c r="W126" i="16"/>
  <c r="V126" i="16"/>
  <c r="W113" i="16"/>
  <c r="V113" i="16"/>
  <c r="W62" i="16"/>
  <c r="V62" i="16"/>
  <c r="W133" i="16"/>
  <c r="V114" i="16"/>
  <c r="V133" i="16"/>
  <c r="W82" i="16"/>
  <c r="V82" i="16"/>
  <c r="W83" i="16"/>
  <c r="V83" i="16"/>
  <c r="V143" i="16"/>
  <c r="W143" i="16"/>
  <c r="V66" i="16"/>
  <c r="W66" i="16"/>
  <c r="V67" i="16"/>
  <c r="W67" i="16"/>
  <c r="V107" i="16"/>
  <c r="W107" i="16"/>
  <c r="V111" i="16"/>
  <c r="W111" i="16"/>
  <c r="V130" i="16"/>
  <c r="W130" i="16"/>
  <c r="V77" i="16"/>
  <c r="W77" i="16"/>
  <c r="W131" i="16"/>
  <c r="V131" i="16"/>
  <c r="W112" i="16"/>
  <c r="J202" i="16" l="1"/>
  <c r="W33" i="16"/>
  <c r="W52" i="16"/>
  <c r="V53" i="16"/>
  <c r="W53" i="16"/>
  <c r="W48" i="16"/>
  <c r="W104" i="16"/>
  <c r="W44" i="16"/>
  <c r="W46" i="16"/>
  <c r="V48" i="16"/>
  <c r="W49" i="16"/>
  <c r="W43" i="16"/>
  <c r="V43" i="16"/>
  <c r="V44" i="16"/>
  <c r="V33" i="16"/>
  <c r="V104" i="16"/>
  <c r="V29" i="16"/>
  <c r="W31" i="16"/>
  <c r="Y203" i="34"/>
  <c r="V10" i="16"/>
  <c r="V23" i="16"/>
  <c r="V24" i="16"/>
  <c r="W24" i="16"/>
  <c r="W16" i="16"/>
  <c r="W103" i="16"/>
  <c r="V17" i="16"/>
  <c r="W17" i="16"/>
  <c r="V139" i="16"/>
  <c r="V140" i="16"/>
  <c r="W140" i="16"/>
  <c r="V20" i="16"/>
  <c r="W98" i="16"/>
  <c r="W94" i="16"/>
  <c r="W152" i="16"/>
  <c r="G195" i="16"/>
  <c r="V60" i="16"/>
  <c r="V59" i="16"/>
  <c r="N197" i="34"/>
  <c r="V144" i="16"/>
  <c r="W145" i="16"/>
  <c r="U63" i="16"/>
  <c r="V63" i="16" s="1"/>
  <c r="V7" i="16"/>
  <c r="K64" i="16"/>
  <c r="V18" i="16"/>
  <c r="V65" i="16"/>
  <c r="V78" i="16"/>
  <c r="K63" i="16"/>
  <c r="I195" i="16"/>
  <c r="J63" i="16"/>
  <c r="L195" i="16" s="1"/>
  <c r="V151" i="16"/>
  <c r="V108" i="16"/>
  <c r="W151" i="16"/>
  <c r="W109" i="16"/>
  <c r="W90" i="16"/>
  <c r="U200" i="16"/>
  <c r="V137" i="16"/>
  <c r="V153" i="16"/>
  <c r="V155" i="16"/>
  <c r="V154" i="16"/>
  <c r="L202" i="16"/>
  <c r="W154" i="16"/>
  <c r="W39" i="16"/>
  <c r="V39" i="16"/>
  <c r="V150" i="16"/>
  <c r="W78" i="16"/>
  <c r="V109" i="16"/>
  <c r="W121" i="16"/>
  <c r="W79" i="16"/>
  <c r="J193" i="16"/>
  <c r="W144" i="16"/>
  <c r="V138" i="16"/>
  <c r="V121" i="16"/>
  <c r="V122" i="16"/>
  <c r="W20" i="16"/>
  <c r="W137" i="16"/>
  <c r="Y197" i="34"/>
  <c r="U202" i="16"/>
  <c r="V127" i="16"/>
  <c r="W153" i="16"/>
  <c r="W54" i="16"/>
  <c r="V54" i="16"/>
  <c r="V128" i="16"/>
  <c r="L201" i="16"/>
  <c r="K193" i="16"/>
  <c r="V105" i="16"/>
  <c r="W127" i="16"/>
  <c r="W200" i="16" s="1"/>
  <c r="R203" i="34"/>
  <c r="L193" i="16"/>
  <c r="V141" i="16"/>
  <c r="W146" i="16"/>
  <c r="W118" i="16"/>
  <c r="W106" i="16"/>
  <c r="L200" i="16"/>
  <c r="V146" i="16"/>
  <c r="W105" i="16"/>
  <c r="V147" i="16"/>
  <c r="W60" i="16"/>
  <c r="J191" i="16"/>
  <c r="J201" i="16"/>
  <c r="W41" i="16"/>
  <c r="V40" i="16"/>
  <c r="W40" i="16"/>
  <c r="V41" i="16"/>
  <c r="L194" i="16"/>
  <c r="K200" i="16"/>
  <c r="K202" i="16"/>
  <c r="J192" i="16"/>
  <c r="K191" i="16"/>
  <c r="K201" i="16"/>
  <c r="U201" i="16"/>
  <c r="V142" i="16"/>
  <c r="W99" i="16"/>
  <c r="L192" i="16"/>
  <c r="R204" i="34"/>
  <c r="W141" i="16"/>
  <c r="V98" i="16"/>
  <c r="L198" i="16"/>
  <c r="J194" i="16"/>
  <c r="K198" i="16"/>
  <c r="K194" i="16"/>
  <c r="W22" i="16"/>
  <c r="V22" i="16"/>
  <c r="W21" i="16"/>
  <c r="J200" i="16"/>
  <c r="U198" i="16"/>
  <c r="V101" i="16"/>
  <c r="L191" i="16"/>
  <c r="K192" i="16"/>
  <c r="V55" i="16"/>
  <c r="W55" i="16"/>
  <c r="V117" i="16"/>
  <c r="V9" i="16"/>
  <c r="W9" i="16"/>
  <c r="V8" i="16"/>
  <c r="W8" i="16"/>
  <c r="W27" i="16"/>
  <c r="V27" i="16"/>
  <c r="V28" i="16"/>
  <c r="W28" i="16"/>
  <c r="J198" i="16"/>
  <c r="W56" i="16"/>
  <c r="V56" i="16"/>
  <c r="W57" i="16"/>
  <c r="V57" i="16"/>
  <c r="W100" i="16"/>
  <c r="W117" i="16"/>
  <c r="V100" i="16"/>
  <c r="W88" i="16"/>
  <c r="V88" i="16"/>
  <c r="W61" i="16"/>
  <c r="V61" i="16"/>
  <c r="U196" i="16"/>
  <c r="K199" i="16"/>
  <c r="K196" i="16"/>
  <c r="J199" i="16"/>
  <c r="L196" i="16"/>
  <c r="J197" i="16"/>
  <c r="K197" i="16"/>
  <c r="Y204" i="34"/>
  <c r="W95" i="16"/>
  <c r="V95" i="16"/>
  <c r="W92" i="16"/>
  <c r="V92" i="16"/>
  <c r="V91" i="16"/>
  <c r="W91" i="16"/>
  <c r="V119" i="16"/>
  <c r="V120" i="16"/>
  <c r="W120" i="16"/>
  <c r="W119" i="16"/>
  <c r="V73" i="16"/>
  <c r="L197" i="16"/>
  <c r="W68" i="16"/>
  <c r="V68" i="16"/>
  <c r="V69" i="16"/>
  <c r="W69" i="16"/>
  <c r="L199" i="16"/>
  <c r="U199" i="16"/>
  <c r="V96" i="16"/>
  <c r="V116" i="16"/>
  <c r="W116" i="16"/>
  <c r="W74" i="16"/>
  <c r="V74" i="16"/>
  <c r="V115" i="16"/>
  <c r="W115" i="16"/>
  <c r="J196" i="16"/>
  <c r="W76" i="16"/>
  <c r="V76" i="16"/>
  <c r="W75" i="16"/>
  <c r="V75" i="16"/>
  <c r="R198" i="34"/>
  <c r="Y72" i="34"/>
  <c r="Y198" i="34" s="1"/>
  <c r="W72" i="16"/>
  <c r="V72" i="16"/>
  <c r="V86" i="16"/>
  <c r="W86" i="16"/>
  <c r="W87" i="16"/>
  <c r="V87" i="16"/>
  <c r="W85" i="16"/>
  <c r="V85" i="16"/>
  <c r="U197" i="16"/>
  <c r="R201" i="34"/>
  <c r="Y111" i="34"/>
  <c r="Y201" i="34" s="1"/>
  <c r="V64" i="16" l="1"/>
  <c r="X195" i="16" s="1"/>
  <c r="W64" i="16"/>
  <c r="K195" i="16"/>
  <c r="U195" i="16"/>
  <c r="W63" i="16"/>
  <c r="J195" i="16"/>
  <c r="X202" i="16"/>
  <c r="V202" i="16"/>
  <c r="V193" i="16"/>
  <c r="W202" i="16"/>
  <c r="W201" i="16"/>
  <c r="V200" i="16"/>
  <c r="X193" i="16"/>
  <c r="X200" i="16"/>
  <c r="W193" i="16"/>
  <c r="X201" i="16"/>
  <c r="W198" i="16"/>
  <c r="V201" i="16"/>
  <c r="V192" i="16"/>
  <c r="X192" i="16"/>
  <c r="V194" i="16"/>
  <c r="W191" i="16"/>
  <c r="V198" i="16"/>
  <c r="V191" i="16"/>
  <c r="X198" i="16"/>
  <c r="W194" i="16"/>
  <c r="W192" i="16"/>
  <c r="X194" i="16"/>
  <c r="X191" i="16"/>
  <c r="X197" i="16"/>
  <c r="X199" i="16"/>
  <c r="W199" i="16"/>
  <c r="V199" i="16"/>
  <c r="W197" i="16"/>
  <c r="V196" i="16"/>
  <c r="V197" i="16"/>
  <c r="W196" i="16"/>
  <c r="X196" i="16"/>
  <c r="W195" i="16" l="1"/>
  <c r="V19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imadmin</author>
  </authors>
  <commentList>
    <comment ref="DK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11 21 22 29 18 28 23</t>
        </r>
      </text>
    </comment>
    <comment ref="DL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31 51 41 61 40 60 42 62 39 49 38 58 48 68 43 63</t>
        </r>
      </text>
    </comment>
    <comment ref="DM2" authorId="1" shapeId="0" xr:uid="{00000000-0006-0000-0000-000003000000}">
      <text>
        <r>
          <rPr>
            <sz val="8"/>
            <color indexed="81"/>
            <rFont val="Tahoma"/>
            <family val="2"/>
          </rPr>
          <t>023</t>
        </r>
      </text>
    </comment>
    <comment ref="DN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
43 63 53 55 56 57
</t>
        </r>
      </text>
    </comment>
  </commentList>
</comments>
</file>

<file path=xl/sharedStrings.xml><?xml version="1.0" encoding="utf-8"?>
<sst xmlns="http://schemas.openxmlformats.org/spreadsheetml/2006/main" count="1990" uniqueCount="487">
  <si>
    <t>Total</t>
  </si>
  <si>
    <t>Month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</si>
  <si>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</si>
  <si>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</si>
  <si>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</si>
  <si>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</si>
  <si>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</si>
  <si>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</si>
  <si>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</si>
  <si>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</si>
  <si>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</si>
  <si>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</si>
  <si>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</si>
  <si>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018</t>
  </si>
  <si>
    <t>020</t>
  </si>
  <si>
    <t>021</t>
  </si>
  <si>
    <t>022</t>
  </si>
  <si>
    <t>023</t>
  </si>
  <si>
    <t>028</t>
  </si>
  <si>
    <t>029</t>
  </si>
  <si>
    <t>031</t>
  </si>
  <si>
    <t>032</t>
  </si>
  <si>
    <t>038</t>
  </si>
  <si>
    <t>039</t>
  </si>
  <si>
    <t>040</t>
  </si>
  <si>
    <t>041</t>
  </si>
  <si>
    <t>042</t>
  </si>
  <si>
    <t>043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</si>
  <si>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</si>
  <si>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</si>
  <si>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</si>
  <si>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</si>
  <si>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</si>
  <si>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</si>
  <si>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</si>
  <si>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</si>
  <si>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</si>
  <si>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</si>
  <si>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</si>
  <si>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</si>
  <si>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</si>
  <si>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</si>
  <si>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</si>
  <si>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066</t>
  </si>
  <si>
    <t>068</t>
  </si>
  <si>
    <t>071A</t>
  </si>
  <si>
    <t>071C</t>
  </si>
  <si>
    <t>072</t>
  </si>
  <si>
    <t>073A</t>
  </si>
  <si>
    <t>073C</t>
  </si>
  <si>
    <t>074</t>
  </si>
  <si>
    <t>075</t>
  </si>
  <si>
    <t>076</t>
  </si>
  <si>
    <t>078</t>
  </si>
  <si>
    <t>079</t>
  </si>
  <si>
    <t>080</t>
  </si>
  <si>
    <t>081A</t>
  </si>
  <si>
    <t>081C</t>
  </si>
  <si>
    <t>082</t>
  </si>
  <si>
    <t>083A</t>
  </si>
  <si>
    <t>083C</t>
  </si>
  <si>
    <t>085</t>
  </si>
  <si>
    <t>086</t>
  </si>
  <si>
    <t>088</t>
  </si>
  <si>
    <t>089</t>
  </si>
  <si>
    <t>090</t>
  </si>
  <si>
    <t>091A</t>
  </si>
  <si>
    <t>091C</t>
  </si>
  <si>
    <t>092</t>
  </si>
  <si>
    <t>093</t>
  </si>
  <si>
    <t>094</t>
  </si>
  <si>
    <t>096</t>
  </si>
  <si>
    <t>097</t>
  </si>
  <si>
    <t>098</t>
  </si>
  <si>
    <t>099</t>
  </si>
  <si>
    <t>214</t>
  </si>
  <si>
    <t>215</t>
  </si>
  <si>
    <t>216</t>
  </si>
  <si>
    <t>401</t>
  </si>
  <si>
    <t>919</t>
  </si>
  <si>
    <t>404</t>
  </si>
  <si>
    <t>Aged, Blind &amp; Disabled</t>
  </si>
  <si>
    <t/>
  </si>
  <si>
    <t>Medicaid Population (incl Medicaid Exp PD94)</t>
  </si>
  <si>
    <t>Medicaid Forecast Population (excl PD94, PD80 family planning waiver, PD56 federal prems only)</t>
  </si>
  <si>
    <t>SFY2007</t>
  </si>
  <si>
    <t>SFY2008</t>
  </si>
  <si>
    <t>SFY2009</t>
  </si>
  <si>
    <t>Actual</t>
  </si>
  <si>
    <t>SFY2010</t>
  </si>
  <si>
    <t>SFY2006</t>
  </si>
  <si>
    <t>Nov07 Forecast</t>
  </si>
  <si>
    <t>Nov08 Forecast</t>
  </si>
  <si>
    <t>SFY2011</t>
  </si>
  <si>
    <t>CN ADULT</t>
  </si>
  <si>
    <t>MN BD</t>
  </si>
  <si>
    <t>NWM BD</t>
  </si>
  <si>
    <t>NNM-BD</t>
  </si>
  <si>
    <t>QMB-SLMB</t>
  </si>
  <si>
    <t>MN-AGED</t>
  </si>
  <si>
    <t>NWM-AGED</t>
  </si>
  <si>
    <t>NNM-AGED</t>
  </si>
  <si>
    <t>CN-CHILD</t>
  </si>
  <si>
    <t>MN-CHILD</t>
  </si>
  <si>
    <t>REFUGEE</t>
  </si>
  <si>
    <t>PW</t>
  </si>
  <si>
    <t>FAMIS</t>
  </si>
  <si>
    <t>Aged</t>
  </si>
  <si>
    <t>B&amp;D</t>
  </si>
  <si>
    <t>Low-Income Children</t>
  </si>
  <si>
    <t>Low-Income Adults</t>
  </si>
  <si>
    <t>Pregnant Women</t>
  </si>
  <si>
    <t>Foster Care Children</t>
  </si>
  <si>
    <t>Medicaid Population (Title XIX only)</t>
  </si>
  <si>
    <t>SFY2004</t>
  </si>
  <si>
    <t>SFY2005</t>
  </si>
  <si>
    <t>31-68</t>
  </si>
  <si>
    <t>11-29</t>
  </si>
  <si>
    <t>FC</t>
  </si>
  <si>
    <t>Ref-C</t>
  </si>
  <si>
    <t>Ref-A</t>
  </si>
  <si>
    <t>A</t>
  </si>
  <si>
    <t>C</t>
  </si>
  <si>
    <t>TOTAL</t>
  </si>
  <si>
    <t>FP Waiver</t>
  </si>
  <si>
    <t>QMB</t>
  </si>
  <si>
    <t>Adults</t>
  </si>
  <si>
    <t>Total Enrollment</t>
  </si>
  <si>
    <t>Children</t>
  </si>
  <si>
    <t>SFY2002</t>
  </si>
  <si>
    <t>SFY2003</t>
  </si>
  <si>
    <t>Title XXI - CHIP Population</t>
  </si>
  <si>
    <t>FAMIS MOMS</t>
  </si>
  <si>
    <t>Title XIX &amp; XXI</t>
  </si>
  <si>
    <t>TDO</t>
  </si>
  <si>
    <t>SLH</t>
  </si>
  <si>
    <t>HIV</t>
  </si>
  <si>
    <t>SFY2000</t>
  </si>
  <si>
    <t>SFY2001</t>
  </si>
  <si>
    <t>ABD</t>
  </si>
  <si>
    <t>Adults &amp; Children</t>
  </si>
  <si>
    <t>PD94</t>
  </si>
  <si>
    <t>Nov09 Forecast</t>
  </si>
  <si>
    <t>SFY2012</t>
  </si>
  <si>
    <t>Low-Income Adults and Children</t>
  </si>
  <si>
    <t>DMAS Monthly Enrollment Report</t>
  </si>
  <si>
    <t>Annual Average Monthly Enrollment</t>
  </si>
  <si>
    <t>Title XIX - Medicaid Population</t>
  </si>
  <si>
    <t>QMBs
(Limited Benefit)</t>
  </si>
  <si>
    <t>Avg Monthly Growth</t>
  </si>
  <si>
    <t>Current MCO Enrollment Percentage</t>
  </si>
  <si>
    <t>SFY09</t>
  </si>
  <si>
    <t>SFY10</t>
  </si>
  <si>
    <t>Caretaker Adults</t>
  </si>
  <si>
    <t xml:space="preserve"> Adults, Pregnant Women and Children</t>
  </si>
  <si>
    <t>Nov 2010</t>
  </si>
  <si>
    <t>Dec 2010</t>
  </si>
  <si>
    <t>Feb 2011</t>
  </si>
  <si>
    <t>Jan 2011</t>
  </si>
  <si>
    <t>Mar 2011</t>
  </si>
  <si>
    <t>Apr 2011</t>
  </si>
  <si>
    <t>May2011</t>
  </si>
  <si>
    <t>SFY11</t>
  </si>
  <si>
    <t>Jun2011</t>
  </si>
  <si>
    <t>Jun2010</t>
  </si>
  <si>
    <t>Jun2009</t>
  </si>
  <si>
    <t>Jun2008</t>
  </si>
  <si>
    <t>Jul2010</t>
  </si>
  <si>
    <t>Aug2010</t>
  </si>
  <si>
    <t>Sep2010</t>
  </si>
  <si>
    <t>Oct2010</t>
  </si>
  <si>
    <t>QMBs - B&amp;D</t>
  </si>
  <si>
    <t>QMBs - Aged</t>
  </si>
  <si>
    <t>Jul2011</t>
  </si>
  <si>
    <t>Aug2011</t>
  </si>
  <si>
    <t>Sep2011</t>
  </si>
  <si>
    <t>Oct2011</t>
  </si>
  <si>
    <t>SFY07</t>
  </si>
  <si>
    <t>SFY08</t>
  </si>
  <si>
    <t>Nov2011</t>
  </si>
  <si>
    <t>Dec2011</t>
  </si>
  <si>
    <t>Jan 2012</t>
  </si>
  <si>
    <t>Feb 2012</t>
  </si>
  <si>
    <t>Mar 2012</t>
  </si>
  <si>
    <t>SFY12</t>
  </si>
  <si>
    <t>Apr 2012</t>
  </si>
  <si>
    <t>May2012</t>
  </si>
  <si>
    <t>Jun2012</t>
  </si>
  <si>
    <t>Nov11 Forecast</t>
  </si>
  <si>
    <t>SFY2013</t>
  </si>
  <si>
    <t>SFY2014</t>
  </si>
  <si>
    <t>SFY2015</t>
  </si>
  <si>
    <t>080A</t>
  </si>
  <si>
    <t>080C</t>
  </si>
  <si>
    <t>SFY13</t>
  </si>
  <si>
    <t>Jul2012</t>
  </si>
  <si>
    <t>Aug2012</t>
  </si>
  <si>
    <t>Sep2012</t>
  </si>
  <si>
    <t>Oct2012</t>
  </si>
  <si>
    <t>Nov2012</t>
  </si>
  <si>
    <t>Dec2012</t>
  </si>
  <si>
    <t>Jan 2013</t>
  </si>
  <si>
    <t>Apr 2013</t>
  </si>
  <si>
    <t>May2013</t>
  </si>
  <si>
    <t>Jun2013</t>
  </si>
  <si>
    <t>Feb 2013</t>
  </si>
  <si>
    <t>Mar 2013</t>
  </si>
  <si>
    <t>SFY1990</t>
  </si>
  <si>
    <t>SFY1991</t>
  </si>
  <si>
    <t>SFY1992</t>
  </si>
  <si>
    <t>SFY1993</t>
  </si>
  <si>
    <t>SFY1994</t>
  </si>
  <si>
    <t>SFY1995</t>
  </si>
  <si>
    <t>SFY1996</t>
  </si>
  <si>
    <t>SFY1997</t>
  </si>
  <si>
    <t>SFY1998</t>
  </si>
  <si>
    <t>SFY1999</t>
  </si>
  <si>
    <t>SFY1989</t>
  </si>
  <si>
    <t>024</t>
  </si>
  <si>
    <t>025</t>
  </si>
  <si>
    <t>044</t>
  </si>
  <si>
    <t>045</t>
  </si>
  <si>
    <t>Jul 2013</t>
  </si>
  <si>
    <t>Aug2013</t>
  </si>
  <si>
    <t>Sept 2013</t>
  </si>
  <si>
    <t>Oct 2013</t>
  </si>
  <si>
    <t>010</t>
  </si>
  <si>
    <t>Nov 2013</t>
  </si>
  <si>
    <t>LTC: Waiver</t>
  </si>
  <si>
    <t>LTC: PACE</t>
  </si>
  <si>
    <t>LTC: 
NF/ICF MR</t>
  </si>
  <si>
    <t xml:space="preserve">Non-LTC
</t>
  </si>
  <si>
    <t>Dec 2013</t>
  </si>
  <si>
    <t>Jan 2014</t>
  </si>
  <si>
    <t>LTC &amp; Non-LTC</t>
  </si>
  <si>
    <t>Aged, Blind, and Disabled</t>
  </si>
  <si>
    <t>035</t>
  </si>
  <si>
    <t>064</t>
  </si>
  <si>
    <t>065</t>
  </si>
  <si>
    <t>067</t>
  </si>
  <si>
    <t>070</t>
  </si>
  <si>
    <t>077</t>
  </si>
  <si>
    <t>35, 91a, 97</t>
  </si>
  <si>
    <t>Feb 2014</t>
  </si>
  <si>
    <t>Mar 2014</t>
  </si>
  <si>
    <t>Apr 2014</t>
  </si>
  <si>
    <t>084</t>
  </si>
  <si>
    <t>80,84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</si>
  <si>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</si>
  <si>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</si>
  <si>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</si>
  <si>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</si>
  <si>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</si>
  <si>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</si>
  <si>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</si>
  <si>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</si>
  <si>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</si>
  <si>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</si>
  <si>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</si>
  <si>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</si>
  <si>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</si>
  <si>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</si>
  <si>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</si>
  <si>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</si>
  <si>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</si>
  <si>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</si>
  <si>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</si>
  <si>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</si>
  <si>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</si>
  <si>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</si>
  <si>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</si>
  <si>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</si>
  <si>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</si>
  <si>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</si>
  <si>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</si>
  <si>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</si>
  <si>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</si>
  <si>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</si>
  <si>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</si>
  <si>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</si>
  <si>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</si>
  <si>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</si>
  <si>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</si>
  <si>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</si>
  <si>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</si>
  <si>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</si>
  <si>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</si>
  <si>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</si>
  <si>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</si>
  <si>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</si>
  <si>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</si>
  <si>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</si>
  <si>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</si>
  <si>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</si>
  <si>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</si>
  <si>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</si>
  <si>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</si>
  <si>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</si>
  <si>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</si>
  <si>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</si>
  <si>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</si>
  <si>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</si>
  <si>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</si>
  <si>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</si>
  <si>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</si>
  <si>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</si>
  <si>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</si>
  <si>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</si>
  <si>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</si>
  <si>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</si>
  <si>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</si>
  <si>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</si>
  <si>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</si>
  <si>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ba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</si>
  <si>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</si>
  <si>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</si>
  <si>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</si>
  <si>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</si>
  <si>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</si>
  <si>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</si>
  <si>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</si>
  <si>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</si>
  <si>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</si>
  <si>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72, 74, 76, 77, 86</t>
  </si>
  <si>
    <t>71A</t>
  </si>
  <si>
    <t>71C</t>
  </si>
  <si>
    <t>73A</t>
  </si>
  <si>
    <t>73C</t>
  </si>
  <si>
    <t>81A</t>
  </si>
  <si>
    <t>81C</t>
  </si>
  <si>
    <t>83A</t>
  </si>
  <si>
    <t>83C</t>
  </si>
  <si>
    <t>91A</t>
  </si>
  <si>
    <t>91C</t>
  </si>
  <si>
    <t>801</t>
  </si>
  <si>
    <t>802</t>
  </si>
  <si>
    <t>FAMM</t>
  </si>
  <si>
    <t>FAMK</t>
  </si>
  <si>
    <t>AGED</t>
  </si>
  <si>
    <t>QMBA</t>
  </si>
  <si>
    <t>BD</t>
  </si>
  <si>
    <t>QMBD</t>
  </si>
  <si>
    <t>QIs</t>
  </si>
  <si>
    <t>LICh</t>
  </si>
  <si>
    <t>LICA</t>
  </si>
  <si>
    <t>REFG</t>
  </si>
  <si>
    <t>FAMP</t>
  </si>
  <si>
    <t>EMCD</t>
  </si>
  <si>
    <t>SFY14</t>
  </si>
  <si>
    <t>May 2014</t>
  </si>
  <si>
    <t>Jun 2014</t>
  </si>
  <si>
    <t>SFY15</t>
  </si>
  <si>
    <t>Jul 2014</t>
  </si>
  <si>
    <t>Family Planning 
(Limited Benefit)</t>
  </si>
  <si>
    <t>Aug 2014</t>
  </si>
  <si>
    <t>Sep 2014</t>
  </si>
  <si>
    <t>Oct 2014</t>
  </si>
  <si>
    <t>Nov 2014</t>
  </si>
  <si>
    <t>Dec 2014</t>
  </si>
  <si>
    <t>Jan 2015</t>
  </si>
  <si>
    <t>014</t>
  </si>
  <si>
    <t>087</t>
  </si>
  <si>
    <t>Feb 2015</t>
  </si>
  <si>
    <t>Mar 2015</t>
  </si>
  <si>
    <t>Apr 2015</t>
  </si>
  <si>
    <t>109C</t>
  </si>
  <si>
    <t>109A</t>
  </si>
  <si>
    <t>May 2015</t>
  </si>
  <si>
    <t>Jun 2015</t>
  </si>
  <si>
    <t>Jul 2015</t>
  </si>
  <si>
    <t>PE</t>
  </si>
  <si>
    <t>Aug 2015</t>
  </si>
  <si>
    <t>Sep 2015</t>
  </si>
  <si>
    <t>Oct 2015</t>
  </si>
  <si>
    <t>Nov 2015</t>
  </si>
  <si>
    <t>Dec 2015</t>
  </si>
  <si>
    <t>Jan 2016</t>
  </si>
  <si>
    <t>SFY2016</t>
  </si>
  <si>
    <t>Feb 2016</t>
  </si>
  <si>
    <t>Mar 2016</t>
  </si>
  <si>
    <t>Apr 2016</t>
  </si>
  <si>
    <t>May 2016</t>
  </si>
  <si>
    <t>Medicaid Crossover 
(Age 6-19 
109-143% FPL)</t>
  </si>
  <si>
    <t>FAMIS 
(Age 0-19 
143-200% FPL)</t>
  </si>
  <si>
    <t>SFY16</t>
  </si>
  <si>
    <t>Jun 2016</t>
  </si>
  <si>
    <t>Jul 2016</t>
  </si>
  <si>
    <t>Aug 2016</t>
  </si>
  <si>
    <t>Sep 2016</t>
  </si>
  <si>
    <t>Oct 2016</t>
  </si>
  <si>
    <t>Nov 2016</t>
  </si>
  <si>
    <t>GAP 
(Limited Benefit)</t>
  </si>
  <si>
    <t>VDSS Population Needs</t>
  </si>
  <si>
    <t>Blind and Disabled</t>
  </si>
  <si>
    <t>Low Income Children</t>
  </si>
  <si>
    <t>Foster Care</t>
  </si>
  <si>
    <t>Low Income Caretaker Adult</t>
  </si>
  <si>
    <t>cz</t>
  </si>
  <si>
    <t>SFY2017</t>
  </si>
  <si>
    <t>Dec 2016</t>
  </si>
  <si>
    <t>Jan 2017</t>
  </si>
  <si>
    <t>Feb 2017</t>
  </si>
  <si>
    <t>Mar 2017</t>
  </si>
  <si>
    <t>Apr 2017</t>
  </si>
  <si>
    <t>May 2017</t>
  </si>
  <si>
    <t>GAP</t>
  </si>
  <si>
    <t>SFY17</t>
  </si>
  <si>
    <t>Jun 2017</t>
  </si>
  <si>
    <t>SFY18</t>
  </si>
  <si>
    <t>Jul 2017</t>
  </si>
  <si>
    <t>SFY2018</t>
  </si>
  <si>
    <t>Aug 2017</t>
  </si>
  <si>
    <t>SMI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</si>
  <si>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</si>
  <si>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</si>
  <si>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</si>
  <si>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</si>
  <si>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</si>
  <si>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</si>
  <si>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</si>
  <si>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</si>
  <si>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</si>
  <si>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</si>
  <si>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</si>
  <si>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</si>
  <si>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aged</t>
  </si>
  <si>
    <t>disabled</t>
  </si>
  <si>
    <t>kids</t>
  </si>
  <si>
    <t>adults</t>
  </si>
  <si>
    <t>medicaid only</t>
  </si>
  <si>
    <t>medicaid+chip</t>
  </si>
  <si>
    <t>total</t>
  </si>
  <si>
    <t>Sep  2018</t>
  </si>
  <si>
    <t>Oct 2018</t>
  </si>
  <si>
    <t>Nov 2018</t>
  </si>
  <si>
    <t>Dec 2018</t>
  </si>
  <si>
    <t>100</t>
  </si>
  <si>
    <t>101</t>
  </si>
  <si>
    <t>102</t>
  </si>
  <si>
    <t>103</t>
  </si>
  <si>
    <t>106</t>
  </si>
  <si>
    <t>108</t>
  </si>
  <si>
    <t>ACA</t>
  </si>
  <si>
    <t>Adults (non-disabled) &amp; Children</t>
  </si>
  <si>
    <t>Jan 2019</t>
  </si>
  <si>
    <t>ACA-Expansion Childless Adults</t>
  </si>
  <si>
    <t>ACA-Expansion Caretaker Adults</t>
  </si>
  <si>
    <t>100 &amp; 101</t>
  </si>
  <si>
    <t>102, 103, 106, 108</t>
  </si>
  <si>
    <t>ACA Expansion</t>
  </si>
  <si>
    <t>Childless Adults</t>
  </si>
  <si>
    <t>Feb 2019</t>
  </si>
  <si>
    <t>Mar 2019</t>
  </si>
  <si>
    <t>Apr 2019</t>
  </si>
  <si>
    <t>May 2019</t>
  </si>
  <si>
    <t>SFY19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</si>
  <si>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</si>
  <si>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</si>
  <si>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</si>
  <si>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</si>
  <si>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</si>
  <si>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</si>
  <si>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</si>
  <si>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</si>
  <si>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</si>
  <si>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</si>
  <si>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</si>
  <si>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</si>
  <si>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</si>
  <si>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SFY20</t>
  </si>
  <si>
    <t>Jul 2020</t>
  </si>
  <si>
    <t>Aug 2020</t>
  </si>
  <si>
    <t>SFY2019</t>
  </si>
  <si>
    <t>SFY2020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</si>
  <si>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</si>
  <si>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</si>
  <si>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</si>
  <si>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</si>
  <si>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</si>
  <si>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</si>
  <si>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</si>
  <si>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</si>
  <si>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</si>
  <si>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</si>
  <si>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SFY21</t>
  </si>
  <si>
    <t>SFY22</t>
  </si>
  <si>
    <t>Jul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</si>
</sst>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00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23"/>
      <name val="Arial"/>
      <family val="2"/>
    </font>
    <font>
      <sz val="11"/>
      <color indexed="23"/>
      <name val="Arial"/>
      <family val="2"/>
    </font>
    <font>
      <i/>
      <sz val="10"/>
      <color indexed="23"/>
      <name val="Arial"/>
      <family val="2"/>
    </font>
    <font>
      <sz val="11"/>
      <color indexed="9"/>
      <name val="Arial"/>
      <family val="2"/>
    </font>
    <font>
      <sz val="10"/>
      <color indexed="54"/>
      <name val="Arial"/>
      <family val="2"/>
    </font>
    <font>
      <b/>
      <sz val="10"/>
      <color indexed="54"/>
      <name val="Arial"/>
      <family val="2"/>
    </font>
    <font>
      <b/>
      <sz val="14"/>
      <color indexed="54"/>
      <name val="Arial"/>
      <family val="2"/>
    </font>
    <font>
      <b/>
      <sz val="12"/>
      <color indexed="54"/>
      <name val="Arial"/>
      <family val="2"/>
    </font>
    <font>
      <sz val="10"/>
      <color indexed="54"/>
      <name val="Arial"/>
      <family val="2"/>
    </font>
    <font>
      <i/>
      <sz val="10"/>
      <color indexed="54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Palatino Linotype"/>
      <family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8"/>
      </top>
      <bottom style="thin">
        <color indexed="22"/>
      </bottom>
      <diagonal/>
    </border>
    <border>
      <left/>
      <right/>
      <top style="dotted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54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/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/>
      <diagonal/>
    </border>
    <border>
      <left style="double">
        <color indexed="23"/>
      </left>
      <right/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indexed="23"/>
      </left>
      <right style="thin">
        <color indexed="23"/>
      </right>
      <top/>
      <bottom style="thin">
        <color indexed="2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23"/>
      </left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 style="thin">
        <color indexed="8"/>
      </top>
      <bottom/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3" fillId="0" borderId="1">
      <alignment horizontal="center"/>
    </xf>
    <xf numFmtId="3" fontId="22" fillId="0" borderId="0" applyFont="0" applyFill="0" applyBorder="0" applyAlignment="0" applyProtection="0"/>
    <xf numFmtId="0" fontId="22" fillId="2" borderId="0" applyNumberFormat="0" applyFont="0" applyBorder="0" applyAlignment="0" applyProtection="0"/>
    <xf numFmtId="0" fontId="25" fillId="0" borderId="0"/>
    <xf numFmtId="0" fontId="27" fillId="0" borderId="0"/>
    <xf numFmtId="0" fontId="1" fillId="0" borderId="0"/>
    <xf numFmtId="0" fontId="29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" fillId="0" borderId="0"/>
  </cellStyleXfs>
  <cellXfs count="370">
    <xf numFmtId="0" fontId="0" fillId="0" borderId="0" xfId="0"/>
    <xf numFmtId="0" fontId="0" fillId="0" borderId="0" xfId="0" applyFill="1"/>
    <xf numFmtId="165" fontId="0" fillId="0" borderId="0" xfId="1" applyNumberFormat="1" applyFont="1"/>
    <xf numFmtId="0" fontId="4" fillId="3" borderId="2" xfId="3" applyFont="1" applyFill="1" applyBorder="1" applyAlignment="1">
      <alignment horizontal="center"/>
    </xf>
    <xf numFmtId="14" fontId="4" fillId="0" borderId="3" xfId="3" applyNumberFormat="1" applyFont="1" applyFill="1" applyBorder="1" applyAlignment="1">
      <alignment horizontal="right" wrapText="1"/>
    </xf>
    <xf numFmtId="0" fontId="4" fillId="0" borderId="3" xfId="3" applyFont="1" applyFill="1" applyBorder="1" applyAlignment="1">
      <alignment horizontal="right" wrapText="1"/>
    </xf>
    <xf numFmtId="3" fontId="0" fillId="0" borderId="0" xfId="0" applyNumberFormat="1"/>
    <xf numFmtId="0" fontId="4" fillId="3" borderId="4" xfId="3" applyFont="1" applyFill="1" applyBorder="1" applyAlignment="1">
      <alignment horizontal="center"/>
    </xf>
    <xf numFmtId="3" fontId="0" fillId="0" borderId="0" xfId="0" applyNumberFormat="1" applyFill="1"/>
    <xf numFmtId="14" fontId="4" fillId="0" borderId="5" xfId="3" applyNumberFormat="1" applyFont="1" applyFill="1" applyBorder="1" applyAlignment="1">
      <alignment horizontal="right" wrapText="1"/>
    </xf>
    <xf numFmtId="0" fontId="4" fillId="0" borderId="5" xfId="3" applyFont="1" applyFill="1" applyBorder="1" applyAlignment="1">
      <alignment horizontal="right" wrapText="1"/>
    </xf>
    <xf numFmtId="14" fontId="4" fillId="0" borderId="6" xfId="3" applyNumberFormat="1" applyFont="1" applyFill="1" applyBorder="1" applyAlignment="1">
      <alignment horizontal="right" wrapText="1"/>
    </xf>
    <xf numFmtId="0" fontId="4" fillId="0" borderId="6" xfId="3" applyFont="1" applyFill="1" applyBorder="1" applyAlignment="1">
      <alignment horizontal="right" wrapText="1"/>
    </xf>
    <xf numFmtId="14" fontId="4" fillId="0" borderId="7" xfId="3" applyNumberFormat="1" applyFont="1" applyFill="1" applyBorder="1" applyAlignment="1">
      <alignment horizontal="right" wrapText="1"/>
    </xf>
    <xf numFmtId="0" fontId="4" fillId="0" borderId="7" xfId="3" applyFont="1" applyFill="1" applyBorder="1" applyAlignment="1">
      <alignment horizontal="right" wrapText="1"/>
    </xf>
    <xf numFmtId="0" fontId="0" fillId="0" borderId="8" xfId="0" applyBorder="1"/>
    <xf numFmtId="3" fontId="0" fillId="0" borderId="8" xfId="0" applyNumberFormat="1" applyBorder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Fill="1" applyBorder="1"/>
    <xf numFmtId="14" fontId="4" fillId="0" borderId="9" xfId="3" applyNumberFormat="1" applyFont="1" applyFill="1" applyBorder="1" applyAlignment="1">
      <alignment horizontal="right" wrapText="1"/>
    </xf>
    <xf numFmtId="0" fontId="4" fillId="0" borderId="9" xfId="3" applyFont="1" applyFill="1" applyBorder="1" applyAlignment="1">
      <alignment horizontal="right" wrapText="1"/>
    </xf>
    <xf numFmtId="0" fontId="0" fillId="0" borderId="10" xfId="0" applyBorder="1"/>
    <xf numFmtId="3" fontId="0" fillId="0" borderId="10" xfId="0" applyNumberFormat="1" applyBorder="1"/>
    <xf numFmtId="3" fontId="0" fillId="0" borderId="10" xfId="0" applyNumberFormat="1" applyFill="1" applyBorder="1"/>
    <xf numFmtId="0" fontId="4" fillId="0" borderId="0" xfId="3" applyFont="1" applyFill="1" applyBorder="1" applyAlignment="1">
      <alignment horizontal="center"/>
    </xf>
    <xf numFmtId="0" fontId="5" fillId="4" borderId="0" xfId="0" applyFont="1" applyFill="1"/>
    <xf numFmtId="164" fontId="5" fillId="4" borderId="0" xfId="4" applyNumberFormat="1" applyFont="1" applyFill="1"/>
    <xf numFmtId="165" fontId="5" fillId="4" borderId="0" xfId="1" applyNumberFormat="1" applyFont="1" applyFill="1"/>
    <xf numFmtId="0" fontId="6" fillId="4" borderId="0" xfId="0" applyFont="1" applyFill="1" applyAlignment="1">
      <alignment horizontal="center"/>
    </xf>
    <xf numFmtId="3" fontId="6" fillId="4" borderId="0" xfId="0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0" fontId="0" fillId="0" borderId="0" xfId="0" applyAlignment="1">
      <alignment horizontal="center"/>
    </xf>
    <xf numFmtId="3" fontId="0" fillId="3" borderId="0" xfId="0" applyNumberFormat="1" applyFill="1"/>
    <xf numFmtId="9" fontId="0" fillId="0" borderId="0" xfId="4" applyFont="1"/>
    <xf numFmtId="164" fontId="0" fillId="0" borderId="0" xfId="4" applyNumberFormat="1" applyFont="1"/>
    <xf numFmtId="164" fontId="0" fillId="0" borderId="0" xfId="0" applyNumberFormat="1"/>
    <xf numFmtId="165" fontId="0" fillId="0" borderId="0" xfId="1" applyNumberFormat="1" applyFont="1" applyBorder="1"/>
    <xf numFmtId="0" fontId="4" fillId="3" borderId="12" xfId="3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6" fontId="0" fillId="0" borderId="0" xfId="0" quotePrefix="1" applyNumberFormat="1" applyFill="1" applyAlignment="1">
      <alignment horizontal="right"/>
    </xf>
    <xf numFmtId="3" fontId="0" fillId="3" borderId="12" xfId="0" applyNumberFormat="1" applyFill="1" applyBorder="1"/>
    <xf numFmtId="0" fontId="0" fillId="3" borderId="12" xfId="0" applyFill="1" applyBorder="1"/>
    <xf numFmtId="0" fontId="9" fillId="0" borderId="0" xfId="0" applyFont="1"/>
    <xf numFmtId="4" fontId="4" fillId="0" borderId="0" xfId="2" applyNumberFormat="1" applyFont="1" applyFill="1" applyBorder="1" applyAlignment="1">
      <alignment horizontal="righ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0" applyAlignment="1"/>
    <xf numFmtId="1" fontId="0" fillId="0" borderId="0" xfId="0" applyNumberFormat="1"/>
    <xf numFmtId="14" fontId="0" fillId="0" borderId="0" xfId="0" applyNumberFormat="1"/>
    <xf numFmtId="0" fontId="11" fillId="0" borderId="0" xfId="0" applyFont="1"/>
    <xf numFmtId="165" fontId="2" fillId="0" borderId="0" xfId="1" applyNumberFormat="1"/>
    <xf numFmtId="0" fontId="0" fillId="6" borderId="12" xfId="0" applyFill="1" applyBorder="1" applyAlignment="1">
      <alignment horizontal="center"/>
    </xf>
    <xf numFmtId="165" fontId="0" fillId="0" borderId="0" xfId="1" applyNumberFormat="1" applyFont="1" applyAlignment="1"/>
    <xf numFmtId="17" fontId="0" fillId="0" borderId="0" xfId="0" applyNumberFormat="1"/>
    <xf numFmtId="164" fontId="2" fillId="0" borderId="0" xfId="4" applyNumberFormat="1"/>
    <xf numFmtId="9" fontId="2" fillId="0" borderId="0" xfId="4"/>
    <xf numFmtId="14" fontId="4" fillId="0" borderId="0" xfId="3" applyNumberFormat="1" applyFont="1" applyFill="1" applyBorder="1" applyAlignment="1">
      <alignment horizontal="right" wrapText="1"/>
    </xf>
    <xf numFmtId="0" fontId="12" fillId="0" borderId="0" xfId="0" applyFont="1" applyBorder="1"/>
    <xf numFmtId="0" fontId="12" fillId="0" borderId="0" xfId="0" applyFont="1"/>
    <xf numFmtId="0" fontId="14" fillId="0" borderId="0" xfId="0" applyFont="1"/>
    <xf numFmtId="0" fontId="13" fillId="0" borderId="0" xfId="0" applyFont="1" applyBorder="1"/>
    <xf numFmtId="164" fontId="11" fillId="0" borderId="0" xfId="4" applyNumberFormat="1" applyFo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3" fontId="0" fillId="3" borderId="0" xfId="0" applyNumberFormat="1" applyFill="1" applyBorder="1"/>
    <xf numFmtId="0" fontId="12" fillId="5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0" fillId="0" borderId="0" xfId="0" applyFill="1" applyBorder="1"/>
    <xf numFmtId="0" fontId="13" fillId="5" borderId="0" xfId="0" applyFont="1" applyFill="1" applyBorder="1" applyAlignment="1"/>
    <xf numFmtId="0" fontId="13" fillId="6" borderId="0" xfId="0" applyFont="1" applyFill="1" applyBorder="1" applyAlignment="1"/>
    <xf numFmtId="3" fontId="2" fillId="0" borderId="0" xfId="1" applyNumberFormat="1" applyBorder="1" applyAlignment="1">
      <alignment horizontal="center"/>
    </xf>
    <xf numFmtId="3" fontId="2" fillId="0" borderId="0" xfId="1" applyNumberFormat="1" applyFill="1" applyAlignment="1">
      <alignment horizontal="center"/>
    </xf>
    <xf numFmtId="165" fontId="16" fillId="0" borderId="0" xfId="1" applyNumberFormat="1" applyFont="1" applyFill="1" applyBorder="1"/>
    <xf numFmtId="3" fontId="2" fillId="0" borderId="0" xfId="1" applyNumberFormat="1" applyFont="1" applyBorder="1" applyAlignment="1">
      <alignment horizontal="center"/>
    </xf>
    <xf numFmtId="165" fontId="17" fillId="0" borderId="0" xfId="0" applyNumberFormat="1" applyFont="1" applyFill="1" applyBorder="1" applyAlignment="1"/>
    <xf numFmtId="3" fontId="2" fillId="0" borderId="0" xfId="1" applyNumberFormat="1" applyFill="1" applyBorder="1" applyAlignment="1">
      <alignment horizontal="center"/>
    </xf>
    <xf numFmtId="3" fontId="2" fillId="0" borderId="16" xfId="1" applyNumberFormat="1" applyBorder="1" applyAlignment="1">
      <alignment horizontal="center"/>
    </xf>
    <xf numFmtId="3" fontId="2" fillId="0" borderId="16" xfId="1" applyNumberFormat="1" applyFill="1" applyBorder="1" applyAlignment="1">
      <alignment horizontal="center"/>
    </xf>
    <xf numFmtId="3" fontId="2" fillId="0" borderId="16" xfId="1" applyNumberFormat="1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6" fillId="3" borderId="18" xfId="3" applyFont="1" applyFill="1" applyBorder="1" applyAlignment="1">
      <alignment horizontal="center" vertical="center" wrapText="1"/>
    </xf>
    <xf numFmtId="0" fontId="5" fillId="7" borderId="3" xfId="3" applyFont="1" applyFill="1" applyBorder="1" applyAlignment="1">
      <alignment horizontal="center" vertical="center"/>
    </xf>
    <xf numFmtId="3" fontId="16" fillId="0" borderId="0" xfId="1" applyNumberFormat="1" applyFont="1" applyFill="1" applyAlignment="1">
      <alignment horizontal="right"/>
    </xf>
    <xf numFmtId="164" fontId="11" fillId="0" borderId="0" xfId="4" applyNumberFormat="1" applyFont="1" applyFill="1"/>
    <xf numFmtId="0" fontId="11" fillId="0" borderId="0" xfId="0" applyFont="1" applyFill="1"/>
    <xf numFmtId="165" fontId="11" fillId="0" borderId="0" xfId="0" applyNumberFormat="1" applyFont="1" applyFill="1"/>
    <xf numFmtId="164" fontId="11" fillId="0" borderId="0" xfId="4" applyNumberFormat="1" applyFont="1" applyFill="1" applyBorder="1"/>
    <xf numFmtId="0" fontId="11" fillId="0" borderId="0" xfId="0" applyFont="1" applyFill="1" applyBorder="1"/>
    <xf numFmtId="0" fontId="16" fillId="3" borderId="18" xfId="3" applyFont="1" applyFill="1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20" fillId="0" borderId="0" xfId="0" applyFont="1"/>
    <xf numFmtId="164" fontId="21" fillId="0" borderId="0" xfId="4" applyNumberFormat="1" applyFont="1" applyAlignment="1">
      <alignment horizontal="center"/>
    </xf>
    <xf numFmtId="9" fontId="17" fillId="8" borderId="20" xfId="4" applyFont="1" applyFill="1" applyBorder="1" applyAlignment="1">
      <alignment horizontal="center"/>
    </xf>
    <xf numFmtId="9" fontId="17" fillId="8" borderId="17" xfId="4" applyFont="1" applyFill="1" applyBorder="1" applyAlignment="1">
      <alignment horizontal="center"/>
    </xf>
    <xf numFmtId="9" fontId="17" fillId="8" borderId="19" xfId="4" applyFont="1" applyFill="1" applyBorder="1" applyAlignment="1">
      <alignment horizontal="center"/>
    </xf>
    <xf numFmtId="3" fontId="5" fillId="7" borderId="21" xfId="0" applyNumberFormat="1" applyFont="1" applyFill="1" applyBorder="1" applyAlignment="1">
      <alignment horizontal="center"/>
    </xf>
    <xf numFmtId="0" fontId="5" fillId="7" borderId="23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left"/>
    </xf>
    <xf numFmtId="3" fontId="5" fillId="7" borderId="21" xfId="0" applyNumberFormat="1" applyFont="1" applyFill="1" applyBorder="1" applyAlignment="1">
      <alignment horizontal="right"/>
    </xf>
    <xf numFmtId="164" fontId="2" fillId="0" borderId="0" xfId="4" applyNumberFormat="1" applyBorder="1" applyAlignment="1">
      <alignment horizontal="center"/>
    </xf>
    <xf numFmtId="10" fontId="0" fillId="0" borderId="0" xfId="4" applyNumberFormat="1" applyFont="1"/>
    <xf numFmtId="0" fontId="0" fillId="0" borderId="12" xfId="0" applyBorder="1"/>
    <xf numFmtId="9" fontId="0" fillId="0" borderId="0" xfId="4" applyFont="1" applyBorder="1" applyAlignment="1">
      <alignment horizontal="right"/>
    </xf>
    <xf numFmtId="9" fontId="0" fillId="0" borderId="0" xfId="4" applyFont="1" applyAlignment="1"/>
    <xf numFmtId="165" fontId="0" fillId="0" borderId="0" xfId="1" applyNumberFormat="1" applyFont="1" applyFill="1"/>
    <xf numFmtId="165" fontId="0" fillId="0" borderId="0" xfId="1" applyNumberFormat="1" applyFont="1" applyFill="1" applyAlignment="1"/>
    <xf numFmtId="0" fontId="4" fillId="0" borderId="0" xfId="3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center"/>
    </xf>
    <xf numFmtId="3" fontId="2" fillId="0" borderId="16" xfId="1" applyNumberFormat="1" applyFont="1" applyFill="1" applyBorder="1" applyAlignment="1">
      <alignment horizontal="center"/>
    </xf>
    <xf numFmtId="0" fontId="12" fillId="5" borderId="0" xfId="3" applyFont="1" applyFill="1" applyBorder="1" applyAlignment="1">
      <alignment horizontal="center" vertical="center"/>
    </xf>
    <xf numFmtId="0" fontId="12" fillId="6" borderId="0" xfId="3" applyFont="1" applyFill="1" applyBorder="1" applyAlignment="1">
      <alignment horizontal="center" vertical="center"/>
    </xf>
    <xf numFmtId="165" fontId="11" fillId="0" borderId="0" xfId="1" applyNumberFormat="1" applyFont="1" applyFill="1"/>
    <xf numFmtId="9" fontId="17" fillId="8" borderId="20" xfId="4" applyNumberFormat="1" applyFont="1" applyFill="1" applyBorder="1" applyAlignment="1">
      <alignment horizontal="center"/>
    </xf>
    <xf numFmtId="9" fontId="0" fillId="0" borderId="0" xfId="0" applyNumberFormat="1"/>
    <xf numFmtId="0" fontId="2" fillId="0" borderId="0" xfId="0" applyFont="1"/>
    <xf numFmtId="43" fontId="21" fillId="0" borderId="0" xfId="1" applyFont="1" applyAlignment="1">
      <alignment horizontal="center"/>
    </xf>
    <xf numFmtId="165" fontId="21" fillId="0" borderId="0" xfId="1" applyNumberFormat="1" applyFont="1" applyAlignment="1">
      <alignment horizontal="center"/>
    </xf>
    <xf numFmtId="164" fontId="0" fillId="0" borderId="0" xfId="4" applyNumberFormat="1" applyFont="1" applyFill="1"/>
    <xf numFmtId="10" fontId="0" fillId="0" borderId="0" xfId="4" applyNumberFormat="1" applyFont="1" applyFill="1"/>
    <xf numFmtId="165" fontId="0" fillId="0" borderId="0" xfId="0" applyNumberFormat="1" applyFill="1"/>
    <xf numFmtId="165" fontId="16" fillId="0" borderId="0" xfId="1" quotePrefix="1" applyNumberFormat="1" applyFont="1" applyFill="1" applyBorder="1" applyAlignment="1"/>
    <xf numFmtId="165" fontId="16" fillId="0" borderId="0" xfId="1" quotePrefix="1" applyNumberFormat="1" applyFont="1" applyBorder="1" applyAlignment="1"/>
    <xf numFmtId="164" fontId="0" fillId="3" borderId="0" xfId="4" applyNumberFormat="1" applyFont="1" applyFill="1" applyBorder="1"/>
    <xf numFmtId="10" fontId="0" fillId="3" borderId="0" xfId="4" applyNumberFormat="1" applyFont="1" applyFill="1" applyBorder="1"/>
    <xf numFmtId="4" fontId="24" fillId="0" borderId="0" xfId="11" applyNumberFormat="1" applyFont="1" applyFill="1" applyBorder="1" applyAlignment="1">
      <alignment horizontal="right" wrapText="1"/>
    </xf>
    <xf numFmtId="0" fontId="24" fillId="0" borderId="0" xfId="11" applyFont="1" applyFill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165" fontId="16" fillId="0" borderId="0" xfId="1" quotePrefix="1" applyNumberFormat="1" applyFont="1" applyFill="1" applyBorder="1" applyAlignment="1">
      <alignment horizontal="left"/>
    </xf>
    <xf numFmtId="165" fontId="16" fillId="0" borderId="0" xfId="1" quotePrefix="1" applyNumberFormat="1" applyFont="1" applyBorder="1" applyAlignment="1">
      <alignment horizontal="left"/>
    </xf>
    <xf numFmtId="4" fontId="0" fillId="0" borderId="0" xfId="0" applyNumberFormat="1"/>
    <xf numFmtId="0" fontId="2" fillId="3" borderId="12" xfId="0" applyFont="1" applyFill="1" applyBorder="1"/>
    <xf numFmtId="0" fontId="26" fillId="10" borderId="2" xfId="12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1" quotePrefix="1" applyNumberFormat="1" applyFont="1" applyFill="1" applyBorder="1" applyAlignment="1">
      <alignment horizontal="left"/>
    </xf>
    <xf numFmtId="9" fontId="0" fillId="0" borderId="0" xfId="4" applyNumberFormat="1" applyFont="1" applyBorder="1"/>
    <xf numFmtId="0" fontId="19" fillId="3" borderId="18" xfId="3" applyFont="1" applyFill="1" applyBorder="1" applyAlignment="1">
      <alignment horizontal="center" vertical="center" wrapText="1"/>
    </xf>
    <xf numFmtId="3" fontId="10" fillId="0" borderId="0" xfId="1" applyNumberFormat="1" applyFont="1" applyBorder="1" applyAlignment="1">
      <alignment horizontal="center"/>
    </xf>
    <xf numFmtId="3" fontId="10" fillId="0" borderId="0" xfId="1" applyNumberFormat="1" applyFont="1" applyFill="1" applyBorder="1" applyAlignment="1">
      <alignment horizontal="center"/>
    </xf>
    <xf numFmtId="0" fontId="0" fillId="0" borderId="0" xfId="0"/>
    <xf numFmtId="0" fontId="24" fillId="10" borderId="2" xfId="12" quotePrefix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4" fillId="11" borderId="0" xfId="3" applyFont="1" applyFill="1" applyBorder="1" applyAlignment="1">
      <alignment horizontal="center"/>
    </xf>
    <xf numFmtId="0" fontId="24" fillId="12" borderId="2" xfId="12" quotePrefix="1" applyFont="1" applyFill="1" applyBorder="1" applyAlignment="1">
      <alignment horizontal="center"/>
    </xf>
    <xf numFmtId="0" fontId="4" fillId="11" borderId="3" xfId="3" applyFont="1" applyFill="1" applyBorder="1" applyAlignment="1">
      <alignment horizontal="right" wrapText="1"/>
    </xf>
    <xf numFmtId="0" fontId="4" fillId="11" borderId="6" xfId="3" applyFont="1" applyFill="1" applyBorder="1" applyAlignment="1">
      <alignment horizontal="right" wrapText="1"/>
    </xf>
    <xf numFmtId="0" fontId="4" fillId="11" borderId="7" xfId="3" applyFont="1" applyFill="1" applyBorder="1" applyAlignment="1">
      <alignment horizontal="right" wrapText="1"/>
    </xf>
    <xf numFmtId="0" fontId="4" fillId="11" borderId="9" xfId="3" applyFont="1" applyFill="1" applyBorder="1" applyAlignment="1">
      <alignment horizontal="right" wrapText="1"/>
    </xf>
    <xf numFmtId="0" fontId="4" fillId="11" borderId="5" xfId="3" applyFont="1" applyFill="1" applyBorder="1" applyAlignment="1">
      <alignment horizontal="right" wrapText="1"/>
    </xf>
    <xf numFmtId="0" fontId="4" fillId="11" borderId="0" xfId="3" applyFont="1" applyFill="1" applyBorder="1" applyAlignment="1">
      <alignment horizontal="right" wrapText="1"/>
    </xf>
    <xf numFmtId="3" fontId="0" fillId="11" borderId="12" xfId="0" applyNumberFormat="1" applyFill="1" applyBorder="1"/>
    <xf numFmtId="0" fontId="26" fillId="12" borderId="2" xfId="12" applyFont="1" applyFill="1" applyBorder="1" applyAlignment="1">
      <alignment horizontal="center"/>
    </xf>
    <xf numFmtId="0" fontId="0" fillId="0" borderId="0" xfId="0"/>
    <xf numFmtId="0" fontId="0" fillId="0" borderId="0" xfId="0"/>
    <xf numFmtId="0" fontId="4" fillId="0" borderId="0" xfId="3" applyNumberFormat="1" applyFont="1" applyFill="1" applyBorder="1" applyAlignment="1">
      <alignment horizontal="right" wrapText="1"/>
    </xf>
    <xf numFmtId="166" fontId="28" fillId="5" borderId="40" xfId="0" quotePrefix="1" applyNumberFormat="1" applyFont="1" applyFill="1" applyBorder="1" applyAlignment="1">
      <alignment horizontal="center" vertical="center"/>
    </xf>
    <xf numFmtId="166" fontId="28" fillId="5" borderId="41" xfId="0" quotePrefix="1" applyNumberFormat="1" applyFont="1" applyFill="1" applyBorder="1" applyAlignment="1">
      <alignment horizontal="center" vertical="center"/>
    </xf>
    <xf numFmtId="166" fontId="28" fillId="5" borderId="41" xfId="0" applyNumberFormat="1" applyFont="1" applyFill="1" applyBorder="1" applyAlignment="1">
      <alignment horizontal="center" vertical="center"/>
    </xf>
    <xf numFmtId="0" fontId="0" fillId="13" borderId="0" xfId="0" applyFill="1"/>
    <xf numFmtId="0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5" fontId="2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1" borderId="0" xfId="0" applyNumberFormat="1" applyFill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7" borderId="0" xfId="0" applyFont="1" applyFill="1" applyBorder="1" applyAlignment="1">
      <alignment horizontal="left"/>
    </xf>
    <xf numFmtId="0" fontId="0" fillId="0" borderId="0" xfId="0"/>
    <xf numFmtId="0" fontId="0" fillId="0" borderId="0" xfId="0"/>
    <xf numFmtId="164" fontId="0" fillId="0" borderId="0" xfId="4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3" borderId="17" xfId="3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9"/>
    <xf numFmtId="0" fontId="2" fillId="0" borderId="0" xfId="19" applyAlignment="1"/>
    <xf numFmtId="0" fontId="2" fillId="0" borderId="0" xfId="19" applyBorder="1" applyAlignment="1">
      <alignment horizontal="right"/>
    </xf>
    <xf numFmtId="9" fontId="2" fillId="0" borderId="0" xfId="19" applyNumberFormat="1"/>
    <xf numFmtId="3" fontId="2" fillId="0" borderId="0" xfId="19" applyNumberFormat="1"/>
    <xf numFmtId="165" fontId="2" fillId="0" borderId="0" xfId="19" applyNumberFormat="1"/>
    <xf numFmtId="164" fontId="2" fillId="0" borderId="0" xfId="19" applyNumberFormat="1"/>
    <xf numFmtId="165" fontId="2" fillId="0" borderId="0" xfId="19" applyNumberFormat="1" applyAlignment="1"/>
    <xf numFmtId="14" fontId="17" fillId="8" borderId="17" xfId="19" applyNumberFormat="1" applyFont="1" applyFill="1" applyBorder="1" applyAlignment="1">
      <alignment horizontal="left"/>
    </xf>
    <xf numFmtId="165" fontId="17" fillId="8" borderId="18" xfId="19" applyNumberFormat="1" applyFont="1" applyFill="1" applyBorder="1" applyAlignment="1">
      <alignment horizontal="left"/>
    </xf>
    <xf numFmtId="165" fontId="2" fillId="0" borderId="0" xfId="1" applyNumberFormat="1" applyFont="1" applyFill="1" applyAlignment="1">
      <alignment horizontal="center"/>
    </xf>
    <xf numFmtId="0" fontId="10" fillId="0" borderId="0" xfId="19" applyFont="1"/>
    <xf numFmtId="0" fontId="17" fillId="0" borderId="0" xfId="19" applyFont="1" applyBorder="1" applyAlignment="1">
      <alignment horizontal="left"/>
    </xf>
    <xf numFmtId="3" fontId="5" fillId="7" borderId="3" xfId="19" applyNumberFormat="1" applyFont="1" applyFill="1" applyBorder="1"/>
    <xf numFmtId="3" fontId="5" fillId="7" borderId="22" xfId="19" applyNumberFormat="1" applyFont="1" applyFill="1" applyBorder="1" applyAlignment="1">
      <alignment horizontal="center"/>
    </xf>
    <xf numFmtId="0" fontId="5" fillId="7" borderId="0" xfId="19" applyFont="1" applyFill="1" applyBorder="1" applyAlignment="1">
      <alignment horizontal="left"/>
    </xf>
    <xf numFmtId="3" fontId="5" fillId="7" borderId="3" xfId="19" applyNumberFormat="1" applyFont="1" applyFill="1" applyBorder="1" applyAlignment="1">
      <alignment horizontal="right"/>
    </xf>
    <xf numFmtId="3" fontId="5" fillId="7" borderId="21" xfId="19" applyNumberFormat="1" applyFont="1" applyFill="1" applyBorder="1" applyAlignment="1">
      <alignment horizontal="center"/>
    </xf>
    <xf numFmtId="3" fontId="5" fillId="7" borderId="3" xfId="19" applyNumberFormat="1" applyFont="1" applyFill="1" applyBorder="1" applyAlignment="1">
      <alignment horizontal="center"/>
    </xf>
    <xf numFmtId="3" fontId="5" fillId="7" borderId="24" xfId="19" applyNumberFormat="1" applyFont="1" applyFill="1" applyBorder="1" applyAlignment="1">
      <alignment horizontal="center"/>
    </xf>
    <xf numFmtId="0" fontId="5" fillId="7" borderId="21" xfId="19" applyFont="1" applyFill="1" applyBorder="1" applyAlignment="1">
      <alignment horizontal="left"/>
    </xf>
    <xf numFmtId="0" fontId="5" fillId="7" borderId="23" xfId="19" applyFont="1" applyFill="1" applyBorder="1" applyAlignment="1">
      <alignment horizontal="left"/>
    </xf>
    <xf numFmtId="0" fontId="2" fillId="0" borderId="0" xfId="19" applyBorder="1"/>
    <xf numFmtId="3" fontId="5" fillId="7" borderId="23" xfId="19" applyNumberFormat="1" applyFont="1" applyFill="1" applyBorder="1" applyAlignment="1">
      <alignment horizontal="right"/>
    </xf>
    <xf numFmtId="3" fontId="2" fillId="0" borderId="0" xfId="19" applyNumberFormat="1" applyBorder="1"/>
    <xf numFmtId="0" fontId="2" fillId="0" borderId="0" xfId="19" applyFill="1" applyBorder="1"/>
    <xf numFmtId="165" fontId="17" fillId="0" borderId="0" xfId="19" applyNumberFormat="1" applyFont="1" applyFill="1" applyBorder="1" applyAlignment="1"/>
    <xf numFmtId="165" fontId="2" fillId="0" borderId="0" xfId="19" applyNumberFormat="1" applyBorder="1"/>
    <xf numFmtId="0" fontId="12" fillId="0" borderId="0" xfId="19" applyFont="1" applyBorder="1" applyAlignment="1">
      <alignment wrapText="1"/>
    </xf>
    <xf numFmtId="0" fontId="12" fillId="0" borderId="0" xfId="19" applyFont="1" applyBorder="1" applyAlignment="1">
      <alignment horizontal="right" wrapText="1"/>
    </xf>
    <xf numFmtId="0" fontId="12" fillId="0" borderId="0" xfId="19" applyFont="1" applyBorder="1"/>
    <xf numFmtId="0" fontId="12" fillId="0" borderId="0" xfId="19" applyFont="1" applyBorder="1" applyAlignment="1">
      <alignment horizontal="right"/>
    </xf>
    <xf numFmtId="0" fontId="13" fillId="0" borderId="0" xfId="19" applyFont="1" applyBorder="1"/>
    <xf numFmtId="0" fontId="13" fillId="0" borderId="0" xfId="19" applyFont="1" applyBorder="1" applyAlignment="1">
      <alignment horizontal="right"/>
    </xf>
    <xf numFmtId="0" fontId="12" fillId="0" borderId="0" xfId="19" applyFont="1"/>
    <xf numFmtId="0" fontId="0" fillId="0" borderId="0" xfId="0"/>
    <xf numFmtId="0" fontId="0" fillId="0" borderId="0" xfId="0"/>
    <xf numFmtId="0" fontId="0" fillId="0" borderId="0" xfId="0"/>
    <xf numFmtId="165" fontId="0" fillId="3" borderId="0" xfId="4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3" borderId="37" xfId="3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Border="1" applyAlignment="1">
      <alignment horizontal="center"/>
    </xf>
    <xf numFmtId="43" fontId="0" fillId="0" borderId="0" xfId="1" applyFont="1"/>
    <xf numFmtId="3" fontId="0" fillId="0" borderId="12" xfId="0" applyNumberFormat="1" applyBorder="1" applyAlignment="1">
      <alignment horizontal="center"/>
    </xf>
    <xf numFmtId="9" fontId="0" fillId="0" borderId="12" xfId="4" applyFont="1" applyBorder="1" applyAlignment="1">
      <alignment horizontal="center"/>
    </xf>
    <xf numFmtId="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7" borderId="0" xfId="19" applyFont="1" applyFill="1" applyBorder="1" applyAlignment="1">
      <alignment horizontal="center"/>
    </xf>
    <xf numFmtId="0" fontId="0" fillId="0" borderId="0" xfId="0"/>
    <xf numFmtId="0" fontId="4" fillId="3" borderId="4" xfId="3" applyFont="1" applyFill="1" applyBorder="1" applyAlignment="1">
      <alignment horizontal="center" wrapText="1"/>
    </xf>
    <xf numFmtId="3" fontId="5" fillId="7" borderId="0" xfId="19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3" borderId="45" xfId="3" applyFont="1" applyFill="1" applyBorder="1" applyAlignment="1">
      <alignment horizontal="center" wrapText="1"/>
    </xf>
    <xf numFmtId="0" fontId="4" fillId="3" borderId="0" xfId="3" applyFont="1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9" fillId="6" borderId="0" xfId="3" applyFont="1" applyFill="1" applyBorder="1" applyAlignment="1">
      <alignment horizontal="center" vertical="center" wrapText="1"/>
    </xf>
    <xf numFmtId="0" fontId="16" fillId="3" borderId="30" xfId="3" applyFont="1" applyFill="1" applyBorder="1" applyAlignment="1">
      <alignment horizontal="center" vertical="center" wrapText="1"/>
    </xf>
    <xf numFmtId="0" fontId="16" fillId="3" borderId="31" xfId="3" applyFont="1" applyFill="1" applyBorder="1" applyAlignment="1">
      <alignment horizontal="center" vertical="center" wrapText="1"/>
    </xf>
    <xf numFmtId="0" fontId="16" fillId="3" borderId="34" xfId="3" applyFont="1" applyFill="1" applyBorder="1" applyAlignment="1">
      <alignment horizontal="center" vertical="center" wrapText="1"/>
    </xf>
    <xf numFmtId="0" fontId="16" fillId="3" borderId="35" xfId="3" applyFont="1" applyFill="1" applyBorder="1" applyAlignment="1">
      <alignment horizontal="center" vertical="center" wrapText="1"/>
    </xf>
    <xf numFmtId="0" fontId="16" fillId="3" borderId="42" xfId="3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"/>
    </xf>
    <xf numFmtId="0" fontId="16" fillId="3" borderId="16" xfId="3" applyFont="1" applyFill="1" applyBorder="1" applyAlignment="1">
      <alignment horizontal="center"/>
    </xf>
    <xf numFmtId="0" fontId="16" fillId="3" borderId="43" xfId="3" applyFont="1" applyFill="1" applyBorder="1" applyAlignment="1">
      <alignment horizontal="center" vertical="center" wrapText="1"/>
    </xf>
    <xf numFmtId="0" fontId="16" fillId="3" borderId="44" xfId="3" applyFont="1" applyFill="1" applyBorder="1" applyAlignment="1">
      <alignment horizontal="center" vertical="center" wrapText="1"/>
    </xf>
    <xf numFmtId="0" fontId="16" fillId="3" borderId="32" xfId="3" applyFont="1" applyFill="1" applyBorder="1" applyAlignment="1">
      <alignment horizontal="center" vertical="center" wrapText="1"/>
    </xf>
    <xf numFmtId="0" fontId="16" fillId="3" borderId="33" xfId="3" applyFont="1" applyFill="1" applyBorder="1" applyAlignment="1">
      <alignment horizontal="center" vertical="center" wrapText="1"/>
    </xf>
    <xf numFmtId="0" fontId="16" fillId="3" borderId="36" xfId="3" applyFont="1" applyFill="1" applyBorder="1" applyAlignment="1">
      <alignment horizontal="center" vertical="center" wrapText="1"/>
    </xf>
    <xf numFmtId="0" fontId="16" fillId="3" borderId="37" xfId="3" applyFont="1" applyFill="1" applyBorder="1" applyAlignment="1">
      <alignment horizontal="center" vertical="center" wrapText="1"/>
    </xf>
    <xf numFmtId="0" fontId="18" fillId="6" borderId="0" xfId="19" applyFont="1" applyFill="1" applyAlignment="1">
      <alignment horizontal="center"/>
    </xf>
    <xf numFmtId="0" fontId="15" fillId="7" borderId="0" xfId="19" applyFont="1" applyFill="1" applyBorder="1" applyAlignment="1">
      <alignment horizontal="center"/>
    </xf>
    <xf numFmtId="0" fontId="16" fillId="3" borderId="18" xfId="3" applyFont="1" applyFill="1" applyBorder="1" applyAlignment="1">
      <alignment horizontal="center"/>
    </xf>
    <xf numFmtId="0" fontId="16" fillId="3" borderId="19" xfId="3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0" fontId="5" fillId="7" borderId="26" xfId="3" applyFont="1" applyFill="1" applyBorder="1" applyAlignment="1">
      <alignment horizontal="center" vertical="center"/>
    </xf>
    <xf numFmtId="0" fontId="5" fillId="7" borderId="27" xfId="3" applyFont="1" applyFill="1" applyBorder="1" applyAlignment="1">
      <alignment horizontal="center" vertical="center"/>
    </xf>
    <xf numFmtId="0" fontId="16" fillId="3" borderId="32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center"/>
    </xf>
    <xf numFmtId="0" fontId="16" fillId="3" borderId="28" xfId="3" applyFont="1" applyFill="1" applyBorder="1" applyAlignment="1">
      <alignment horizontal="center" vertical="center" wrapText="1"/>
    </xf>
    <xf numFmtId="0" fontId="16" fillId="3" borderId="29" xfId="3" applyFont="1" applyFill="1" applyBorder="1" applyAlignment="1">
      <alignment horizontal="center" vertical="center" wrapText="1"/>
    </xf>
    <xf numFmtId="0" fontId="16" fillId="3" borderId="38" xfId="3" applyFont="1" applyFill="1" applyBorder="1" applyAlignment="1">
      <alignment horizontal="center" vertical="center" wrapText="1"/>
    </xf>
    <xf numFmtId="0" fontId="16" fillId="3" borderId="39" xfId="3" applyFont="1" applyFill="1" applyBorder="1" applyAlignment="1">
      <alignment horizontal="center" vertical="center" wrapText="1"/>
    </xf>
    <xf numFmtId="0" fontId="19" fillId="3" borderId="28" xfId="3" applyFont="1" applyFill="1" applyBorder="1" applyAlignment="1">
      <alignment horizontal="center" vertical="center" wrapText="1"/>
    </xf>
    <xf numFmtId="0" fontId="19" fillId="3" borderId="29" xfId="3" applyFont="1" applyFill="1" applyBorder="1" applyAlignment="1">
      <alignment horizontal="center" vertical="center" wrapText="1"/>
    </xf>
    <xf numFmtId="0" fontId="5" fillId="7" borderId="0" xfId="3" applyFont="1" applyFill="1" applyBorder="1" applyAlignment="1">
      <alignment horizontal="center" vertical="center"/>
    </xf>
  </cellXfs>
  <cellStyles count="20">
    <cellStyle name="Comma" xfId="1" builtinId="3"/>
    <cellStyle name="Comma 2" xfId="15" xr:uid="{00000000-0005-0000-0000-000001000000}"/>
    <cellStyle name="Comma 3" xfId="18" xr:uid="{00000000-0005-0000-0000-000002000000}"/>
    <cellStyle name="Currency 2" xfId="16" xr:uid="{00000000-0005-0000-0000-000003000000}"/>
    <cellStyle name="Normal" xfId="0" builtinId="0"/>
    <cellStyle name="Normal 2" xfId="14" xr:uid="{00000000-0005-0000-0000-000005000000}"/>
    <cellStyle name="Normal 3" xfId="13" xr:uid="{00000000-0005-0000-0000-000006000000}"/>
    <cellStyle name="Normal 4" xfId="19" xr:uid="{00000000-0005-0000-0000-000007000000}"/>
    <cellStyle name="Normal_Population" xfId="2" xr:uid="{00000000-0005-0000-0000-000008000000}"/>
    <cellStyle name="Normal_Population_1" xfId="11" xr:uid="{00000000-0005-0000-0000-000009000000}"/>
    <cellStyle name="Normal_Population_2" xfId="12" xr:uid="{00000000-0005-0000-0000-00000A000000}"/>
    <cellStyle name="Normal_Sheet1" xfId="3" xr:uid="{00000000-0005-0000-0000-00000B000000}"/>
    <cellStyle name="Percent" xfId="4" builtinId="5"/>
    <cellStyle name="Percent 2" xfId="17" xr:uid="{00000000-0005-0000-0000-00000D000000}"/>
    <cellStyle name="PSChar" xfId="5" xr:uid="{00000000-0005-0000-0000-00000E000000}"/>
    <cellStyle name="PSDate" xfId="6" xr:uid="{00000000-0005-0000-0000-00000F000000}"/>
    <cellStyle name="PSDec" xfId="7" xr:uid="{00000000-0005-0000-0000-000010000000}"/>
    <cellStyle name="PSHeading" xfId="8" xr:uid="{00000000-0005-0000-0000-000011000000}"/>
    <cellStyle name="PSInt" xfId="9" xr:uid="{00000000-0005-0000-0000-000012000000}"/>
    <cellStyle name="PSSpacer" xfId="10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svandegrift/Local%20Settings/Temporary%20Internet%20Files/OLK2E/2011-02%20mc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UDGET/LOTUSDAT/08GA/Decision%20Packages/Stage%203%20DP%20Submit%20to%20SHHR/ALTC%20-%20Form%20N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bas/HC/Virginia/08PACE/Workpapers/Data%20Source/Mem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UDGET/LOTUSDAT/Cost%20Effectiveness/ALTC/P1&amp;P2%20Final%20doc's%20With%20Richmond/Reference%20Docs%20used%20for%20initial%20proje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ID_BY_REGION (2)"/>
      <sheetName val="MC Flash"/>
      <sheetName val="FAMIS Flash"/>
      <sheetName val="MEDICAID_BY_REGION"/>
      <sheetName val="FAMIS_BY_REGION"/>
      <sheetName val="MEDICAID_BY_FIPS"/>
      <sheetName val="FAMIS_BY_FIPS"/>
      <sheetName val="Medallion II &amp; FAMIS MCO Totals"/>
      <sheetName val="MEDALLION_Children_BY_FIPS"/>
      <sheetName val="FFS_CHILDREN_BY_FIPS"/>
      <sheetName val="MEDALLION_II_Children_BY_FIPS"/>
      <sheetName val="Medicaid SSI Children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alculator"/>
      <sheetName val="Instructions"/>
      <sheetName val="BenefitRates"/>
      <sheetName val="Lists"/>
    </sheetNames>
    <sheetDataSet>
      <sheetData sheetId="0" refreshError="1"/>
      <sheetData sheetId="1" refreshError="1"/>
      <sheetData sheetId="2">
        <row r="5">
          <cell r="F5" t="str">
            <v>Single Coverage</v>
          </cell>
        </row>
        <row r="6">
          <cell r="F6" t="str">
            <v>Employee + One</v>
          </cell>
        </row>
        <row r="7">
          <cell r="F7" t="str">
            <v>Family Coverage</v>
          </cell>
        </row>
        <row r="8">
          <cell r="F8" t="str">
            <v>Coverage Waived</v>
          </cell>
        </row>
      </sheetData>
      <sheetData sheetId="3">
        <row r="5">
          <cell r="D5" t="str">
            <v>Yes</v>
          </cell>
        </row>
        <row r="6">
          <cell r="D6" t="str">
            <v>No</v>
          </cell>
        </row>
        <row r="9">
          <cell r="D9" t="str">
            <v>VRS-Regular</v>
          </cell>
        </row>
        <row r="10">
          <cell r="D10" t="str">
            <v>VaLORS</v>
          </cell>
        </row>
        <row r="11">
          <cell r="D11" t="str">
            <v>SPORS</v>
          </cell>
        </row>
        <row r="12">
          <cell r="D12" t="str">
            <v>Judges</v>
          </cell>
        </row>
        <row r="13">
          <cell r="D13" t="str">
            <v>Defined Contrib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Mo"/>
      <sheetName val="MemMo For Trends"/>
      <sheetName val="Compare - Monthly Differ"/>
      <sheetName val="Compare - Annual Differ"/>
      <sheetName val="Compare - FY2005 Differ"/>
      <sheetName val="Compare1 - FY2005 Differ (Fix)"/>
      <sheetName val="Compare2 - FY2005 Differ (Fix)"/>
      <sheetName val="FY07 MemMo Data Source (Fix)"/>
      <sheetName val="FY08 MemMo Data Source"/>
      <sheetName val="elig_DESIG"/>
      <sheetName val="elig_MODxCHG"/>
      <sheetName val="elig_SPG"/>
      <sheetName val="elig_PGM"/>
      <sheetName val="elig_PROV"/>
      <sheetName val="MemMo E23For Tre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-Sal Direct Assump"/>
      <sheetName val="Ref-ALTC NP FORM"/>
      <sheetName val="Ref-ALTC Staffing"/>
    </sheetNames>
    <sheetDataSet>
      <sheetData sheetId="0" refreshError="1"/>
      <sheetData sheetId="1">
        <row r="4">
          <cell r="A4" t="str">
            <v>Prog Admin Spec II</v>
          </cell>
          <cell r="B4" t="str">
            <v>VRS-Regular</v>
          </cell>
          <cell r="C4" t="str">
            <v>Yes</v>
          </cell>
          <cell r="D4">
            <v>60922</v>
          </cell>
          <cell r="E4" t="str">
            <v>Family Coverage</v>
          </cell>
          <cell r="F4">
            <v>24</v>
          </cell>
          <cell r="G4">
            <v>24</v>
          </cell>
          <cell r="H4">
            <v>60922</v>
          </cell>
          <cell r="I4">
            <v>6793</v>
          </cell>
          <cell r="J4">
            <v>4661</v>
          </cell>
          <cell r="K4">
            <v>609</v>
          </cell>
          <cell r="L4">
            <v>12420</v>
          </cell>
          <cell r="M4">
            <v>731</v>
          </cell>
          <cell r="N4">
            <v>1218</v>
          </cell>
          <cell r="O4">
            <v>480</v>
          </cell>
          <cell r="P4">
            <v>87834</v>
          </cell>
          <cell r="Q4">
            <v>60922</v>
          </cell>
          <cell r="R4">
            <v>6793</v>
          </cell>
          <cell r="S4">
            <v>4661</v>
          </cell>
          <cell r="T4">
            <v>609</v>
          </cell>
          <cell r="U4">
            <v>12420</v>
          </cell>
          <cell r="V4">
            <v>731</v>
          </cell>
          <cell r="W4">
            <v>1218</v>
          </cell>
          <cell r="X4">
            <v>480</v>
          </cell>
          <cell r="Y4">
            <v>87834</v>
          </cell>
        </row>
        <row r="5">
          <cell r="A5" t="str">
            <v>Prog Admin Spec II</v>
          </cell>
          <cell r="B5" t="str">
            <v>VRS-Regular</v>
          </cell>
          <cell r="C5" t="str">
            <v>Yes</v>
          </cell>
          <cell r="D5">
            <v>60922</v>
          </cell>
          <cell r="E5" t="str">
            <v>Family Coverage</v>
          </cell>
          <cell r="F5">
            <v>24</v>
          </cell>
          <cell r="G5">
            <v>24</v>
          </cell>
          <cell r="H5">
            <v>60922</v>
          </cell>
          <cell r="I5">
            <v>6793</v>
          </cell>
          <cell r="J5">
            <v>4661</v>
          </cell>
          <cell r="K5">
            <v>609</v>
          </cell>
          <cell r="L5">
            <v>12420</v>
          </cell>
          <cell r="M5">
            <v>731</v>
          </cell>
          <cell r="N5">
            <v>1218</v>
          </cell>
          <cell r="O5">
            <v>480</v>
          </cell>
          <cell r="P5">
            <v>87834</v>
          </cell>
          <cell r="Q5">
            <v>60922</v>
          </cell>
          <cell r="R5">
            <v>6793</v>
          </cell>
          <cell r="S5">
            <v>4661</v>
          </cell>
          <cell r="T5">
            <v>609</v>
          </cell>
          <cell r="U5">
            <v>12420</v>
          </cell>
          <cell r="V5">
            <v>731</v>
          </cell>
          <cell r="W5">
            <v>1218</v>
          </cell>
          <cell r="X5">
            <v>480</v>
          </cell>
          <cell r="Y5">
            <v>87834</v>
          </cell>
        </row>
        <row r="6">
          <cell r="A6" t="str">
            <v>Prog Admin Spec II</v>
          </cell>
          <cell r="B6" t="str">
            <v>VRS-Regular</v>
          </cell>
          <cell r="C6" t="str">
            <v>Yes</v>
          </cell>
          <cell r="D6">
            <v>60922</v>
          </cell>
          <cell r="E6" t="str">
            <v>Family Coverage</v>
          </cell>
          <cell r="F6">
            <v>24</v>
          </cell>
          <cell r="G6">
            <v>24</v>
          </cell>
          <cell r="H6">
            <v>60922</v>
          </cell>
          <cell r="I6">
            <v>6793</v>
          </cell>
          <cell r="J6">
            <v>4661</v>
          </cell>
          <cell r="K6">
            <v>609</v>
          </cell>
          <cell r="L6">
            <v>12420</v>
          </cell>
          <cell r="M6">
            <v>731</v>
          </cell>
          <cell r="N6">
            <v>1218</v>
          </cell>
          <cell r="O6">
            <v>480</v>
          </cell>
          <cell r="P6">
            <v>87834</v>
          </cell>
          <cell r="Q6">
            <v>60922</v>
          </cell>
          <cell r="R6">
            <v>6793</v>
          </cell>
          <cell r="S6">
            <v>4661</v>
          </cell>
          <cell r="T6">
            <v>609</v>
          </cell>
          <cell r="U6">
            <v>12420</v>
          </cell>
          <cell r="V6">
            <v>731</v>
          </cell>
          <cell r="W6">
            <v>1218</v>
          </cell>
          <cell r="X6">
            <v>480</v>
          </cell>
          <cell r="Y6">
            <v>87834</v>
          </cell>
        </row>
        <row r="7">
          <cell r="A7" t="str">
            <v xml:space="preserve">Prog Admin Spec I </v>
          </cell>
          <cell r="B7" t="str">
            <v>VRS-Regular</v>
          </cell>
          <cell r="C7" t="str">
            <v>Yes</v>
          </cell>
          <cell r="D7">
            <v>43449</v>
          </cell>
          <cell r="E7" t="str">
            <v>Family Coverage</v>
          </cell>
          <cell r="F7">
            <v>24</v>
          </cell>
          <cell r="G7">
            <v>24</v>
          </cell>
          <cell r="H7">
            <v>43449</v>
          </cell>
          <cell r="I7">
            <v>4845</v>
          </cell>
          <cell r="J7">
            <v>3324</v>
          </cell>
          <cell r="K7">
            <v>434</v>
          </cell>
          <cell r="L7">
            <v>12420</v>
          </cell>
          <cell r="M7">
            <v>521</v>
          </cell>
          <cell r="N7">
            <v>869</v>
          </cell>
          <cell r="O7">
            <v>480</v>
          </cell>
          <cell r="P7">
            <v>66342</v>
          </cell>
          <cell r="Q7">
            <v>43449</v>
          </cell>
          <cell r="R7">
            <v>4845</v>
          </cell>
          <cell r="S7">
            <v>3324</v>
          </cell>
          <cell r="T7">
            <v>434</v>
          </cell>
          <cell r="U7">
            <v>12420</v>
          </cell>
          <cell r="V7">
            <v>521</v>
          </cell>
          <cell r="W7">
            <v>869</v>
          </cell>
          <cell r="X7">
            <v>480</v>
          </cell>
          <cell r="Y7">
            <v>66342</v>
          </cell>
        </row>
        <row r="8">
          <cell r="A8" t="str">
            <v>Prog Admin Spec I</v>
          </cell>
          <cell r="B8" t="str">
            <v>VRS-Regular</v>
          </cell>
          <cell r="C8" t="str">
            <v>Yes</v>
          </cell>
          <cell r="D8">
            <v>43449</v>
          </cell>
          <cell r="E8" t="str">
            <v>Family Coverage</v>
          </cell>
          <cell r="F8">
            <v>24</v>
          </cell>
          <cell r="G8">
            <v>24</v>
          </cell>
          <cell r="H8">
            <v>43449</v>
          </cell>
          <cell r="I8">
            <v>4845</v>
          </cell>
          <cell r="J8">
            <v>3324</v>
          </cell>
          <cell r="K8">
            <v>434</v>
          </cell>
          <cell r="L8">
            <v>12420</v>
          </cell>
          <cell r="M8">
            <v>521</v>
          </cell>
          <cell r="N8">
            <v>869</v>
          </cell>
          <cell r="O8">
            <v>480</v>
          </cell>
          <cell r="P8">
            <v>66342</v>
          </cell>
          <cell r="Q8">
            <v>43449</v>
          </cell>
          <cell r="R8">
            <v>4845</v>
          </cell>
          <cell r="S8">
            <v>3324</v>
          </cell>
          <cell r="T8">
            <v>434</v>
          </cell>
          <cell r="U8">
            <v>12420</v>
          </cell>
          <cell r="V8">
            <v>521</v>
          </cell>
          <cell r="W8">
            <v>869</v>
          </cell>
          <cell r="X8">
            <v>480</v>
          </cell>
          <cell r="Y8">
            <v>66342</v>
          </cell>
        </row>
        <row r="9">
          <cell r="A9" t="str">
            <v>Prog Admin Spec I</v>
          </cell>
          <cell r="B9" t="str">
            <v>VRS-Regular</v>
          </cell>
          <cell r="C9" t="str">
            <v>Yes</v>
          </cell>
          <cell r="D9">
            <v>43449</v>
          </cell>
          <cell r="E9" t="str">
            <v>Family Coverage</v>
          </cell>
          <cell r="F9">
            <v>24</v>
          </cell>
          <cell r="G9">
            <v>24</v>
          </cell>
          <cell r="H9">
            <v>43449</v>
          </cell>
          <cell r="I9">
            <v>4845</v>
          </cell>
          <cell r="J9">
            <v>3324</v>
          </cell>
          <cell r="K9">
            <v>434</v>
          </cell>
          <cell r="L9">
            <v>12420</v>
          </cell>
          <cell r="M9">
            <v>521</v>
          </cell>
          <cell r="N9">
            <v>869</v>
          </cell>
          <cell r="O9">
            <v>480</v>
          </cell>
          <cell r="P9">
            <v>66342</v>
          </cell>
          <cell r="Q9">
            <v>43449</v>
          </cell>
          <cell r="R9">
            <v>4845</v>
          </cell>
          <cell r="S9">
            <v>3324</v>
          </cell>
          <cell r="T9">
            <v>434</v>
          </cell>
          <cell r="U9">
            <v>12420</v>
          </cell>
          <cell r="V9">
            <v>521</v>
          </cell>
          <cell r="W9">
            <v>869</v>
          </cell>
          <cell r="X9">
            <v>480</v>
          </cell>
          <cell r="Y9">
            <v>66342</v>
          </cell>
        </row>
        <row r="10">
          <cell r="A10" t="str">
            <v>Admin Office Spec II</v>
          </cell>
          <cell r="B10" t="str">
            <v>VRS-Regular</v>
          </cell>
          <cell r="C10" t="str">
            <v>Yes</v>
          </cell>
          <cell r="D10">
            <v>31054</v>
          </cell>
          <cell r="E10" t="str">
            <v>Family Coverage</v>
          </cell>
          <cell r="F10">
            <v>24</v>
          </cell>
          <cell r="G10">
            <v>24</v>
          </cell>
          <cell r="H10">
            <v>31054</v>
          </cell>
          <cell r="I10">
            <v>3463</v>
          </cell>
          <cell r="J10">
            <v>2376</v>
          </cell>
          <cell r="K10">
            <v>311</v>
          </cell>
          <cell r="L10">
            <v>12420</v>
          </cell>
          <cell r="M10">
            <v>373</v>
          </cell>
          <cell r="N10">
            <v>621</v>
          </cell>
          <cell r="O10">
            <v>480</v>
          </cell>
          <cell r="P10">
            <v>51098</v>
          </cell>
          <cell r="Q10">
            <v>31054</v>
          </cell>
          <cell r="R10">
            <v>3463</v>
          </cell>
          <cell r="S10">
            <v>2376</v>
          </cell>
          <cell r="T10">
            <v>311</v>
          </cell>
          <cell r="U10">
            <v>12420</v>
          </cell>
          <cell r="V10">
            <v>373</v>
          </cell>
          <cell r="W10">
            <v>621</v>
          </cell>
          <cell r="X10">
            <v>480</v>
          </cell>
          <cell r="Y10">
            <v>51098</v>
          </cell>
        </row>
        <row r="11">
          <cell r="A11" t="str">
            <v>Policy Planning Spec II</v>
          </cell>
          <cell r="B11" t="str">
            <v>VRS-Regular</v>
          </cell>
          <cell r="C11" t="str">
            <v>Yes</v>
          </cell>
          <cell r="D11">
            <v>60922</v>
          </cell>
          <cell r="E11" t="str">
            <v>Family Coverage</v>
          </cell>
          <cell r="F11">
            <v>24</v>
          </cell>
          <cell r="G11">
            <v>24</v>
          </cell>
          <cell r="H11">
            <v>60922</v>
          </cell>
          <cell r="I11">
            <v>6793</v>
          </cell>
          <cell r="J11">
            <v>4661</v>
          </cell>
          <cell r="K11">
            <v>609</v>
          </cell>
          <cell r="L11">
            <v>12420</v>
          </cell>
          <cell r="M11">
            <v>731</v>
          </cell>
          <cell r="N11">
            <v>1218</v>
          </cell>
          <cell r="O11">
            <v>480</v>
          </cell>
          <cell r="P11">
            <v>87834</v>
          </cell>
          <cell r="Q11">
            <v>60922</v>
          </cell>
          <cell r="R11">
            <v>6793</v>
          </cell>
          <cell r="S11">
            <v>4661</v>
          </cell>
          <cell r="T11">
            <v>609</v>
          </cell>
          <cell r="U11">
            <v>12420</v>
          </cell>
          <cell r="V11">
            <v>731</v>
          </cell>
          <cell r="W11">
            <v>1218</v>
          </cell>
          <cell r="X11">
            <v>480</v>
          </cell>
          <cell r="Y11">
            <v>87834</v>
          </cell>
        </row>
        <row r="12">
          <cell r="A12" t="str">
            <v>Hlth Care Compl Spec II</v>
          </cell>
          <cell r="B12" t="str">
            <v>VRS-Regular</v>
          </cell>
          <cell r="C12" t="str">
            <v>Yes</v>
          </cell>
          <cell r="D12">
            <v>51816</v>
          </cell>
          <cell r="E12" t="str">
            <v>Family Coverage</v>
          </cell>
          <cell r="F12">
            <v>24</v>
          </cell>
          <cell r="G12">
            <v>24</v>
          </cell>
          <cell r="H12">
            <v>51816</v>
          </cell>
          <cell r="I12">
            <v>5777</v>
          </cell>
          <cell r="J12">
            <v>3964</v>
          </cell>
          <cell r="K12">
            <v>518</v>
          </cell>
          <cell r="L12">
            <v>12420</v>
          </cell>
          <cell r="M12">
            <v>622</v>
          </cell>
          <cell r="N12">
            <v>1036</v>
          </cell>
          <cell r="O12">
            <v>480</v>
          </cell>
          <cell r="P12">
            <v>76633</v>
          </cell>
          <cell r="Q12">
            <v>51816</v>
          </cell>
          <cell r="R12">
            <v>5777</v>
          </cell>
          <cell r="S12">
            <v>3964</v>
          </cell>
          <cell r="T12">
            <v>518</v>
          </cell>
          <cell r="U12">
            <v>12420</v>
          </cell>
          <cell r="V12">
            <v>622</v>
          </cell>
          <cell r="W12">
            <v>1036</v>
          </cell>
          <cell r="X12">
            <v>480</v>
          </cell>
          <cell r="Y12">
            <v>76633</v>
          </cell>
        </row>
        <row r="13">
          <cell r="A13" t="str">
            <v>Hlth Care Compl Spec II</v>
          </cell>
          <cell r="B13" t="str">
            <v>VRS-Regular</v>
          </cell>
          <cell r="C13" t="str">
            <v>Yes</v>
          </cell>
          <cell r="D13">
            <v>51816</v>
          </cell>
          <cell r="E13" t="str">
            <v>Family Coverage</v>
          </cell>
          <cell r="F13">
            <v>24</v>
          </cell>
          <cell r="G13">
            <v>24</v>
          </cell>
          <cell r="H13">
            <v>51816</v>
          </cell>
          <cell r="I13">
            <v>5777</v>
          </cell>
          <cell r="J13">
            <v>3964</v>
          </cell>
          <cell r="K13">
            <v>518</v>
          </cell>
          <cell r="L13">
            <v>12420</v>
          </cell>
          <cell r="M13">
            <v>622</v>
          </cell>
          <cell r="N13">
            <v>1036</v>
          </cell>
          <cell r="O13">
            <v>480</v>
          </cell>
          <cell r="P13">
            <v>76633</v>
          </cell>
          <cell r="Q13">
            <v>51816</v>
          </cell>
          <cell r="R13">
            <v>5777</v>
          </cell>
          <cell r="S13">
            <v>3964</v>
          </cell>
          <cell r="T13">
            <v>518</v>
          </cell>
          <cell r="U13">
            <v>12420</v>
          </cell>
          <cell r="V13">
            <v>622</v>
          </cell>
          <cell r="W13">
            <v>1036</v>
          </cell>
          <cell r="X13">
            <v>480</v>
          </cell>
          <cell r="Y13">
            <v>76633</v>
          </cell>
        </row>
        <row r="14">
          <cell r="B14" t="str">
            <v>VRS-Regular</v>
          </cell>
          <cell r="D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U456"/>
  <sheetViews>
    <sheetView zoomScaleNormal="100" workbookViewId="0">
      <pane xSplit="2" ySplit="11" topLeftCell="EG400" activePane="bottomRight" state="frozen"/>
      <selection activeCell="F136" sqref="F136"/>
      <selection pane="topRight" activeCell="F136" sqref="F136"/>
      <selection pane="bottomLeft" activeCell="F136" sqref="F136"/>
      <selection pane="bottomRight" activeCell="DD407" sqref="DD407:EK408"/>
    </sheetView>
  </sheetViews>
  <sheetFormatPr baseColWidth="10" defaultColWidth="8.83203125" defaultRowHeight="13"/>
  <cols>
    <col min="1" max="1" width="9.1640625" style="150"/>
    <col min="2" max="2" width="9.83203125" bestFit="1" customWidth="1"/>
    <col min="3" max="3" width="5" bestFit="1" customWidth="1"/>
    <col min="4" max="4" width="4.5" bestFit="1" customWidth="1"/>
    <col min="5" max="5" width="5.5" bestFit="1" customWidth="1"/>
    <col min="6" max="6" width="4.5" bestFit="1" customWidth="1"/>
    <col min="7" max="7" width="7.33203125" bestFit="1" customWidth="1"/>
    <col min="8" max="9" width="9.33203125" bestFit="1" customWidth="1"/>
    <col min="10" max="10" width="8.1640625" bestFit="1" customWidth="1"/>
    <col min="11" max="11" width="7.1640625" bestFit="1" customWidth="1"/>
    <col min="12" max="12" width="7.1640625" style="138" customWidth="1"/>
    <col min="13" max="13" width="9" customWidth="1"/>
    <col min="14" max="14" width="7.1640625" bestFit="1" customWidth="1"/>
    <col min="15" max="15" width="7.1640625" style="181" customWidth="1"/>
    <col min="16" max="16" width="6" bestFit="1" customWidth="1"/>
    <col min="17" max="17" width="7.1640625" bestFit="1" customWidth="1"/>
    <col min="18" max="19" width="6" bestFit="1" customWidth="1"/>
    <col min="20" max="20" width="7.1640625" bestFit="1" customWidth="1"/>
    <col min="21" max="22" width="7.1640625" customWidth="1"/>
    <col min="23" max="23" width="7.1640625" bestFit="1" customWidth="1"/>
    <col min="24" max="24" width="6.6640625" bestFit="1" customWidth="1"/>
    <col min="25" max="26" width="4.5" bestFit="1" customWidth="1"/>
    <col min="27" max="27" width="4.5" style="152" customWidth="1"/>
    <col min="28" max="31" width="4.5" bestFit="1" customWidth="1"/>
    <col min="32" max="32" width="5" bestFit="1" customWidth="1"/>
    <col min="33" max="33" width="4.5" bestFit="1" customWidth="1"/>
    <col min="34" max="34" width="4.5" customWidth="1"/>
    <col min="35" max="35" width="5.33203125" customWidth="1"/>
    <col min="36" max="36" width="4.5" bestFit="1" customWidth="1"/>
    <col min="37" max="37" width="8.5" customWidth="1"/>
    <col min="38" max="38" width="8.33203125" bestFit="1" customWidth="1"/>
    <col min="39" max="40" width="7.1640625" bestFit="1" customWidth="1"/>
    <col min="41" max="41" width="5" bestFit="1" customWidth="1"/>
    <col min="42" max="42" width="5.33203125" bestFit="1" customWidth="1"/>
    <col min="43" max="43" width="6.5" bestFit="1" customWidth="1"/>
    <col min="44" max="44" width="5.5" bestFit="1" customWidth="1"/>
    <col min="45" max="45" width="6" bestFit="1" customWidth="1"/>
    <col min="46" max="46" width="7.33203125" bestFit="1" customWidth="1"/>
    <col min="47" max="47" width="6.6640625" bestFit="1" customWidth="1"/>
    <col min="48" max="49" width="6" bestFit="1" customWidth="1"/>
    <col min="50" max="50" width="7.1640625" bestFit="1" customWidth="1"/>
    <col min="51" max="52" width="7.1640625" style="152" customWidth="1"/>
    <col min="53" max="53" width="6" style="152" bestFit="1" customWidth="1"/>
    <col min="54" max="54" width="6" style="152" customWidth="1"/>
    <col min="55" max="55" width="6" bestFit="1" customWidth="1"/>
    <col min="56" max="56" width="6" style="145" customWidth="1"/>
    <col min="57" max="57" width="7.1640625" bestFit="1" customWidth="1"/>
    <col min="58" max="58" width="8.1640625" bestFit="1" customWidth="1"/>
    <col min="59" max="59" width="6" bestFit="1" customWidth="1"/>
    <col min="60" max="60" width="5.83203125" bestFit="1" customWidth="1"/>
    <col min="61" max="61" width="5.6640625" bestFit="1" customWidth="1"/>
    <col min="62" max="62" width="7.1640625" bestFit="1" customWidth="1"/>
    <col min="63" max="63" width="5" bestFit="1" customWidth="1"/>
    <col min="64" max="64" width="6" bestFit="1" customWidth="1"/>
    <col min="65" max="65" width="6" style="145" customWidth="1"/>
    <col min="66" max="66" width="6.5" bestFit="1" customWidth="1"/>
    <col min="67" max="67" width="6.33203125" bestFit="1" customWidth="1"/>
    <col min="68" max="68" width="7.83203125" customWidth="1"/>
    <col min="69" max="70" width="7.1640625" bestFit="1" customWidth="1"/>
    <col min="71" max="71" width="5" bestFit="1" customWidth="1"/>
    <col min="72" max="72" width="7.1640625" bestFit="1" customWidth="1"/>
    <col min="73" max="73" width="5.6640625" bestFit="1" customWidth="1"/>
    <col min="74" max="74" width="5.6640625" style="151" customWidth="1"/>
    <col min="75" max="76" width="4.5" bestFit="1" customWidth="1"/>
    <col min="77" max="77" width="7.33203125" style="181" customWidth="1"/>
    <col min="78" max="78" width="6" bestFit="1" customWidth="1"/>
    <col min="79" max="79" width="4.5" bestFit="1" customWidth="1"/>
    <col min="80" max="81" width="7.1640625" bestFit="1" customWidth="1"/>
    <col min="82" max="83" width="8.33203125" bestFit="1" customWidth="1"/>
    <col min="84" max="85" width="7.1640625" bestFit="1" customWidth="1"/>
    <col min="86" max="87" width="4.5" bestFit="1" customWidth="1"/>
    <col min="88" max="88" width="5.5" bestFit="1" customWidth="1"/>
    <col min="89" max="89" width="4.5" bestFit="1" customWidth="1"/>
    <col min="90" max="90" width="7" style="289" bestFit="1" customWidth="1"/>
    <col min="91" max="91" width="6.5" style="289" bestFit="1" customWidth="1"/>
    <col min="92" max="92" width="7.5" style="289" bestFit="1" customWidth="1"/>
    <col min="93" max="93" width="6.5" style="289" bestFit="1" customWidth="1"/>
    <col min="94" max="94" width="4.5" style="289" customWidth="1"/>
    <col min="95" max="95" width="6.5" style="289" bestFit="1" customWidth="1"/>
    <col min="96" max="96" width="6.1640625" style="177" bestFit="1" customWidth="1"/>
    <col min="97" max="97" width="6.1640625" style="186" customWidth="1"/>
    <col min="98" max="100" width="7.33203125" bestFit="1" customWidth="1"/>
    <col min="101" max="101" width="4.5" bestFit="1" customWidth="1"/>
    <col min="102" max="102" width="6" bestFit="1" customWidth="1"/>
    <col min="103" max="103" width="4.5" bestFit="1" customWidth="1"/>
    <col min="104" max="104" width="10.83203125" bestFit="1" customWidth="1"/>
    <col min="105" max="107" width="9.83203125" customWidth="1"/>
    <col min="108" max="109" width="17.33203125" bestFit="1" customWidth="1"/>
    <col min="110" max="110" width="9.83203125" bestFit="1" customWidth="1"/>
    <col min="111" max="111" width="2.1640625" customWidth="1"/>
    <col min="112" max="114" width="13.6640625" style="191" customWidth="1"/>
    <col min="115" max="115" width="8.5" customWidth="1"/>
    <col min="117" max="117" width="12.83203125" bestFit="1" customWidth="1"/>
    <col min="118" max="118" width="12" bestFit="1" customWidth="1"/>
    <col min="119" max="119" width="19.83203125" bestFit="1" customWidth="1"/>
    <col min="120" max="120" width="18.1640625" bestFit="1" customWidth="1"/>
    <col min="121" max="121" width="18.1640625" style="250" customWidth="1"/>
    <col min="122" max="122" width="18.1640625" customWidth="1"/>
    <col min="123" max="123" width="10" bestFit="1" customWidth="1"/>
    <col min="124" max="124" width="19.33203125" bestFit="1" customWidth="1"/>
    <col min="125" max="126" width="19.33203125" style="289" customWidth="1"/>
    <col min="127" max="127" width="9.5" customWidth="1"/>
    <col min="128" max="128" width="2.1640625" customWidth="1"/>
    <col min="129" max="129" width="14.1640625" customWidth="1"/>
    <col min="130" max="130" width="14.83203125" customWidth="1"/>
    <col min="131" max="131" width="2.1640625" customWidth="1"/>
    <col min="132" max="132" width="13.5" bestFit="1" customWidth="1"/>
    <col min="133" max="133" width="13.5" customWidth="1"/>
    <col min="134" max="134" width="16.33203125" bestFit="1" customWidth="1"/>
    <col min="135" max="135" width="2.1640625" customWidth="1"/>
    <col min="136" max="136" width="17.33203125" bestFit="1" customWidth="1"/>
    <col min="137" max="137" width="21" bestFit="1" customWidth="1"/>
    <col min="138" max="138" width="16.1640625" customWidth="1"/>
    <col min="139" max="139" width="9.5" customWidth="1"/>
    <col min="142" max="142" width="2.33203125" customWidth="1"/>
    <col min="143" max="143" width="15.1640625" bestFit="1" customWidth="1"/>
    <col min="146" max="146" width="2.33203125" customWidth="1"/>
    <col min="147" max="147" width="15.1640625" bestFit="1" customWidth="1"/>
    <col min="149" max="149" width="13" bestFit="1" customWidth="1"/>
    <col min="150" max="150" width="9.6640625" bestFit="1" customWidth="1"/>
    <col min="151" max="151" width="11.5" bestFit="1" customWidth="1"/>
    <col min="152" max="153" width="10.33203125" bestFit="1" customWidth="1"/>
    <col min="154" max="154" width="9.33203125" bestFit="1" customWidth="1"/>
    <col min="155" max="156" width="10.33203125" bestFit="1" customWidth="1"/>
    <col min="157" max="157" width="11.5" bestFit="1" customWidth="1"/>
    <col min="158" max="158" width="9.33203125" bestFit="1" customWidth="1"/>
    <col min="159" max="159" width="10.33203125" bestFit="1" customWidth="1"/>
    <col min="160" max="160" width="9.33203125" bestFit="1" customWidth="1"/>
    <col min="161" max="161" width="12.33203125" bestFit="1" customWidth="1"/>
    <col min="162" max="162" width="9.5" bestFit="1" customWidth="1"/>
    <col min="163" max="163" width="12.5" customWidth="1"/>
    <col min="164" max="164" width="8.5" customWidth="1"/>
  </cols>
  <sheetData>
    <row r="1" spans="2:177">
      <c r="DD1" s="331" t="s">
        <v>83</v>
      </c>
      <c r="DE1" s="331"/>
      <c r="DF1" s="331"/>
      <c r="DK1" s="331" t="s">
        <v>113</v>
      </c>
      <c r="DL1" s="331"/>
      <c r="DM1" s="331"/>
      <c r="DN1" s="331"/>
      <c r="DO1" s="331"/>
      <c r="DP1" s="331"/>
      <c r="DQ1" s="331"/>
      <c r="DR1" s="331"/>
      <c r="DS1" s="331"/>
      <c r="DT1" s="331"/>
      <c r="DU1" s="331"/>
      <c r="DV1" s="331"/>
      <c r="DW1" s="331"/>
      <c r="DZ1" s="53" t="s">
        <v>106</v>
      </c>
      <c r="EB1" s="335" t="s">
        <v>133</v>
      </c>
      <c r="EC1" s="336"/>
      <c r="ED1" s="336"/>
      <c r="EF1" s="332" t="s">
        <v>84</v>
      </c>
      <c r="EG1" s="333"/>
      <c r="EH1" s="334"/>
      <c r="EJ1" s="26"/>
      <c r="EK1" s="29" t="s">
        <v>88</v>
      </c>
      <c r="EM1" s="26" t="s">
        <v>91</v>
      </c>
      <c r="EN1" s="26"/>
      <c r="EO1" s="26"/>
      <c r="EQ1" s="26" t="s">
        <v>92</v>
      </c>
      <c r="ER1" s="26"/>
      <c r="ET1" s="26" t="s">
        <v>142</v>
      </c>
      <c r="EU1" s="26"/>
      <c r="EZ1" s="26" t="s">
        <v>188</v>
      </c>
      <c r="FA1" s="26"/>
    </row>
    <row r="2" spans="2:177" ht="27.75" customHeight="1">
      <c r="BF2">
        <f>SUM(BE245:CK245)</f>
        <v>469360</v>
      </c>
      <c r="DD2" s="290" t="s">
        <v>443</v>
      </c>
      <c r="DE2" s="290" t="s">
        <v>81</v>
      </c>
      <c r="DF2" s="7" t="s">
        <v>0</v>
      </c>
      <c r="DK2" s="7" t="s">
        <v>107</v>
      </c>
      <c r="DL2" s="7" t="s">
        <v>108</v>
      </c>
      <c r="DM2" s="7" t="s">
        <v>172</v>
      </c>
      <c r="DN2" s="7" t="s">
        <v>171</v>
      </c>
      <c r="DO2" s="7" t="s">
        <v>109</v>
      </c>
      <c r="DP2" s="7" t="s">
        <v>110</v>
      </c>
      <c r="DQ2" s="7" t="s">
        <v>405</v>
      </c>
      <c r="DR2" s="7" t="s">
        <v>111</v>
      </c>
      <c r="DS2" s="7" t="s">
        <v>124</v>
      </c>
      <c r="DT2" s="7" t="s">
        <v>112</v>
      </c>
      <c r="DU2" s="290" t="s">
        <v>446</v>
      </c>
      <c r="DV2" s="290" t="s">
        <v>445</v>
      </c>
      <c r="DW2" s="39" t="s">
        <v>123</v>
      </c>
      <c r="DZ2" s="39" t="s">
        <v>123</v>
      </c>
      <c r="EB2" s="39" t="s">
        <v>123</v>
      </c>
      <c r="EC2" s="39" t="s">
        <v>139</v>
      </c>
      <c r="ED2" s="39" t="s">
        <v>140</v>
      </c>
      <c r="EF2" s="290" t="s">
        <v>443</v>
      </c>
      <c r="EG2" s="7" t="s">
        <v>81</v>
      </c>
      <c r="EH2" s="7" t="s">
        <v>0</v>
      </c>
      <c r="EJ2" s="26" t="s">
        <v>90</v>
      </c>
      <c r="EK2" s="30">
        <f>AVERAGE(EH216:EH227)</f>
        <v>637305.25</v>
      </c>
      <c r="EM2" s="26"/>
      <c r="EN2" s="26"/>
      <c r="EO2" s="26"/>
      <c r="EQ2" s="26"/>
      <c r="ER2" s="26"/>
      <c r="ET2" s="26"/>
      <c r="EU2" s="26"/>
      <c r="EZ2" s="26"/>
      <c r="FA2" s="26"/>
    </row>
    <row r="3" spans="2:17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N3" s="25"/>
      <c r="O3" s="170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153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153"/>
      <c r="AZ3" s="153"/>
      <c r="BA3" s="153"/>
      <c r="BB3" s="153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170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170"/>
      <c r="CM3" s="170"/>
      <c r="CN3" s="170"/>
      <c r="CO3" s="170"/>
      <c r="CP3" s="170"/>
      <c r="CQ3" s="170"/>
      <c r="CR3" s="170"/>
      <c r="CS3" s="170"/>
      <c r="CT3" s="25"/>
      <c r="CU3" s="25"/>
      <c r="CV3" s="25"/>
      <c r="CW3" s="25"/>
      <c r="CX3" s="25"/>
      <c r="CY3" s="25"/>
      <c r="CZ3" s="1"/>
      <c r="DA3" s="1"/>
      <c r="DB3" s="1"/>
      <c r="DC3" s="1"/>
      <c r="DD3" s="25"/>
      <c r="DE3" s="25"/>
      <c r="DF3" s="25"/>
      <c r="DG3" s="1"/>
      <c r="DH3" s="1"/>
      <c r="DI3" s="1"/>
      <c r="DJ3" s="1"/>
      <c r="DK3" s="42" t="s">
        <v>117</v>
      </c>
      <c r="DL3" s="41" t="s">
        <v>116</v>
      </c>
      <c r="DM3" s="41"/>
      <c r="DN3" s="41"/>
      <c r="DO3" s="1"/>
      <c r="DP3" s="1"/>
      <c r="DQ3" s="1"/>
      <c r="DR3" s="147" t="s">
        <v>242</v>
      </c>
      <c r="DS3" s="147" t="s">
        <v>247</v>
      </c>
      <c r="DT3" s="147" t="s">
        <v>323</v>
      </c>
      <c r="DU3" s="147" t="s">
        <v>447</v>
      </c>
      <c r="DV3" s="147" t="s">
        <v>448</v>
      </c>
      <c r="DW3" s="40"/>
      <c r="DX3" s="1"/>
      <c r="DY3" s="1"/>
      <c r="DZ3" s="1"/>
      <c r="EA3" s="1"/>
      <c r="EB3" s="1"/>
      <c r="EC3" s="1"/>
      <c r="ED3" s="1"/>
      <c r="EE3" s="1"/>
      <c r="EF3" s="25"/>
      <c r="EG3" s="25"/>
      <c r="EH3" s="25"/>
      <c r="EJ3" s="26" t="s">
        <v>85</v>
      </c>
      <c r="EK3" s="30">
        <f>AVERAGE(EH228:EH239)</f>
        <v>633087.91666666663</v>
      </c>
      <c r="EM3" s="26"/>
      <c r="EN3" s="27">
        <f>(EK3-EK2)/EK2</f>
        <v>-6.6174464016001315E-3</v>
      </c>
      <c r="EO3" s="26"/>
      <c r="EQ3" s="26"/>
      <c r="ER3" s="26"/>
      <c r="ET3" s="26"/>
      <c r="EU3" s="26"/>
      <c r="EZ3" s="26"/>
      <c r="FA3" s="26"/>
    </row>
    <row r="4" spans="2:17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N4" s="25"/>
      <c r="O4" s="170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3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153"/>
      <c r="AZ4" s="153"/>
      <c r="BA4" s="153"/>
      <c r="BB4" s="153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170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170"/>
      <c r="CM4" s="170"/>
      <c r="CN4" s="170"/>
      <c r="CO4" s="170"/>
      <c r="CP4" s="170"/>
      <c r="CQ4" s="170"/>
      <c r="CR4" s="170"/>
      <c r="CS4" s="170"/>
      <c r="CT4" s="25"/>
      <c r="CU4" s="25"/>
      <c r="CV4" s="25"/>
      <c r="CW4" s="25"/>
      <c r="CX4" s="25"/>
      <c r="CY4" s="25"/>
      <c r="CZ4" s="1"/>
      <c r="DA4" s="1"/>
      <c r="DB4" s="1"/>
      <c r="DC4" s="1"/>
      <c r="DD4" s="25"/>
      <c r="DE4" s="25"/>
      <c r="DF4" s="25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25"/>
      <c r="EG4" s="25"/>
      <c r="EH4" s="25"/>
      <c r="EJ4" s="26" t="s">
        <v>86</v>
      </c>
      <c r="EK4" s="30">
        <f>AVERAGE(EH240:EH251)</f>
        <v>645759.66666666663</v>
      </c>
      <c r="EM4" s="28">
        <v>642911.43915857084</v>
      </c>
      <c r="EN4" s="27">
        <f>(EK4-EK3)/EK3</f>
        <v>2.0015782431481673E-2</v>
      </c>
      <c r="EO4" s="27">
        <f>(EM4-EK3)/EK3</f>
        <v>1.5516837761849889E-2</v>
      </c>
      <c r="EQ4" s="26"/>
      <c r="ER4" s="26"/>
      <c r="ET4" s="26"/>
      <c r="EU4" s="26"/>
      <c r="EZ4" s="26"/>
      <c r="FA4" s="26"/>
    </row>
    <row r="5" spans="2:177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70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3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153"/>
      <c r="AZ5" s="153"/>
      <c r="BA5" s="153"/>
      <c r="BB5" s="153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170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170"/>
      <c r="CM5" s="170"/>
      <c r="CN5" s="170"/>
      <c r="CO5" s="170"/>
      <c r="CP5" s="170"/>
      <c r="CQ5" s="170"/>
      <c r="CR5" s="170"/>
      <c r="CS5" s="170"/>
      <c r="CT5" s="25"/>
      <c r="CU5" s="25"/>
      <c r="CV5" s="25"/>
      <c r="CW5" s="25"/>
      <c r="CY5" s="25"/>
      <c r="CZ5" s="1"/>
      <c r="DA5" s="1"/>
      <c r="DB5" s="1"/>
      <c r="DC5" s="1"/>
      <c r="DD5" s="25"/>
      <c r="DE5" s="25"/>
      <c r="DF5" s="25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25"/>
      <c r="EG5" s="25"/>
      <c r="EH5" s="25"/>
      <c r="EJ5" s="26" t="s">
        <v>87</v>
      </c>
      <c r="EK5" s="30">
        <f>EH431</f>
        <v>684156.16666666663</v>
      </c>
      <c r="EM5" s="28">
        <v>655006.72422776744</v>
      </c>
      <c r="EN5" s="27"/>
      <c r="EO5" s="27">
        <f>(EM5-EM4)/EM4</f>
        <v>1.8813298897009299E-2</v>
      </c>
      <c r="EQ5" s="28">
        <v>678789.37272157858</v>
      </c>
      <c r="ER5" s="27">
        <f>(EQ5-EK4)/EK4</f>
        <v>5.1148604906539455E-2</v>
      </c>
      <c r="ET5" s="28"/>
      <c r="EU5" s="27"/>
      <c r="EZ5" s="28"/>
      <c r="FA5" s="27"/>
    </row>
    <row r="6" spans="2:177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170"/>
      <c r="P6" s="25"/>
      <c r="Q6" s="25"/>
      <c r="R6" s="25"/>
      <c r="S6" s="25"/>
      <c r="EJ6" s="26" t="s">
        <v>89</v>
      </c>
      <c r="EK6" s="30">
        <f>EH432</f>
        <v>752594.91666666663</v>
      </c>
      <c r="EM6" s="28">
        <v>663071.45585234254</v>
      </c>
      <c r="EN6" s="26"/>
      <c r="EO6" s="27">
        <f>(EM6-EM5)/EM5</f>
        <v>1.2312440966286517E-2</v>
      </c>
      <c r="EQ6" s="28">
        <v>708372.59102614131</v>
      </c>
      <c r="ER6" s="27">
        <f>(EQ6-EQ5)/EQ5</f>
        <v>4.3582323904026388E-2</v>
      </c>
      <c r="ET6" s="28">
        <v>755586.38196871453</v>
      </c>
      <c r="EU6" s="27">
        <f>(ET6-EK5)/EK5</f>
        <v>0.10440630192675002</v>
      </c>
      <c r="EZ6" s="28"/>
      <c r="FA6" s="27"/>
      <c r="FC6" s="337" t="s">
        <v>392</v>
      </c>
      <c r="FD6" s="337"/>
      <c r="FE6" s="337"/>
      <c r="FF6" s="337"/>
      <c r="FG6" s="337"/>
      <c r="FH6" s="337"/>
    </row>
    <row r="7" spans="2:177">
      <c r="T7" s="25" t="s">
        <v>125</v>
      </c>
      <c r="U7" s="25"/>
      <c r="V7" s="25"/>
      <c r="W7" s="25"/>
      <c r="X7" s="25"/>
      <c r="Y7" s="25"/>
      <c r="Z7" s="25"/>
      <c r="AA7" s="153"/>
      <c r="AB7" s="25"/>
      <c r="AC7" s="25"/>
      <c r="AD7" s="25"/>
      <c r="AE7" s="25"/>
      <c r="AF7" s="25"/>
      <c r="AG7" s="25" t="s">
        <v>125</v>
      </c>
      <c r="AH7" s="25"/>
      <c r="AI7" s="25"/>
      <c r="AJ7" s="25"/>
      <c r="AK7" s="25"/>
      <c r="AL7" s="25"/>
      <c r="AM7" s="25"/>
      <c r="AN7" s="25" t="s">
        <v>125</v>
      </c>
      <c r="AO7" s="25"/>
      <c r="AP7" s="25" t="s">
        <v>125</v>
      </c>
      <c r="AQ7" s="25" t="s">
        <v>125</v>
      </c>
      <c r="AR7" s="25" t="s">
        <v>125</v>
      </c>
      <c r="AS7" s="25"/>
      <c r="AT7" s="25"/>
      <c r="AU7" s="25"/>
      <c r="AV7" s="25"/>
      <c r="AW7" s="25"/>
      <c r="AX7" s="25" t="s">
        <v>125</v>
      </c>
      <c r="AY7" s="153"/>
      <c r="AZ7" s="153"/>
      <c r="BA7" s="153"/>
      <c r="BB7" s="153"/>
      <c r="BC7" s="25"/>
      <c r="BD7" s="25"/>
      <c r="BE7" s="25" t="s">
        <v>121</v>
      </c>
      <c r="BF7" s="25" t="s">
        <v>122</v>
      </c>
      <c r="BG7" s="25" t="s">
        <v>118</v>
      </c>
      <c r="BH7" s="25" t="s">
        <v>121</v>
      </c>
      <c r="BI7" s="25" t="s">
        <v>122</v>
      </c>
      <c r="BJ7" s="25" t="s">
        <v>118</v>
      </c>
      <c r="BK7" s="25" t="s">
        <v>122</v>
      </c>
      <c r="BL7" s="25" t="s">
        <v>118</v>
      </c>
      <c r="BM7" s="25"/>
      <c r="BN7" s="25" t="s">
        <v>120</v>
      </c>
      <c r="BO7" s="25" t="s">
        <v>119</v>
      </c>
      <c r="BP7" s="25" t="s">
        <v>121</v>
      </c>
      <c r="BQ7" s="25" t="s">
        <v>121</v>
      </c>
      <c r="BR7" s="25" t="s">
        <v>122</v>
      </c>
      <c r="BS7" s="25" t="s">
        <v>122</v>
      </c>
      <c r="BT7" s="25" t="s">
        <v>121</v>
      </c>
      <c r="BU7" s="25" t="s">
        <v>122</v>
      </c>
      <c r="BV7" s="25"/>
      <c r="BW7" s="25" t="s">
        <v>122</v>
      </c>
      <c r="BX7" s="25" t="s">
        <v>118</v>
      </c>
      <c r="BY7" s="170"/>
      <c r="BZ7" s="25" t="s">
        <v>122</v>
      </c>
      <c r="CB7" s="25" t="s">
        <v>122</v>
      </c>
      <c r="CC7" s="25" t="s">
        <v>122</v>
      </c>
      <c r="CD7" s="25" t="s">
        <v>105</v>
      </c>
      <c r="CE7" s="25" t="s">
        <v>122</v>
      </c>
      <c r="CF7" s="25" t="s">
        <v>122</v>
      </c>
      <c r="CG7" s="25" t="s">
        <v>122</v>
      </c>
      <c r="CI7" s="25"/>
      <c r="CJ7" s="25"/>
      <c r="CK7" s="25" t="s">
        <v>105</v>
      </c>
      <c r="CL7" s="170"/>
      <c r="CM7" s="170"/>
      <c r="CN7" s="170"/>
      <c r="CO7" s="170"/>
      <c r="CP7" s="170"/>
      <c r="CQ7" s="170"/>
      <c r="CR7" s="170"/>
      <c r="CS7" s="170"/>
      <c r="CT7" s="25" t="s">
        <v>122</v>
      </c>
      <c r="CU7" s="25" t="s">
        <v>122</v>
      </c>
      <c r="CV7" s="25"/>
      <c r="CW7" s="25"/>
      <c r="CX7" s="25"/>
      <c r="CY7" s="25"/>
      <c r="CZ7" s="25"/>
      <c r="DA7" s="25"/>
      <c r="DB7" s="1"/>
      <c r="DC7" s="1"/>
      <c r="DD7" s="25"/>
      <c r="DE7" s="25"/>
      <c r="DF7" s="25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25"/>
      <c r="EG7" s="25"/>
      <c r="EH7" s="25"/>
      <c r="EJ7" s="26" t="s">
        <v>93</v>
      </c>
      <c r="EK7" s="30">
        <f t="shared" ref="EK7" si="0">EH433</f>
        <v>790302.33333333337</v>
      </c>
      <c r="EQ7" s="28">
        <v>727630.53371877642</v>
      </c>
      <c r="ER7" s="27">
        <f>(EQ7-EQ6)/EQ6</f>
        <v>2.7186177072066348E-2</v>
      </c>
      <c r="ET7" s="28">
        <v>821663.20564387599</v>
      </c>
      <c r="EU7" s="27">
        <f>(ET7-ET6)/ET6</f>
        <v>8.7451051596503501E-2</v>
      </c>
      <c r="EZ7" s="28"/>
      <c r="FA7" s="27"/>
    </row>
    <row r="8" spans="2:177" ht="17">
      <c r="C8" s="166" t="s">
        <v>2</v>
      </c>
      <c r="D8" s="166" t="s">
        <v>3</v>
      </c>
      <c r="E8" s="167" t="s">
        <v>4</v>
      </c>
      <c r="F8" s="166" t="s">
        <v>5</v>
      </c>
      <c r="G8" s="167" t="s">
        <v>6</v>
      </c>
      <c r="H8" s="166" t="s">
        <v>7</v>
      </c>
      <c r="I8" s="167" t="s">
        <v>8</v>
      </c>
      <c r="J8" s="166" t="s">
        <v>9</v>
      </c>
      <c r="K8" s="167" t="s">
        <v>10</v>
      </c>
      <c r="L8" s="167" t="s">
        <v>226</v>
      </c>
      <c r="M8" s="167" t="s">
        <v>11</v>
      </c>
      <c r="N8" s="167" t="s">
        <v>12</v>
      </c>
      <c r="O8" s="167" t="s">
        <v>360</v>
      </c>
      <c r="P8" s="167" t="s">
        <v>13</v>
      </c>
      <c r="Q8" s="167" t="s">
        <v>14</v>
      </c>
      <c r="R8" s="167" t="s">
        <v>15</v>
      </c>
      <c r="S8" s="167" t="s">
        <v>16</v>
      </c>
      <c r="T8" s="167" t="s">
        <v>17</v>
      </c>
      <c r="U8" s="167" t="s">
        <v>218</v>
      </c>
      <c r="V8" s="167" t="s">
        <v>219</v>
      </c>
      <c r="W8" s="167" t="s">
        <v>18</v>
      </c>
      <c r="X8" s="167" t="s">
        <v>19</v>
      </c>
      <c r="Y8" s="167" t="s">
        <v>20</v>
      </c>
      <c r="Z8" s="167" t="s">
        <v>21</v>
      </c>
      <c r="AA8" s="167" t="s">
        <v>236</v>
      </c>
      <c r="AB8" s="167" t="s">
        <v>22</v>
      </c>
      <c r="AC8" s="167" t="s">
        <v>23</v>
      </c>
      <c r="AD8" s="167" t="s">
        <v>24</v>
      </c>
      <c r="AE8" s="167" t="s">
        <v>25</v>
      </c>
      <c r="AF8" s="167" t="s">
        <v>26</v>
      </c>
      <c r="AG8" s="167" t="s">
        <v>27</v>
      </c>
      <c r="AH8" s="167" t="s">
        <v>220</v>
      </c>
      <c r="AI8" s="167" t="s">
        <v>221</v>
      </c>
      <c r="AJ8" s="167" t="s">
        <v>28</v>
      </c>
      <c r="AK8" s="167" t="s">
        <v>29</v>
      </c>
      <c r="AL8" s="167" t="s">
        <v>30</v>
      </c>
      <c r="AM8" s="167" t="s">
        <v>31</v>
      </c>
      <c r="AN8" s="167" t="s">
        <v>32</v>
      </c>
      <c r="AO8" s="167" t="s">
        <v>33</v>
      </c>
      <c r="AP8" s="167" t="s">
        <v>34</v>
      </c>
      <c r="AQ8" s="167" t="s">
        <v>35</v>
      </c>
      <c r="AR8" s="167" t="s">
        <v>36</v>
      </c>
      <c r="AS8" s="167" t="s">
        <v>37</v>
      </c>
      <c r="AT8" s="167" t="s">
        <v>38</v>
      </c>
      <c r="AU8" s="167" t="s">
        <v>39</v>
      </c>
      <c r="AV8" s="167" t="s">
        <v>40</v>
      </c>
      <c r="AW8" s="167" t="s">
        <v>41</v>
      </c>
      <c r="AX8" s="167" t="s">
        <v>42</v>
      </c>
      <c r="AY8" s="167" t="s">
        <v>237</v>
      </c>
      <c r="AZ8" s="167" t="s">
        <v>238</v>
      </c>
      <c r="BA8" s="167" t="s">
        <v>43</v>
      </c>
      <c r="BB8" s="167" t="s">
        <v>239</v>
      </c>
      <c r="BC8" s="167" t="s">
        <v>44</v>
      </c>
      <c r="BD8" s="167" t="s">
        <v>240</v>
      </c>
      <c r="BE8" s="168" t="s">
        <v>324</v>
      </c>
      <c r="BF8" s="168" t="s">
        <v>325</v>
      </c>
      <c r="BG8" s="167" t="s">
        <v>47</v>
      </c>
      <c r="BH8" s="168" t="s">
        <v>326</v>
      </c>
      <c r="BI8" s="168" t="s">
        <v>327</v>
      </c>
      <c r="BJ8" s="167" t="s">
        <v>50</v>
      </c>
      <c r="BK8" s="167" t="s">
        <v>51</v>
      </c>
      <c r="BL8" s="167" t="s">
        <v>52</v>
      </c>
      <c r="BM8" s="167" t="s">
        <v>241</v>
      </c>
      <c r="BN8" s="167" t="s">
        <v>53</v>
      </c>
      <c r="BO8" s="167" t="s">
        <v>54</v>
      </c>
      <c r="BP8" s="167" t="s">
        <v>55</v>
      </c>
      <c r="BQ8" s="168" t="s">
        <v>328</v>
      </c>
      <c r="BR8" s="168" t="s">
        <v>329</v>
      </c>
      <c r="BS8" s="167" t="s">
        <v>58</v>
      </c>
      <c r="BT8" s="168" t="s">
        <v>330</v>
      </c>
      <c r="BU8" s="168" t="s">
        <v>331</v>
      </c>
      <c r="BV8" s="167" t="s">
        <v>246</v>
      </c>
      <c r="BW8" s="167" t="s">
        <v>61</v>
      </c>
      <c r="BX8" s="167" t="s">
        <v>62</v>
      </c>
      <c r="BY8" s="167" t="s">
        <v>361</v>
      </c>
      <c r="BZ8" s="167" t="s">
        <v>63</v>
      </c>
      <c r="CA8" s="167" t="s">
        <v>64</v>
      </c>
      <c r="CB8" s="167" t="s">
        <v>65</v>
      </c>
      <c r="CC8" s="168" t="s">
        <v>332</v>
      </c>
      <c r="CD8" s="168" t="s">
        <v>333</v>
      </c>
      <c r="CE8" s="167" t="s">
        <v>68</v>
      </c>
      <c r="CF8" s="167" t="s">
        <v>69</v>
      </c>
      <c r="CG8" s="167" t="s">
        <v>70</v>
      </c>
      <c r="CH8" s="167" t="s">
        <v>71</v>
      </c>
      <c r="CI8" s="167" t="s">
        <v>72</v>
      </c>
      <c r="CJ8" s="167" t="s">
        <v>73</v>
      </c>
      <c r="CK8" s="167" t="s">
        <v>74</v>
      </c>
      <c r="CL8" s="167" t="s">
        <v>436</v>
      </c>
      <c r="CM8" s="167" t="s">
        <v>437</v>
      </c>
      <c r="CN8" s="167" t="s">
        <v>438</v>
      </c>
      <c r="CO8" s="167" t="s">
        <v>439</v>
      </c>
      <c r="CP8" s="167" t="s">
        <v>440</v>
      </c>
      <c r="CQ8" s="167" t="s">
        <v>441</v>
      </c>
      <c r="CR8" s="167" t="s">
        <v>366</v>
      </c>
      <c r="CS8" s="167" t="s">
        <v>365</v>
      </c>
      <c r="CT8" s="167" t="s">
        <v>75</v>
      </c>
      <c r="CU8" s="167" t="s">
        <v>76</v>
      </c>
      <c r="CV8" s="167" t="s">
        <v>77</v>
      </c>
      <c r="CW8" s="167" t="s">
        <v>78</v>
      </c>
      <c r="CX8" s="167" t="s">
        <v>79</v>
      </c>
      <c r="CY8" s="167" t="s">
        <v>80</v>
      </c>
      <c r="CZ8" s="167" t="s">
        <v>334</v>
      </c>
      <c r="DA8" s="167" t="s">
        <v>335</v>
      </c>
      <c r="DB8" s="1"/>
      <c r="DC8" s="1"/>
      <c r="DD8" s="25"/>
      <c r="DE8" s="25"/>
      <c r="DF8" s="25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25"/>
      <c r="EG8" s="25"/>
      <c r="EH8" s="25"/>
      <c r="EJ8" s="26" t="s">
        <v>143</v>
      </c>
      <c r="EK8" s="30">
        <f>EH434</f>
        <v>811411.75</v>
      </c>
      <c r="EQ8" s="28"/>
      <c r="ER8" s="27"/>
      <c r="ET8" s="28">
        <v>872739.42299072375</v>
      </c>
      <c r="EU8" s="27">
        <f>(ET8-ET7)/ET7</f>
        <v>6.2161986804341741E-2</v>
      </c>
      <c r="EZ8" s="28">
        <v>808730.7143522409</v>
      </c>
      <c r="FA8" s="27">
        <f>(EZ8-EK7)/EK7</f>
        <v>2.3318140718603719E-2</v>
      </c>
      <c r="FC8" s="329" t="s">
        <v>107</v>
      </c>
      <c r="FD8" s="329" t="s">
        <v>393</v>
      </c>
      <c r="FE8" s="329" t="s">
        <v>394</v>
      </c>
      <c r="FF8" s="329" t="s">
        <v>395</v>
      </c>
      <c r="FG8" s="329" t="s">
        <v>396</v>
      </c>
      <c r="FH8" s="329" t="s">
        <v>111</v>
      </c>
      <c r="FI8" s="329" t="s">
        <v>397</v>
      </c>
    </row>
    <row r="9" spans="2:177">
      <c r="C9" s="163" t="s">
        <v>135</v>
      </c>
      <c r="D9" s="163" t="s">
        <v>135</v>
      </c>
      <c r="E9" s="163" t="s">
        <v>135</v>
      </c>
      <c r="F9" s="163" t="s">
        <v>135</v>
      </c>
      <c r="G9" s="163" t="s">
        <v>336</v>
      </c>
      <c r="H9" s="163" t="s">
        <v>337</v>
      </c>
      <c r="I9" s="163" t="s">
        <v>337</v>
      </c>
      <c r="J9" s="163" t="s">
        <v>337</v>
      </c>
      <c r="K9" s="163" t="s">
        <v>337</v>
      </c>
      <c r="L9" s="163" t="s">
        <v>337</v>
      </c>
      <c r="M9" s="163" t="s">
        <v>338</v>
      </c>
      <c r="N9" s="163" t="s">
        <v>338</v>
      </c>
      <c r="O9" s="181" t="s">
        <v>337</v>
      </c>
      <c r="P9" s="163" t="s">
        <v>338</v>
      </c>
      <c r="Q9" s="163" t="s">
        <v>338</v>
      </c>
      <c r="R9" s="163" t="s">
        <v>338</v>
      </c>
      <c r="S9" s="163" t="s">
        <v>338</v>
      </c>
      <c r="T9" s="163" t="s">
        <v>339</v>
      </c>
      <c r="U9" s="163" t="s">
        <v>338</v>
      </c>
      <c r="V9" s="163" t="s">
        <v>338</v>
      </c>
      <c r="W9" s="163" t="s">
        <v>338</v>
      </c>
      <c r="X9" s="163" t="s">
        <v>338</v>
      </c>
      <c r="Y9" s="163" t="s">
        <v>340</v>
      </c>
      <c r="Z9" s="163" t="s">
        <v>340</v>
      </c>
      <c r="AA9" s="163" t="s">
        <v>105</v>
      </c>
      <c r="AB9" s="163" t="s">
        <v>340</v>
      </c>
      <c r="AC9" s="163" t="s">
        <v>340</v>
      </c>
      <c r="AD9" s="163" t="s">
        <v>340</v>
      </c>
      <c r="AE9" s="163" t="s">
        <v>340</v>
      </c>
      <c r="AF9" s="163" t="s">
        <v>340</v>
      </c>
      <c r="AG9" s="163" t="s">
        <v>341</v>
      </c>
      <c r="AH9" s="163" t="s">
        <v>340</v>
      </c>
      <c r="AI9" s="163" t="s">
        <v>340</v>
      </c>
      <c r="AJ9" s="163" t="s">
        <v>340</v>
      </c>
      <c r="AK9" s="163" t="s">
        <v>340</v>
      </c>
      <c r="AL9" s="163" t="s">
        <v>340</v>
      </c>
      <c r="AM9" s="163" t="s">
        <v>340</v>
      </c>
      <c r="AN9" s="163" t="s">
        <v>342</v>
      </c>
      <c r="AO9" s="163" t="s">
        <v>340</v>
      </c>
      <c r="AP9" s="163" t="s">
        <v>342</v>
      </c>
      <c r="AQ9" s="163" t="s">
        <v>342</v>
      </c>
      <c r="AR9" s="163" t="s">
        <v>342</v>
      </c>
      <c r="AS9" s="163" t="s">
        <v>340</v>
      </c>
      <c r="AT9" s="163" t="s">
        <v>340</v>
      </c>
      <c r="AU9" s="163" t="s">
        <v>340</v>
      </c>
      <c r="AV9" s="163" t="s">
        <v>340</v>
      </c>
      <c r="AW9" s="163" t="s">
        <v>340</v>
      </c>
      <c r="AX9" s="163" t="s">
        <v>341</v>
      </c>
      <c r="AY9" s="163" t="s">
        <v>343</v>
      </c>
      <c r="AZ9" s="163" t="s">
        <v>344</v>
      </c>
      <c r="BA9" s="163" t="s">
        <v>340</v>
      </c>
      <c r="BB9" s="163" t="s">
        <v>340</v>
      </c>
      <c r="BC9" s="163" t="s">
        <v>340</v>
      </c>
      <c r="BD9" s="164" t="s">
        <v>344</v>
      </c>
      <c r="BE9" s="163" t="s">
        <v>344</v>
      </c>
      <c r="BF9" s="163" t="s">
        <v>343</v>
      </c>
      <c r="BG9" s="163" t="s">
        <v>118</v>
      </c>
      <c r="BH9" s="163" t="s">
        <v>344</v>
      </c>
      <c r="BI9" s="163" t="s">
        <v>343</v>
      </c>
      <c r="BJ9" s="163" t="s">
        <v>118</v>
      </c>
      <c r="BK9" s="163" t="s">
        <v>118</v>
      </c>
      <c r="BL9" s="163" t="s">
        <v>118</v>
      </c>
      <c r="BM9" s="169" t="s">
        <v>344</v>
      </c>
      <c r="BN9" s="163" t="s">
        <v>345</v>
      </c>
      <c r="BO9" s="163" t="s">
        <v>345</v>
      </c>
      <c r="BP9" s="163" t="s">
        <v>346</v>
      </c>
      <c r="BQ9" s="163" t="s">
        <v>344</v>
      </c>
      <c r="BR9" s="163" t="s">
        <v>343</v>
      </c>
      <c r="BS9" s="163" t="s">
        <v>343</v>
      </c>
      <c r="BT9" s="163" t="s">
        <v>344</v>
      </c>
      <c r="BU9" s="163" t="s">
        <v>343</v>
      </c>
      <c r="BV9" s="163" t="s">
        <v>346</v>
      </c>
      <c r="BW9" s="163" t="s">
        <v>343</v>
      </c>
      <c r="BX9" s="163" t="s">
        <v>118</v>
      </c>
      <c r="BY9" s="264" t="s">
        <v>412</v>
      </c>
      <c r="BZ9" s="163" t="s">
        <v>343</v>
      </c>
      <c r="CB9" s="163" t="s">
        <v>343</v>
      </c>
      <c r="CC9" s="163" t="s">
        <v>105</v>
      </c>
      <c r="CD9" s="163" t="s">
        <v>343</v>
      </c>
      <c r="CE9" s="163" t="s">
        <v>343</v>
      </c>
      <c r="CF9" s="163" t="s">
        <v>343</v>
      </c>
      <c r="CG9" s="163" t="s">
        <v>141</v>
      </c>
      <c r="CI9" s="163" t="s">
        <v>105</v>
      </c>
      <c r="CJ9" s="163" t="s">
        <v>343</v>
      </c>
      <c r="CK9" s="163" t="s">
        <v>343</v>
      </c>
      <c r="CL9" s="264" t="s">
        <v>442</v>
      </c>
      <c r="CM9" s="264" t="s">
        <v>442</v>
      </c>
      <c r="CN9" s="264" t="s">
        <v>442</v>
      </c>
      <c r="CO9" s="264" t="s">
        <v>442</v>
      </c>
      <c r="CP9" s="264" t="s">
        <v>442</v>
      </c>
      <c r="CQ9" s="264" t="s">
        <v>442</v>
      </c>
      <c r="CR9" s="177" t="s">
        <v>340</v>
      </c>
      <c r="CS9" s="186" t="s">
        <v>340</v>
      </c>
      <c r="CT9" s="163" t="s">
        <v>134</v>
      </c>
      <c r="CU9" s="163" t="s">
        <v>134</v>
      </c>
      <c r="CV9" s="163" t="s">
        <v>134</v>
      </c>
      <c r="CW9" s="118" t="s">
        <v>136</v>
      </c>
      <c r="CX9" s="163" t="s">
        <v>347</v>
      </c>
      <c r="CY9" s="118" t="s">
        <v>136</v>
      </c>
      <c r="CZ9" s="163" t="s">
        <v>338</v>
      </c>
      <c r="DA9" s="163" t="s">
        <v>338</v>
      </c>
      <c r="DB9" s="1"/>
      <c r="DC9" s="1"/>
      <c r="DD9" s="25"/>
      <c r="DE9" s="25"/>
      <c r="DF9" s="25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25"/>
      <c r="EG9" s="25"/>
      <c r="EH9" s="25"/>
      <c r="EJ9" s="26" t="s">
        <v>189</v>
      </c>
      <c r="EK9" s="30"/>
      <c r="EQ9" s="28"/>
      <c r="ER9" s="27"/>
      <c r="ET9" s="28"/>
      <c r="EU9" s="27"/>
      <c r="EZ9" s="28">
        <v>819694.23183847941</v>
      </c>
      <c r="FA9" s="27">
        <f>(EZ9-EZ8)/EZ8</f>
        <v>1.3556449992158165E-2</v>
      </c>
      <c r="FC9" s="330"/>
      <c r="FD9" s="330"/>
      <c r="FE9" s="330"/>
      <c r="FF9" s="330"/>
      <c r="FG9" s="330"/>
      <c r="FH9" s="330"/>
      <c r="FI9" s="330"/>
    </row>
    <row r="10" spans="2:177">
      <c r="M10" s="163" t="s">
        <v>248</v>
      </c>
      <c r="N10" s="163" t="s">
        <v>249</v>
      </c>
      <c r="P10" s="163" t="s">
        <v>250</v>
      </c>
      <c r="Q10" s="163" t="s">
        <v>251</v>
      </c>
      <c r="R10" s="163" t="s">
        <v>252</v>
      </c>
      <c r="S10" s="163" t="s">
        <v>253</v>
      </c>
      <c r="T10" s="163" t="s">
        <v>254</v>
      </c>
      <c r="U10" s="25" t="s">
        <v>255</v>
      </c>
      <c r="V10" s="25" t="s">
        <v>256</v>
      </c>
      <c r="W10" s="25" t="s">
        <v>257</v>
      </c>
      <c r="X10" s="25" t="s">
        <v>258</v>
      </c>
      <c r="Y10" s="25" t="s">
        <v>259</v>
      </c>
      <c r="Z10" s="25" t="s">
        <v>260</v>
      </c>
      <c r="AA10" s="153" t="s">
        <v>261</v>
      </c>
      <c r="AB10" s="25" t="s">
        <v>262</v>
      </c>
      <c r="AC10" s="25" t="s">
        <v>263</v>
      </c>
      <c r="AD10" s="25" t="s">
        <v>264</v>
      </c>
      <c r="AE10" s="25" t="s">
        <v>265</v>
      </c>
      <c r="AF10" s="25" t="s">
        <v>266</v>
      </c>
      <c r="AG10" s="25" t="s">
        <v>267</v>
      </c>
      <c r="AH10" s="25" t="s">
        <v>268</v>
      </c>
      <c r="AI10" s="25" t="s">
        <v>269</v>
      </c>
      <c r="AJ10" s="25" t="s">
        <v>270</v>
      </c>
      <c r="AK10" s="25" t="s">
        <v>271</v>
      </c>
      <c r="AL10" s="25" t="s">
        <v>272</v>
      </c>
      <c r="AM10" s="25" t="s">
        <v>273</v>
      </c>
      <c r="AN10" s="25" t="s">
        <v>274</v>
      </c>
      <c r="AO10" s="25" t="s">
        <v>275</v>
      </c>
      <c r="AP10" s="25" t="s">
        <v>276</v>
      </c>
      <c r="AQ10" s="25" t="s">
        <v>277</v>
      </c>
      <c r="AR10" s="25" t="s">
        <v>278</v>
      </c>
      <c r="AS10" s="25" t="s">
        <v>279</v>
      </c>
      <c r="AT10" s="25" t="s">
        <v>280</v>
      </c>
      <c r="AU10" s="25" t="s">
        <v>281</v>
      </c>
      <c r="AV10" s="25" t="s">
        <v>282</v>
      </c>
      <c r="AW10" s="25" t="s">
        <v>283</v>
      </c>
      <c r="AX10" s="25" t="s">
        <v>284</v>
      </c>
      <c r="AY10" s="153" t="s">
        <v>285</v>
      </c>
      <c r="AZ10" s="153" t="s">
        <v>286</v>
      </c>
      <c r="BA10" s="153" t="s">
        <v>287</v>
      </c>
      <c r="BB10" s="25" t="s">
        <v>313</v>
      </c>
      <c r="BC10" s="25" t="s">
        <v>288</v>
      </c>
      <c r="BD10" s="25" t="s">
        <v>289</v>
      </c>
      <c r="BE10" s="25" t="s">
        <v>290</v>
      </c>
      <c r="BF10" s="25" t="s">
        <v>291</v>
      </c>
      <c r="BG10" s="25" t="s">
        <v>292</v>
      </c>
      <c r="BH10" s="25" t="s">
        <v>293</v>
      </c>
      <c r="BI10" s="25" t="s">
        <v>294</v>
      </c>
      <c r="BJ10" s="25" t="s">
        <v>295</v>
      </c>
      <c r="BK10" s="25" t="s">
        <v>296</v>
      </c>
      <c r="BL10" s="25" t="s">
        <v>297</v>
      </c>
      <c r="BM10" s="25" t="s">
        <v>298</v>
      </c>
      <c r="BN10" s="25" t="s">
        <v>299</v>
      </c>
      <c r="BO10" s="25" t="s">
        <v>300</v>
      </c>
      <c r="BP10" s="25" t="s">
        <v>301</v>
      </c>
      <c r="BQ10" s="25" t="s">
        <v>302</v>
      </c>
      <c r="BR10" s="25" t="s">
        <v>303</v>
      </c>
      <c r="BS10" s="25" t="s">
        <v>304</v>
      </c>
      <c r="BT10" s="25" t="s">
        <v>305</v>
      </c>
      <c r="BU10" s="25" t="s">
        <v>306</v>
      </c>
      <c r="BV10" s="25" t="s">
        <v>307</v>
      </c>
      <c r="BW10" s="25" t="s">
        <v>308</v>
      </c>
      <c r="BX10" s="25" t="s">
        <v>309</v>
      </c>
      <c r="BY10" s="170"/>
      <c r="BZ10" s="153" t="s">
        <v>310</v>
      </c>
      <c r="CA10" s="153" t="s">
        <v>311</v>
      </c>
      <c r="CB10" s="153" t="s">
        <v>312</v>
      </c>
      <c r="CC10" s="25" t="s">
        <v>314</v>
      </c>
      <c r="CD10" s="25" t="s">
        <v>315</v>
      </c>
      <c r="CE10" s="25" t="s">
        <v>316</v>
      </c>
      <c r="CF10" s="25" t="s">
        <v>317</v>
      </c>
      <c r="CG10" s="25" t="s">
        <v>318</v>
      </c>
      <c r="CH10" s="25" t="s">
        <v>319</v>
      </c>
      <c r="CI10" s="25" t="s">
        <v>320</v>
      </c>
      <c r="CJ10" s="25" t="s">
        <v>321</v>
      </c>
      <c r="CK10" s="25" t="s">
        <v>322</v>
      </c>
      <c r="CL10" s="170"/>
      <c r="CM10" s="170"/>
      <c r="CN10" s="170"/>
      <c r="CO10" s="170"/>
      <c r="CP10" s="170"/>
      <c r="CQ10" s="170"/>
      <c r="CR10" s="170"/>
      <c r="CS10" s="170"/>
      <c r="CT10" s="25"/>
      <c r="CU10" s="25"/>
      <c r="CV10" s="25"/>
      <c r="CW10" s="25"/>
      <c r="CX10" s="25"/>
      <c r="CY10" s="25"/>
      <c r="CZ10" s="1"/>
      <c r="DA10" s="1"/>
      <c r="DB10" s="1"/>
      <c r="DC10" s="1"/>
      <c r="DD10" s="25"/>
      <c r="DE10" s="25"/>
      <c r="DF10" s="25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25"/>
      <c r="EG10" s="25"/>
      <c r="EH10" s="25"/>
      <c r="EJ10" s="26" t="s">
        <v>190</v>
      </c>
      <c r="EK10" s="30"/>
      <c r="EQ10" s="28"/>
      <c r="ER10" s="27"/>
      <c r="ET10" s="28"/>
      <c r="EU10" s="27"/>
      <c r="EZ10" s="28">
        <v>825168.49327007425</v>
      </c>
      <c r="FA10" s="27">
        <f>(EZ10-EZ9)/EZ9</f>
        <v>6.6784188773863998E-3</v>
      </c>
      <c r="FC10" s="330"/>
      <c r="FD10" s="330"/>
      <c r="FE10" s="330"/>
      <c r="FF10" s="330"/>
      <c r="FG10" s="330"/>
      <c r="FH10" s="330"/>
      <c r="FI10" s="330"/>
    </row>
    <row r="11" spans="2:177" ht="15">
      <c r="B11" s="3" t="s">
        <v>1</v>
      </c>
      <c r="C11" s="135" t="s">
        <v>2</v>
      </c>
      <c r="D11" s="135" t="s">
        <v>3</v>
      </c>
      <c r="E11" s="135" t="s">
        <v>4</v>
      </c>
      <c r="F11" s="135" t="s">
        <v>5</v>
      </c>
      <c r="G11" s="135" t="s">
        <v>6</v>
      </c>
      <c r="H11" s="135" t="s">
        <v>7</v>
      </c>
      <c r="I11" s="135" t="s">
        <v>8</v>
      </c>
      <c r="J11" s="135" t="s">
        <v>9</v>
      </c>
      <c r="K11" s="135" t="s">
        <v>10</v>
      </c>
      <c r="L11" s="135" t="s">
        <v>226</v>
      </c>
      <c r="M11" s="135" t="s">
        <v>11</v>
      </c>
      <c r="N11" s="135" t="s">
        <v>12</v>
      </c>
      <c r="O11" s="146" t="s">
        <v>360</v>
      </c>
      <c r="P11" s="135" t="s">
        <v>13</v>
      </c>
      <c r="Q11" s="135" t="s">
        <v>14</v>
      </c>
      <c r="R11" s="135" t="s">
        <v>15</v>
      </c>
      <c r="S11" s="135" t="s">
        <v>16</v>
      </c>
      <c r="T11" s="135" t="s">
        <v>17</v>
      </c>
      <c r="U11" s="135" t="s">
        <v>218</v>
      </c>
      <c r="V11" s="135" t="s">
        <v>219</v>
      </c>
      <c r="W11" s="135" t="s">
        <v>18</v>
      </c>
      <c r="X11" s="135" t="s">
        <v>19</v>
      </c>
      <c r="Y11" s="135" t="s">
        <v>20</v>
      </c>
      <c r="Z11" s="135" t="s">
        <v>21</v>
      </c>
      <c r="AA11" s="154" t="s">
        <v>236</v>
      </c>
      <c r="AB11" s="135" t="s">
        <v>22</v>
      </c>
      <c r="AC11" s="135" t="s">
        <v>23</v>
      </c>
      <c r="AD11" s="135" t="s">
        <v>24</v>
      </c>
      <c r="AE11" s="135" t="s">
        <v>25</v>
      </c>
      <c r="AF11" s="135" t="s">
        <v>26</v>
      </c>
      <c r="AG11" s="135" t="s">
        <v>27</v>
      </c>
      <c r="AH11" s="135" t="s">
        <v>220</v>
      </c>
      <c r="AI11" s="135" t="s">
        <v>221</v>
      </c>
      <c r="AJ11" s="135" t="s">
        <v>28</v>
      </c>
      <c r="AK11" s="135" t="s">
        <v>29</v>
      </c>
      <c r="AL11" s="135" t="s">
        <v>30</v>
      </c>
      <c r="AM11" s="135" t="s">
        <v>31</v>
      </c>
      <c r="AN11" s="135" t="s">
        <v>32</v>
      </c>
      <c r="AO11" s="135" t="s">
        <v>33</v>
      </c>
      <c r="AP11" s="135" t="s">
        <v>34</v>
      </c>
      <c r="AQ11" s="135" t="s">
        <v>35</v>
      </c>
      <c r="AR11" s="135" t="s">
        <v>36</v>
      </c>
      <c r="AS11" s="135" t="s">
        <v>37</v>
      </c>
      <c r="AT11" s="135" t="s">
        <v>38</v>
      </c>
      <c r="AU11" s="135" t="s">
        <v>39</v>
      </c>
      <c r="AV11" s="135" t="s">
        <v>40</v>
      </c>
      <c r="AW11" s="135" t="s">
        <v>41</v>
      </c>
      <c r="AX11" s="135" t="s">
        <v>42</v>
      </c>
      <c r="AY11" s="154" t="s">
        <v>237</v>
      </c>
      <c r="AZ11" s="154" t="s">
        <v>238</v>
      </c>
      <c r="BA11" s="162" t="s">
        <v>43</v>
      </c>
      <c r="BB11" s="154" t="s">
        <v>239</v>
      </c>
      <c r="BC11" s="135" t="s">
        <v>44</v>
      </c>
      <c r="BD11" s="146" t="s">
        <v>240</v>
      </c>
      <c r="BE11" s="135" t="s">
        <v>45</v>
      </c>
      <c r="BF11" s="135" t="s">
        <v>46</v>
      </c>
      <c r="BG11" s="135" t="s">
        <v>47</v>
      </c>
      <c r="BH11" s="135" t="s">
        <v>48</v>
      </c>
      <c r="BI11" s="135" t="s">
        <v>49</v>
      </c>
      <c r="BJ11" s="135" t="s">
        <v>50</v>
      </c>
      <c r="BK11" s="135" t="s">
        <v>51</v>
      </c>
      <c r="BL11" s="135" t="s">
        <v>52</v>
      </c>
      <c r="BM11" s="146" t="s">
        <v>241</v>
      </c>
      <c r="BN11" s="135" t="s">
        <v>53</v>
      </c>
      <c r="BO11" s="135" t="s">
        <v>54</v>
      </c>
      <c r="BP11" s="135" t="s">
        <v>55</v>
      </c>
      <c r="BQ11" s="135" t="s">
        <v>56</v>
      </c>
      <c r="BR11" s="135" t="s">
        <v>57</v>
      </c>
      <c r="BS11" s="135" t="s">
        <v>58</v>
      </c>
      <c r="BT11" s="135" t="s">
        <v>59</v>
      </c>
      <c r="BU11" s="135" t="s">
        <v>60</v>
      </c>
      <c r="BV11" s="146" t="s">
        <v>246</v>
      </c>
      <c r="BW11" s="135" t="s">
        <v>61</v>
      </c>
      <c r="BX11" s="135" t="s">
        <v>62</v>
      </c>
      <c r="BY11" s="135"/>
      <c r="BZ11" s="135" t="s">
        <v>63</v>
      </c>
      <c r="CA11" s="135" t="s">
        <v>64</v>
      </c>
      <c r="CB11" s="135" t="s">
        <v>65</v>
      </c>
      <c r="CC11" s="135" t="s">
        <v>66</v>
      </c>
      <c r="CD11" s="135" t="s">
        <v>67</v>
      </c>
      <c r="CE11" s="135" t="s">
        <v>68</v>
      </c>
      <c r="CF11" s="135" t="s">
        <v>69</v>
      </c>
      <c r="CG11" s="135" t="s">
        <v>70</v>
      </c>
      <c r="CH11" s="135" t="s">
        <v>71</v>
      </c>
      <c r="CI11" s="135" t="s">
        <v>72</v>
      </c>
      <c r="CJ11" s="135" t="s">
        <v>73</v>
      </c>
      <c r="CK11" s="135" t="s">
        <v>74</v>
      </c>
      <c r="CL11" s="146" t="s">
        <v>436</v>
      </c>
      <c r="CM11" s="146" t="s">
        <v>437</v>
      </c>
      <c r="CN11" s="146" t="s">
        <v>438</v>
      </c>
      <c r="CO11" s="146" t="s">
        <v>439</v>
      </c>
      <c r="CP11" s="146" t="s">
        <v>440</v>
      </c>
      <c r="CQ11" s="146" t="s">
        <v>441</v>
      </c>
      <c r="CR11" s="146" t="s">
        <v>366</v>
      </c>
      <c r="CS11" s="146" t="s">
        <v>365</v>
      </c>
      <c r="CT11" s="135" t="s">
        <v>75</v>
      </c>
      <c r="CU11" s="135" t="s">
        <v>76</v>
      </c>
      <c r="CV11" s="135" t="s">
        <v>77</v>
      </c>
      <c r="CW11" s="135" t="s">
        <v>78</v>
      </c>
      <c r="CX11" s="135" t="s">
        <v>79</v>
      </c>
      <c r="CY11" s="135" t="s">
        <v>80</v>
      </c>
      <c r="CZ11" s="3" t="s">
        <v>192</v>
      </c>
      <c r="DA11" s="3" t="s">
        <v>193</v>
      </c>
      <c r="DB11" s="1"/>
      <c r="DC11" s="1"/>
      <c r="DD11" s="25"/>
      <c r="DE11" s="25"/>
      <c r="DF11" s="25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25"/>
      <c r="EG11" s="25"/>
      <c r="EH11" s="25"/>
      <c r="EJ11" s="26" t="s">
        <v>191</v>
      </c>
      <c r="EK11" s="30"/>
      <c r="EQ11" s="28"/>
      <c r="ER11" s="27"/>
      <c r="ET11" s="28"/>
      <c r="EU11" s="27"/>
      <c r="EZ11" s="28"/>
      <c r="FA11" s="27"/>
      <c r="FC11" s="330"/>
      <c r="FD11" s="330"/>
      <c r="FE11" s="330"/>
      <c r="FF11" s="330"/>
      <c r="FG11" s="330"/>
      <c r="FH11" s="330"/>
      <c r="FI11" s="330"/>
      <c r="FJ11" s="118" t="s">
        <v>442</v>
      </c>
      <c r="FU11" t="s">
        <v>370</v>
      </c>
    </row>
    <row r="12" spans="2:177" ht="14">
      <c r="B12" s="4">
        <v>32325</v>
      </c>
      <c r="C12" s="5">
        <v>0</v>
      </c>
      <c r="D12" s="5">
        <v>0</v>
      </c>
      <c r="E12" s="5">
        <v>0</v>
      </c>
      <c r="F12" s="5" t="s">
        <v>82</v>
      </c>
      <c r="G12" s="5" t="s">
        <v>82</v>
      </c>
      <c r="H12" s="5">
        <v>0</v>
      </c>
      <c r="I12" s="5">
        <v>0</v>
      </c>
      <c r="J12" s="5">
        <v>0</v>
      </c>
      <c r="K12" s="5">
        <v>0</v>
      </c>
      <c r="L12" s="5"/>
      <c r="M12" s="5">
        <v>32107</v>
      </c>
      <c r="N12" s="5">
        <v>2733</v>
      </c>
      <c r="O12" s="5"/>
      <c r="P12" s="5">
        <v>0</v>
      </c>
      <c r="Q12" s="5">
        <v>0</v>
      </c>
      <c r="R12" s="5">
        <v>1139</v>
      </c>
      <c r="S12" s="5">
        <v>1035</v>
      </c>
      <c r="T12" s="5">
        <v>0</v>
      </c>
      <c r="U12" s="5"/>
      <c r="V12" s="5"/>
      <c r="W12" s="5">
        <v>13352</v>
      </c>
      <c r="X12" s="5">
        <v>0</v>
      </c>
      <c r="Y12" s="5">
        <v>942</v>
      </c>
      <c r="Z12" s="5">
        <v>57</v>
      </c>
      <c r="AA12" s="155"/>
      <c r="AB12" s="5">
        <v>0</v>
      </c>
      <c r="AC12" s="5">
        <v>0</v>
      </c>
      <c r="AD12" s="5">
        <v>0</v>
      </c>
      <c r="AE12" s="5">
        <v>24</v>
      </c>
      <c r="AF12" s="5">
        <v>6</v>
      </c>
      <c r="AG12" s="5">
        <v>0</v>
      </c>
      <c r="AH12" s="5"/>
      <c r="AI12" s="5"/>
      <c r="AJ12" s="5">
        <v>82</v>
      </c>
      <c r="AK12" s="5">
        <v>0</v>
      </c>
      <c r="AL12" s="5">
        <v>39717</v>
      </c>
      <c r="AM12" s="5">
        <v>2484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 t="s">
        <v>82</v>
      </c>
      <c r="AU12" s="5">
        <v>0</v>
      </c>
      <c r="AV12" s="5">
        <v>524</v>
      </c>
      <c r="AW12" s="5">
        <v>1560</v>
      </c>
      <c r="AX12" s="5">
        <v>0</v>
      </c>
      <c r="AY12" s="155"/>
      <c r="AZ12" s="155"/>
      <c r="BA12" s="155">
        <v>0</v>
      </c>
      <c r="BB12" s="155"/>
      <c r="BC12" s="5">
        <v>2392</v>
      </c>
      <c r="BD12" s="5"/>
      <c r="BE12" s="5">
        <v>44866</v>
      </c>
      <c r="BF12" s="5">
        <v>93203</v>
      </c>
      <c r="BG12" s="5">
        <v>100</v>
      </c>
      <c r="BH12" s="5">
        <v>0</v>
      </c>
      <c r="BI12" s="5">
        <v>0</v>
      </c>
      <c r="BJ12" s="5">
        <v>2206</v>
      </c>
      <c r="BK12" s="5">
        <v>147</v>
      </c>
      <c r="BL12" s="5">
        <v>2550</v>
      </c>
      <c r="BM12" s="5"/>
      <c r="BN12" s="5">
        <v>684</v>
      </c>
      <c r="BO12" s="5">
        <v>598</v>
      </c>
      <c r="BP12" s="5">
        <v>0</v>
      </c>
      <c r="BQ12" s="5">
        <v>3046</v>
      </c>
      <c r="BR12" s="5">
        <v>7086</v>
      </c>
      <c r="BS12" s="5">
        <v>30</v>
      </c>
      <c r="BT12" s="5">
        <v>0</v>
      </c>
      <c r="BU12" s="5">
        <v>0</v>
      </c>
      <c r="BV12" s="5"/>
      <c r="BW12" s="5">
        <v>23</v>
      </c>
      <c r="BX12" s="5">
        <v>370</v>
      </c>
      <c r="BY12" s="5"/>
      <c r="BZ12" s="5">
        <v>5072</v>
      </c>
      <c r="CA12" s="5">
        <v>0</v>
      </c>
      <c r="CB12" s="5">
        <v>0</v>
      </c>
      <c r="CC12" s="5">
        <v>2275</v>
      </c>
      <c r="CD12" s="5">
        <v>1</v>
      </c>
      <c r="CE12" s="5">
        <v>2013</v>
      </c>
      <c r="CF12" s="5">
        <v>1139</v>
      </c>
      <c r="CG12" s="5">
        <v>0</v>
      </c>
      <c r="CH12" s="5">
        <v>3</v>
      </c>
      <c r="CI12" s="5">
        <v>533</v>
      </c>
      <c r="CJ12" s="5">
        <v>796</v>
      </c>
      <c r="CK12" s="5">
        <v>147</v>
      </c>
      <c r="CL12" s="5"/>
      <c r="CM12" s="5"/>
      <c r="CN12" s="5"/>
      <c r="CO12" s="5"/>
      <c r="CP12" s="5"/>
      <c r="CQ12" s="5"/>
      <c r="CR12" s="5"/>
      <c r="CS12" s="5"/>
      <c r="CT12" s="5" t="s">
        <v>82</v>
      </c>
      <c r="CU12" s="5" t="s">
        <v>82</v>
      </c>
      <c r="CV12" s="5" t="s">
        <v>82</v>
      </c>
      <c r="CW12" s="5">
        <v>0</v>
      </c>
      <c r="CX12" s="5">
        <v>0</v>
      </c>
      <c r="CY12" s="5">
        <v>0</v>
      </c>
      <c r="DD12" s="6">
        <f t="shared" ref="DD12:DD75" si="1">SUM(BE12:CK12)</f>
        <v>166888</v>
      </c>
      <c r="DE12" s="6">
        <f t="shared" ref="DE12:DE75" si="2">SUM(M12:N12,P12:AX12,BB12:BC12)+CR12+CS12</f>
        <v>98154</v>
      </c>
      <c r="DF12" s="16">
        <f t="shared" ref="DF12:DF75" si="3">SUM(DD12:DE12)</f>
        <v>265042</v>
      </c>
      <c r="DK12" s="6">
        <f t="shared" ref="DK12:DK75" si="4">SUM(M12:N12,P12:S12,U12:X12)</f>
        <v>50366</v>
      </c>
      <c r="DL12" s="6">
        <f t="shared" ref="DL12:DL75" si="5">SUM(Y12:AF12,AH12:AM12,AO12,AS12:AW12,BA12:BC12)</f>
        <v>47788</v>
      </c>
      <c r="DM12" s="6">
        <f>T12</f>
        <v>0</v>
      </c>
      <c r="DN12" s="6">
        <f>AG12+AX12+AN12+AP12+AQ12+AR12</f>
        <v>0</v>
      </c>
      <c r="DO12" s="6">
        <f t="shared" ref="DO12:DO75" si="6">SUM(BF12,BI12,BK12,BO12,BR12:BS12,BU12:BW12,BZ12:CB12,CD12:CF12,CJ12:CK12)</f>
        <v>110255</v>
      </c>
      <c r="DP12" s="6">
        <f>SUM(BD12:BE12,BH12,BN12,BQ12,BT12)</f>
        <v>48596</v>
      </c>
      <c r="DQ12" s="6"/>
      <c r="DR12" s="6">
        <f t="shared" ref="DR12:DR75" si="7">CC12+CI12</f>
        <v>2808</v>
      </c>
      <c r="DS12" s="6">
        <f t="shared" ref="DS12:DS75" si="8">BP12</f>
        <v>0</v>
      </c>
      <c r="DT12" s="6">
        <f t="shared" ref="DT12:DT75" si="9">BG12+BJ12+BL12+BX12</f>
        <v>5226</v>
      </c>
      <c r="DU12" s="6"/>
      <c r="DV12" s="6"/>
      <c r="DW12" s="6">
        <f t="shared" ref="DW12:DW75" si="10">SUM(DK12:DT12)</f>
        <v>265039</v>
      </c>
      <c r="DY12" s="6">
        <f t="shared" ref="DY12:DY75" si="11">DO12+DT12+H12+I12+J12+K12+CG12</f>
        <v>115481</v>
      </c>
      <c r="DZ12" s="6">
        <f t="shared" ref="DZ12:DZ75" si="12">SUM(G12:L12,O12)</f>
        <v>0</v>
      </c>
      <c r="EB12" s="6">
        <f t="shared" ref="EB12:EB75" si="13">DZ12+DF12</f>
        <v>265042</v>
      </c>
      <c r="EC12" s="6"/>
      <c r="ED12" s="6"/>
      <c r="EF12" s="6"/>
      <c r="EG12" s="6"/>
    </row>
    <row r="13" spans="2:177" ht="14">
      <c r="B13" s="4">
        <v>32356</v>
      </c>
      <c r="C13" s="5">
        <v>0</v>
      </c>
      <c r="D13" s="5">
        <v>0</v>
      </c>
      <c r="E13" s="5">
        <v>0</v>
      </c>
      <c r="F13" s="5" t="s">
        <v>82</v>
      </c>
      <c r="G13" s="5" t="s">
        <v>82</v>
      </c>
      <c r="H13" s="5">
        <v>0</v>
      </c>
      <c r="I13" s="5">
        <v>0</v>
      </c>
      <c r="J13" s="5">
        <v>0</v>
      </c>
      <c r="K13" s="5">
        <v>0</v>
      </c>
      <c r="L13" s="5"/>
      <c r="M13" s="5">
        <v>32179</v>
      </c>
      <c r="N13" s="5">
        <v>2750</v>
      </c>
      <c r="O13" s="5"/>
      <c r="P13" s="5">
        <v>0</v>
      </c>
      <c r="Q13" s="5">
        <v>0</v>
      </c>
      <c r="R13" s="5">
        <v>1136</v>
      </c>
      <c r="S13" s="5">
        <v>1043</v>
      </c>
      <c r="T13" s="5">
        <v>0</v>
      </c>
      <c r="U13" s="5"/>
      <c r="V13" s="5"/>
      <c r="W13" s="5">
        <v>13424</v>
      </c>
      <c r="X13" s="5">
        <v>0</v>
      </c>
      <c r="Y13" s="5">
        <v>933</v>
      </c>
      <c r="Z13" s="5">
        <v>58</v>
      </c>
      <c r="AA13" s="155"/>
      <c r="AB13" s="5">
        <v>0</v>
      </c>
      <c r="AC13" s="5">
        <v>0</v>
      </c>
      <c r="AD13" s="5">
        <v>0</v>
      </c>
      <c r="AE13" s="5">
        <v>24</v>
      </c>
      <c r="AF13" s="5">
        <v>7</v>
      </c>
      <c r="AG13" s="5">
        <v>0</v>
      </c>
      <c r="AH13" s="5"/>
      <c r="AI13" s="5"/>
      <c r="AJ13" s="5">
        <v>83</v>
      </c>
      <c r="AK13" s="5">
        <v>0</v>
      </c>
      <c r="AL13" s="5">
        <v>39721</v>
      </c>
      <c r="AM13" s="5">
        <v>2514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 t="s">
        <v>82</v>
      </c>
      <c r="AU13" s="5">
        <v>0</v>
      </c>
      <c r="AV13" s="5">
        <v>524</v>
      </c>
      <c r="AW13" s="5">
        <v>1569</v>
      </c>
      <c r="AX13" s="5">
        <v>0</v>
      </c>
      <c r="AY13" s="155"/>
      <c r="AZ13" s="155"/>
      <c r="BA13" s="155">
        <v>0</v>
      </c>
      <c r="BB13" s="155"/>
      <c r="BC13" s="5">
        <v>2373</v>
      </c>
      <c r="BD13" s="5"/>
      <c r="BE13" s="5">
        <v>44403</v>
      </c>
      <c r="BF13" s="5">
        <v>93093</v>
      </c>
      <c r="BG13" s="5">
        <v>104</v>
      </c>
      <c r="BH13" s="5">
        <v>0</v>
      </c>
      <c r="BI13" s="5">
        <v>0</v>
      </c>
      <c r="BJ13" s="5">
        <v>2132</v>
      </c>
      <c r="BK13" s="5">
        <v>150</v>
      </c>
      <c r="BL13" s="5">
        <v>2530</v>
      </c>
      <c r="BM13" s="5"/>
      <c r="BN13" s="5">
        <v>635</v>
      </c>
      <c r="BO13" s="5">
        <v>588</v>
      </c>
      <c r="BP13" s="5">
        <v>0</v>
      </c>
      <c r="BQ13" s="5">
        <v>3213</v>
      </c>
      <c r="BR13" s="5">
        <v>7333</v>
      </c>
      <c r="BS13" s="5">
        <v>29</v>
      </c>
      <c r="BT13" s="5">
        <v>0</v>
      </c>
      <c r="BU13" s="5">
        <v>0</v>
      </c>
      <c r="BV13" s="5"/>
      <c r="BW13" s="5">
        <v>17</v>
      </c>
      <c r="BX13" s="5">
        <v>365</v>
      </c>
      <c r="BY13" s="5"/>
      <c r="BZ13" s="5">
        <v>4986</v>
      </c>
      <c r="CA13" s="5">
        <v>0</v>
      </c>
      <c r="CB13" s="5">
        <v>0</v>
      </c>
      <c r="CC13" s="5">
        <v>2618</v>
      </c>
      <c r="CD13" s="5">
        <v>89</v>
      </c>
      <c r="CE13" s="5">
        <v>1971</v>
      </c>
      <c r="CF13" s="5">
        <v>1112</v>
      </c>
      <c r="CG13" s="5">
        <v>0</v>
      </c>
      <c r="CH13" s="5">
        <v>3</v>
      </c>
      <c r="CI13" s="5">
        <v>483</v>
      </c>
      <c r="CJ13" s="5">
        <v>778</v>
      </c>
      <c r="CK13" s="5">
        <v>158</v>
      </c>
      <c r="CL13" s="5"/>
      <c r="CM13" s="5"/>
      <c r="CN13" s="5"/>
      <c r="CO13" s="5"/>
      <c r="CP13" s="5"/>
      <c r="CQ13" s="5"/>
      <c r="CR13" s="5"/>
      <c r="CS13" s="5"/>
      <c r="CT13" s="5" t="s">
        <v>82</v>
      </c>
      <c r="CU13" s="5" t="s">
        <v>82</v>
      </c>
      <c r="CV13" s="5" t="s">
        <v>82</v>
      </c>
      <c r="CW13" s="5">
        <v>0</v>
      </c>
      <c r="CX13" s="5">
        <v>0</v>
      </c>
      <c r="CY13" s="5">
        <v>0</v>
      </c>
      <c r="DD13" s="6">
        <f t="shared" si="1"/>
        <v>166790</v>
      </c>
      <c r="DE13" s="6">
        <f t="shared" si="2"/>
        <v>98338</v>
      </c>
      <c r="DF13" s="16">
        <f t="shared" si="3"/>
        <v>265128</v>
      </c>
      <c r="DK13" s="6">
        <f t="shared" si="4"/>
        <v>50532</v>
      </c>
      <c r="DL13" s="6">
        <f t="shared" si="5"/>
        <v>47806</v>
      </c>
      <c r="DM13" s="6">
        <f t="shared" ref="DM13:DM34" si="14">T13</f>
        <v>0</v>
      </c>
      <c r="DN13" s="6">
        <f t="shared" ref="DN13:DN34" si="15">AG13+AX13+AN13+AP13+AQ13+AR13</f>
        <v>0</v>
      </c>
      <c r="DO13" s="6">
        <f t="shared" si="6"/>
        <v>110304</v>
      </c>
      <c r="DP13" s="6">
        <f t="shared" ref="DP13:DP76" si="16">SUM(BD13:BE13,BH13,BN13,BQ13,BT13)</f>
        <v>48251</v>
      </c>
      <c r="DQ13" s="6"/>
      <c r="DR13" s="6">
        <f t="shared" si="7"/>
        <v>3101</v>
      </c>
      <c r="DS13" s="6">
        <f t="shared" si="8"/>
        <v>0</v>
      </c>
      <c r="DT13" s="6">
        <f t="shared" si="9"/>
        <v>5131</v>
      </c>
      <c r="DU13" s="6"/>
      <c r="DV13" s="6"/>
      <c r="DW13" s="6">
        <f t="shared" si="10"/>
        <v>265125</v>
      </c>
      <c r="DY13" s="6">
        <f t="shared" si="11"/>
        <v>115435</v>
      </c>
      <c r="DZ13" s="6">
        <f t="shared" si="12"/>
        <v>0</v>
      </c>
      <c r="EB13" s="6">
        <f t="shared" si="13"/>
        <v>265128</v>
      </c>
      <c r="EC13" s="6"/>
      <c r="ED13" s="6"/>
      <c r="EF13" s="6"/>
      <c r="EG13" s="6"/>
    </row>
    <row r="14" spans="2:177" ht="14">
      <c r="B14" s="4">
        <v>32387</v>
      </c>
      <c r="C14" s="5">
        <v>0</v>
      </c>
      <c r="D14" s="5">
        <v>0</v>
      </c>
      <c r="E14" s="5">
        <v>0</v>
      </c>
      <c r="F14" s="5" t="s">
        <v>82</v>
      </c>
      <c r="G14" s="5" t="s">
        <v>82</v>
      </c>
      <c r="H14" s="5">
        <v>0</v>
      </c>
      <c r="I14" s="5">
        <v>0</v>
      </c>
      <c r="J14" s="5">
        <v>0</v>
      </c>
      <c r="K14" s="5">
        <v>0</v>
      </c>
      <c r="L14" s="5"/>
      <c r="M14" s="5">
        <v>32217</v>
      </c>
      <c r="N14" s="5">
        <v>2782</v>
      </c>
      <c r="O14" s="5"/>
      <c r="P14" s="5">
        <v>0</v>
      </c>
      <c r="Q14" s="5">
        <v>0</v>
      </c>
      <c r="R14" s="5">
        <v>1094</v>
      </c>
      <c r="S14" s="5">
        <v>1103</v>
      </c>
      <c r="T14" s="5">
        <v>0</v>
      </c>
      <c r="U14" s="5"/>
      <c r="V14" s="5"/>
      <c r="W14" s="5">
        <v>13452</v>
      </c>
      <c r="X14" s="5">
        <v>0</v>
      </c>
      <c r="Y14" s="5">
        <v>928</v>
      </c>
      <c r="Z14" s="5">
        <v>59</v>
      </c>
      <c r="AA14" s="155"/>
      <c r="AB14" s="5">
        <v>0</v>
      </c>
      <c r="AC14" s="5">
        <v>0</v>
      </c>
      <c r="AD14" s="5">
        <v>0</v>
      </c>
      <c r="AE14" s="5">
        <v>23</v>
      </c>
      <c r="AF14" s="5">
        <v>9</v>
      </c>
      <c r="AG14" s="5">
        <v>0</v>
      </c>
      <c r="AH14" s="5"/>
      <c r="AI14" s="5"/>
      <c r="AJ14" s="5">
        <v>85</v>
      </c>
      <c r="AK14" s="5">
        <v>0</v>
      </c>
      <c r="AL14" s="5">
        <v>39856</v>
      </c>
      <c r="AM14" s="5">
        <v>2545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 t="s">
        <v>82</v>
      </c>
      <c r="AU14" s="5">
        <v>0</v>
      </c>
      <c r="AV14" s="5">
        <v>521</v>
      </c>
      <c r="AW14" s="5">
        <v>1604</v>
      </c>
      <c r="AX14" s="5">
        <v>0</v>
      </c>
      <c r="AY14" s="155"/>
      <c r="AZ14" s="155"/>
      <c r="BA14" s="155">
        <v>0</v>
      </c>
      <c r="BB14" s="155"/>
      <c r="BC14" s="5">
        <v>2401</v>
      </c>
      <c r="BD14" s="5"/>
      <c r="BE14" s="5">
        <v>44102</v>
      </c>
      <c r="BF14" s="5">
        <v>93239</v>
      </c>
      <c r="BG14" s="5">
        <v>99</v>
      </c>
      <c r="BH14" s="5">
        <v>0</v>
      </c>
      <c r="BI14" s="5">
        <v>0</v>
      </c>
      <c r="BJ14" s="5">
        <v>2101</v>
      </c>
      <c r="BK14" s="5">
        <v>143</v>
      </c>
      <c r="BL14" s="5">
        <v>2478</v>
      </c>
      <c r="BM14" s="5"/>
      <c r="BN14" s="5">
        <v>628</v>
      </c>
      <c r="BO14" s="5">
        <v>570</v>
      </c>
      <c r="BP14" s="5">
        <v>0</v>
      </c>
      <c r="BQ14" s="5">
        <v>3207</v>
      </c>
      <c r="BR14" s="5">
        <v>7294</v>
      </c>
      <c r="BS14" s="5">
        <v>31</v>
      </c>
      <c r="BT14" s="5">
        <v>0</v>
      </c>
      <c r="BU14" s="5">
        <v>0</v>
      </c>
      <c r="BV14" s="5"/>
      <c r="BW14" s="5">
        <v>19</v>
      </c>
      <c r="BX14" s="5">
        <v>354</v>
      </c>
      <c r="BY14" s="5"/>
      <c r="BZ14" s="5">
        <v>4699</v>
      </c>
      <c r="CA14" s="5">
        <v>0</v>
      </c>
      <c r="CB14" s="5">
        <v>0</v>
      </c>
      <c r="CC14" s="5">
        <v>3186</v>
      </c>
      <c r="CD14" s="5">
        <v>359</v>
      </c>
      <c r="CE14" s="5">
        <v>1993</v>
      </c>
      <c r="CF14" s="5">
        <v>1198</v>
      </c>
      <c r="CG14" s="5">
        <v>0</v>
      </c>
      <c r="CH14" s="5">
        <v>3</v>
      </c>
      <c r="CI14" s="5">
        <v>432</v>
      </c>
      <c r="CJ14" s="5">
        <v>747</v>
      </c>
      <c r="CK14" s="5">
        <v>177</v>
      </c>
      <c r="CL14" s="5"/>
      <c r="CM14" s="5"/>
      <c r="CN14" s="5"/>
      <c r="CO14" s="5"/>
      <c r="CP14" s="5"/>
      <c r="CQ14" s="5"/>
      <c r="CR14" s="5"/>
      <c r="CS14" s="5"/>
      <c r="CT14" s="5" t="s">
        <v>82</v>
      </c>
      <c r="CU14" s="5" t="s">
        <v>82</v>
      </c>
      <c r="CV14" s="5" t="s">
        <v>82</v>
      </c>
      <c r="CW14" s="5">
        <v>0</v>
      </c>
      <c r="CX14" s="5">
        <v>0</v>
      </c>
      <c r="CY14" s="5">
        <v>0</v>
      </c>
      <c r="DD14" s="6">
        <f t="shared" si="1"/>
        <v>167059</v>
      </c>
      <c r="DE14" s="6">
        <f t="shared" si="2"/>
        <v>98679</v>
      </c>
      <c r="DF14" s="16">
        <f t="shared" si="3"/>
        <v>265738</v>
      </c>
      <c r="DK14" s="6">
        <f t="shared" si="4"/>
        <v>50648</v>
      </c>
      <c r="DL14" s="6">
        <f t="shared" si="5"/>
        <v>48031</v>
      </c>
      <c r="DM14" s="6">
        <f t="shared" si="14"/>
        <v>0</v>
      </c>
      <c r="DN14" s="6">
        <f t="shared" si="15"/>
        <v>0</v>
      </c>
      <c r="DO14" s="6">
        <f t="shared" si="6"/>
        <v>110469</v>
      </c>
      <c r="DP14" s="6">
        <f t="shared" si="16"/>
        <v>47937</v>
      </c>
      <c r="DQ14" s="6"/>
      <c r="DR14" s="6">
        <f t="shared" si="7"/>
        <v>3618</v>
      </c>
      <c r="DS14" s="6">
        <f t="shared" si="8"/>
        <v>0</v>
      </c>
      <c r="DT14" s="6">
        <f t="shared" si="9"/>
        <v>5032</v>
      </c>
      <c r="DU14" s="6"/>
      <c r="DV14" s="6"/>
      <c r="DW14" s="6">
        <f t="shared" si="10"/>
        <v>265735</v>
      </c>
      <c r="DY14" s="6">
        <f t="shared" si="11"/>
        <v>115501</v>
      </c>
      <c r="DZ14" s="6">
        <f t="shared" si="12"/>
        <v>0</v>
      </c>
      <c r="EB14" s="6">
        <f t="shared" si="13"/>
        <v>265738</v>
      </c>
      <c r="EC14" s="6"/>
      <c r="ED14" s="6"/>
      <c r="EF14" s="6"/>
      <c r="EG14" s="6"/>
    </row>
    <row r="15" spans="2:177" ht="14">
      <c r="B15" s="4">
        <v>32417</v>
      </c>
      <c r="C15" s="5">
        <v>0</v>
      </c>
      <c r="D15" s="5">
        <v>0</v>
      </c>
      <c r="E15" s="5">
        <v>0</v>
      </c>
      <c r="F15" s="5" t="s">
        <v>82</v>
      </c>
      <c r="G15" s="5" t="s">
        <v>82</v>
      </c>
      <c r="H15" s="5">
        <v>0</v>
      </c>
      <c r="I15" s="5">
        <v>0</v>
      </c>
      <c r="J15" s="5">
        <v>0</v>
      </c>
      <c r="K15" s="5">
        <v>0</v>
      </c>
      <c r="L15" s="5"/>
      <c r="M15" s="5">
        <v>32247</v>
      </c>
      <c r="N15" s="5">
        <v>2792</v>
      </c>
      <c r="O15" s="5"/>
      <c r="P15" s="5">
        <v>0</v>
      </c>
      <c r="Q15" s="5">
        <v>0</v>
      </c>
      <c r="R15" s="5">
        <v>1057</v>
      </c>
      <c r="S15" s="5">
        <v>1138</v>
      </c>
      <c r="T15" s="5">
        <v>0</v>
      </c>
      <c r="U15" s="5"/>
      <c r="V15" s="5"/>
      <c r="W15" s="5">
        <v>13502</v>
      </c>
      <c r="X15" s="5">
        <v>0</v>
      </c>
      <c r="Y15" s="5">
        <v>924</v>
      </c>
      <c r="Z15" s="5">
        <v>58</v>
      </c>
      <c r="AA15" s="155"/>
      <c r="AB15" s="5">
        <v>0</v>
      </c>
      <c r="AC15" s="5">
        <v>0</v>
      </c>
      <c r="AD15" s="5">
        <v>0</v>
      </c>
      <c r="AE15" s="5">
        <v>23</v>
      </c>
      <c r="AF15" s="5">
        <v>11</v>
      </c>
      <c r="AG15" s="5">
        <v>0</v>
      </c>
      <c r="AH15" s="5"/>
      <c r="AI15" s="5"/>
      <c r="AJ15" s="5">
        <v>85</v>
      </c>
      <c r="AK15" s="5">
        <v>0</v>
      </c>
      <c r="AL15" s="5">
        <v>40032</v>
      </c>
      <c r="AM15" s="5">
        <v>2550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 t="s">
        <v>82</v>
      </c>
      <c r="AU15" s="5">
        <v>0</v>
      </c>
      <c r="AV15" s="5">
        <v>500</v>
      </c>
      <c r="AW15" s="5">
        <v>1622</v>
      </c>
      <c r="AX15" s="5">
        <v>0</v>
      </c>
      <c r="AY15" s="155"/>
      <c r="AZ15" s="155"/>
      <c r="BA15" s="155">
        <v>0</v>
      </c>
      <c r="BB15" s="155"/>
      <c r="BC15" s="5">
        <v>2390</v>
      </c>
      <c r="BD15" s="5"/>
      <c r="BE15" s="5">
        <v>44036</v>
      </c>
      <c r="BF15" s="5">
        <v>93273</v>
      </c>
      <c r="BG15" s="5">
        <v>100</v>
      </c>
      <c r="BH15" s="5">
        <v>0</v>
      </c>
      <c r="BI15" s="5">
        <v>0</v>
      </c>
      <c r="BJ15" s="5">
        <v>2133</v>
      </c>
      <c r="BK15" s="5">
        <v>152</v>
      </c>
      <c r="BL15" s="5">
        <v>2434</v>
      </c>
      <c r="BM15" s="5"/>
      <c r="BN15" s="5">
        <v>441</v>
      </c>
      <c r="BO15" s="5">
        <v>440</v>
      </c>
      <c r="BP15" s="5">
        <v>0</v>
      </c>
      <c r="BQ15" s="5">
        <v>3258</v>
      </c>
      <c r="BR15" s="5">
        <v>7541</v>
      </c>
      <c r="BS15" s="5">
        <v>32</v>
      </c>
      <c r="BT15" s="5">
        <v>0</v>
      </c>
      <c r="BU15" s="5">
        <v>0</v>
      </c>
      <c r="BV15" s="5"/>
      <c r="BW15" s="5">
        <v>17</v>
      </c>
      <c r="BX15" s="5">
        <v>359</v>
      </c>
      <c r="BY15" s="5"/>
      <c r="BZ15" s="5">
        <v>4660</v>
      </c>
      <c r="CA15" s="5">
        <v>0</v>
      </c>
      <c r="CB15" s="5">
        <v>0</v>
      </c>
      <c r="CC15" s="5">
        <v>3647</v>
      </c>
      <c r="CD15" s="5">
        <v>690</v>
      </c>
      <c r="CE15" s="5">
        <v>1977</v>
      </c>
      <c r="CF15" s="5">
        <v>1296</v>
      </c>
      <c r="CG15" s="5">
        <v>0</v>
      </c>
      <c r="CH15" s="5">
        <v>3</v>
      </c>
      <c r="CI15" s="5">
        <v>358</v>
      </c>
      <c r="CJ15" s="5">
        <v>747</v>
      </c>
      <c r="CK15" s="5">
        <v>166</v>
      </c>
      <c r="CL15" s="5"/>
      <c r="CM15" s="5"/>
      <c r="CN15" s="5"/>
      <c r="CO15" s="5"/>
      <c r="CP15" s="5"/>
      <c r="CQ15" s="5"/>
      <c r="CR15" s="5"/>
      <c r="CS15" s="5"/>
      <c r="CT15" s="5" t="s">
        <v>82</v>
      </c>
      <c r="CU15" s="5" t="s">
        <v>82</v>
      </c>
      <c r="CV15" s="5" t="s">
        <v>82</v>
      </c>
      <c r="CW15" s="5">
        <v>0</v>
      </c>
      <c r="CX15" s="5">
        <v>0</v>
      </c>
      <c r="CY15" s="5">
        <v>0</v>
      </c>
      <c r="DD15" s="6">
        <f t="shared" si="1"/>
        <v>167760</v>
      </c>
      <c r="DE15" s="6">
        <f t="shared" si="2"/>
        <v>98931</v>
      </c>
      <c r="DF15" s="16">
        <f t="shared" si="3"/>
        <v>266691</v>
      </c>
      <c r="DK15" s="6">
        <f t="shared" si="4"/>
        <v>50736</v>
      </c>
      <c r="DL15" s="6">
        <f t="shared" si="5"/>
        <v>48195</v>
      </c>
      <c r="DM15" s="6">
        <f t="shared" si="14"/>
        <v>0</v>
      </c>
      <c r="DN15" s="6">
        <f t="shared" si="15"/>
        <v>0</v>
      </c>
      <c r="DO15" s="6">
        <f t="shared" si="6"/>
        <v>110991</v>
      </c>
      <c r="DP15" s="6">
        <f t="shared" si="16"/>
        <v>47735</v>
      </c>
      <c r="DQ15" s="6"/>
      <c r="DR15" s="6">
        <f t="shared" si="7"/>
        <v>4005</v>
      </c>
      <c r="DS15" s="6">
        <f t="shared" si="8"/>
        <v>0</v>
      </c>
      <c r="DT15" s="6">
        <f t="shared" si="9"/>
        <v>5026</v>
      </c>
      <c r="DU15" s="6"/>
      <c r="DV15" s="6"/>
      <c r="DW15" s="6">
        <f t="shared" si="10"/>
        <v>266688</v>
      </c>
      <c r="DY15" s="6">
        <f t="shared" si="11"/>
        <v>116017</v>
      </c>
      <c r="DZ15" s="6">
        <f t="shared" si="12"/>
        <v>0</v>
      </c>
      <c r="EB15" s="6">
        <f t="shared" si="13"/>
        <v>266691</v>
      </c>
      <c r="EC15" s="6"/>
      <c r="ED15" s="6"/>
      <c r="EF15" s="6"/>
      <c r="EG15" s="6"/>
    </row>
    <row r="16" spans="2:177" ht="14">
      <c r="B16" s="4">
        <v>32448</v>
      </c>
      <c r="C16" s="5">
        <v>0</v>
      </c>
      <c r="D16" s="5">
        <v>0</v>
      </c>
      <c r="E16" s="5">
        <v>0</v>
      </c>
      <c r="F16" s="5" t="s">
        <v>82</v>
      </c>
      <c r="G16" s="5" t="s">
        <v>82</v>
      </c>
      <c r="H16" s="5">
        <v>0</v>
      </c>
      <c r="I16" s="5">
        <v>0</v>
      </c>
      <c r="J16" s="5">
        <v>0</v>
      </c>
      <c r="K16" s="5">
        <v>0</v>
      </c>
      <c r="L16" s="5"/>
      <c r="M16" s="5">
        <v>32247</v>
      </c>
      <c r="N16" s="5">
        <v>2804</v>
      </c>
      <c r="O16" s="5"/>
      <c r="P16" s="5">
        <v>0</v>
      </c>
      <c r="Q16" s="5">
        <v>0</v>
      </c>
      <c r="R16" s="5">
        <v>1052</v>
      </c>
      <c r="S16" s="5">
        <v>1158</v>
      </c>
      <c r="T16" s="5">
        <v>0</v>
      </c>
      <c r="U16" s="5"/>
      <c r="V16" s="5"/>
      <c r="W16" s="5">
        <v>13489</v>
      </c>
      <c r="X16" s="5">
        <v>0</v>
      </c>
      <c r="Y16" s="5">
        <v>932</v>
      </c>
      <c r="Z16" s="5">
        <v>54</v>
      </c>
      <c r="AA16" s="155"/>
      <c r="AB16" s="5">
        <v>0</v>
      </c>
      <c r="AC16" s="5">
        <v>0</v>
      </c>
      <c r="AD16" s="5">
        <v>0</v>
      </c>
      <c r="AE16" s="5">
        <v>21</v>
      </c>
      <c r="AF16" s="5">
        <v>14</v>
      </c>
      <c r="AG16" s="5">
        <v>0</v>
      </c>
      <c r="AH16" s="5"/>
      <c r="AI16" s="5"/>
      <c r="AJ16" s="5">
        <v>79</v>
      </c>
      <c r="AK16" s="5">
        <v>0</v>
      </c>
      <c r="AL16" s="5">
        <v>40183</v>
      </c>
      <c r="AM16" s="5">
        <v>2573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 t="s">
        <v>82</v>
      </c>
      <c r="AU16" s="5">
        <v>0</v>
      </c>
      <c r="AV16" s="5">
        <v>510</v>
      </c>
      <c r="AW16" s="5">
        <v>1630</v>
      </c>
      <c r="AX16" s="5">
        <v>0</v>
      </c>
      <c r="AY16" s="155"/>
      <c r="AZ16" s="155"/>
      <c r="BA16" s="155">
        <v>0</v>
      </c>
      <c r="BB16" s="155"/>
      <c r="BC16" s="5">
        <v>2421</v>
      </c>
      <c r="BD16" s="5"/>
      <c r="BE16" s="5">
        <v>43924</v>
      </c>
      <c r="BF16" s="5">
        <v>93440</v>
      </c>
      <c r="BG16" s="5">
        <v>104</v>
      </c>
      <c r="BH16" s="5">
        <v>0</v>
      </c>
      <c r="BI16" s="5">
        <v>0</v>
      </c>
      <c r="BJ16" s="5">
        <v>2140</v>
      </c>
      <c r="BK16" s="5">
        <v>150</v>
      </c>
      <c r="BL16" s="5">
        <v>2452</v>
      </c>
      <c r="BM16" s="5"/>
      <c r="BN16" s="5">
        <v>388</v>
      </c>
      <c r="BO16" s="5">
        <v>469</v>
      </c>
      <c r="BP16" s="5">
        <v>0</v>
      </c>
      <c r="BQ16" s="5">
        <v>3232</v>
      </c>
      <c r="BR16" s="5">
        <v>7564</v>
      </c>
      <c r="BS16" s="5">
        <v>31</v>
      </c>
      <c r="BT16" s="5">
        <v>0</v>
      </c>
      <c r="BU16" s="5">
        <v>0</v>
      </c>
      <c r="BV16" s="5"/>
      <c r="BW16" s="5">
        <v>15</v>
      </c>
      <c r="BX16" s="5">
        <v>366</v>
      </c>
      <c r="BY16" s="5"/>
      <c r="BZ16" s="5">
        <v>4679</v>
      </c>
      <c r="CA16" s="5">
        <v>0</v>
      </c>
      <c r="CB16" s="5">
        <v>0</v>
      </c>
      <c r="CC16" s="5">
        <v>3806</v>
      </c>
      <c r="CD16" s="5">
        <v>1001</v>
      </c>
      <c r="CE16" s="5">
        <v>1927</v>
      </c>
      <c r="CF16" s="5">
        <v>1268</v>
      </c>
      <c r="CG16" s="5">
        <v>0</v>
      </c>
      <c r="CH16" s="5">
        <v>2</v>
      </c>
      <c r="CI16" s="5">
        <v>300</v>
      </c>
      <c r="CJ16" s="5">
        <v>741</v>
      </c>
      <c r="CK16" s="5">
        <v>151</v>
      </c>
      <c r="CL16" s="5"/>
      <c r="CM16" s="5"/>
      <c r="CN16" s="5"/>
      <c r="CO16" s="5"/>
      <c r="CP16" s="5"/>
      <c r="CQ16" s="5"/>
      <c r="CR16" s="5"/>
      <c r="CS16" s="5"/>
      <c r="CT16" s="5" t="s">
        <v>82</v>
      </c>
      <c r="CU16" s="5" t="s">
        <v>82</v>
      </c>
      <c r="CV16" s="5" t="s">
        <v>82</v>
      </c>
      <c r="CW16" s="5">
        <v>0</v>
      </c>
      <c r="CX16" s="5">
        <v>0</v>
      </c>
      <c r="CY16" s="5">
        <v>0</v>
      </c>
      <c r="DD16" s="6">
        <f t="shared" si="1"/>
        <v>168150</v>
      </c>
      <c r="DE16" s="6">
        <f t="shared" si="2"/>
        <v>99167</v>
      </c>
      <c r="DF16" s="16">
        <f t="shared" si="3"/>
        <v>267317</v>
      </c>
      <c r="DK16" s="6">
        <f t="shared" si="4"/>
        <v>50750</v>
      </c>
      <c r="DL16" s="6">
        <f t="shared" si="5"/>
        <v>48417</v>
      </c>
      <c r="DM16" s="6">
        <f t="shared" si="14"/>
        <v>0</v>
      </c>
      <c r="DN16" s="6">
        <f t="shared" si="15"/>
        <v>0</v>
      </c>
      <c r="DO16" s="6">
        <f t="shared" si="6"/>
        <v>111436</v>
      </c>
      <c r="DP16" s="6">
        <f t="shared" si="16"/>
        <v>47544</v>
      </c>
      <c r="DQ16" s="6"/>
      <c r="DR16" s="6">
        <f t="shared" si="7"/>
        <v>4106</v>
      </c>
      <c r="DS16" s="6">
        <f t="shared" si="8"/>
        <v>0</v>
      </c>
      <c r="DT16" s="6">
        <f t="shared" si="9"/>
        <v>5062</v>
      </c>
      <c r="DU16" s="6"/>
      <c r="DV16" s="6"/>
      <c r="DW16" s="6">
        <f t="shared" si="10"/>
        <v>267315</v>
      </c>
      <c r="DY16" s="6">
        <f t="shared" si="11"/>
        <v>116498</v>
      </c>
      <c r="DZ16" s="6">
        <f t="shared" si="12"/>
        <v>0</v>
      </c>
      <c r="EB16" s="6">
        <f t="shared" si="13"/>
        <v>267317</v>
      </c>
      <c r="EC16" s="6"/>
      <c r="ED16" s="6"/>
      <c r="EF16" s="6"/>
      <c r="EG16" s="6"/>
    </row>
    <row r="17" spans="2:137" ht="14">
      <c r="B17" s="4">
        <v>32478</v>
      </c>
      <c r="C17" s="5">
        <v>0</v>
      </c>
      <c r="D17" s="5">
        <v>0</v>
      </c>
      <c r="E17" s="5">
        <v>0</v>
      </c>
      <c r="F17" s="5" t="s">
        <v>82</v>
      </c>
      <c r="G17" s="5" t="s">
        <v>82</v>
      </c>
      <c r="H17" s="5">
        <v>0</v>
      </c>
      <c r="I17" s="5">
        <v>0</v>
      </c>
      <c r="J17" s="5">
        <v>0</v>
      </c>
      <c r="K17" s="5">
        <v>0</v>
      </c>
      <c r="L17" s="5"/>
      <c r="M17" s="5">
        <v>32299</v>
      </c>
      <c r="N17" s="5">
        <v>2819</v>
      </c>
      <c r="O17" s="5"/>
      <c r="P17" s="5">
        <v>0</v>
      </c>
      <c r="Q17" s="5">
        <v>0</v>
      </c>
      <c r="R17" s="5">
        <v>1061</v>
      </c>
      <c r="S17" s="5">
        <v>1183</v>
      </c>
      <c r="T17" s="5">
        <v>0</v>
      </c>
      <c r="U17" s="5"/>
      <c r="V17" s="5"/>
      <c r="W17" s="5">
        <v>13593</v>
      </c>
      <c r="X17" s="5">
        <v>0</v>
      </c>
      <c r="Y17" s="5">
        <v>928</v>
      </c>
      <c r="Z17" s="5">
        <v>57</v>
      </c>
      <c r="AA17" s="155"/>
      <c r="AB17" s="5">
        <v>0</v>
      </c>
      <c r="AC17" s="5">
        <v>0</v>
      </c>
      <c r="AD17" s="5">
        <v>0</v>
      </c>
      <c r="AE17" s="5">
        <v>20</v>
      </c>
      <c r="AF17" s="5">
        <v>13</v>
      </c>
      <c r="AG17" s="5">
        <v>0</v>
      </c>
      <c r="AH17" s="5"/>
      <c r="AI17" s="5"/>
      <c r="AJ17" s="5">
        <v>80</v>
      </c>
      <c r="AK17" s="5">
        <v>0</v>
      </c>
      <c r="AL17" s="5">
        <v>40313</v>
      </c>
      <c r="AM17" s="5">
        <v>2584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 t="s">
        <v>82</v>
      </c>
      <c r="AU17" s="5">
        <v>0</v>
      </c>
      <c r="AV17" s="5">
        <v>520</v>
      </c>
      <c r="AW17" s="5">
        <v>1638</v>
      </c>
      <c r="AX17" s="5">
        <v>0</v>
      </c>
      <c r="AY17" s="155"/>
      <c r="AZ17" s="155"/>
      <c r="BA17" s="155">
        <v>0</v>
      </c>
      <c r="BB17" s="155"/>
      <c r="BC17" s="5">
        <v>2429</v>
      </c>
      <c r="BD17" s="5"/>
      <c r="BE17" s="5">
        <v>43984</v>
      </c>
      <c r="BF17" s="5">
        <v>93814</v>
      </c>
      <c r="BG17" s="5">
        <v>106</v>
      </c>
      <c r="BH17" s="5">
        <v>0</v>
      </c>
      <c r="BI17" s="5">
        <v>0</v>
      </c>
      <c r="BJ17" s="5">
        <v>2188</v>
      </c>
      <c r="BK17" s="5">
        <v>171</v>
      </c>
      <c r="BL17" s="5">
        <v>2450</v>
      </c>
      <c r="BM17" s="5"/>
      <c r="BN17" s="5">
        <v>439</v>
      </c>
      <c r="BO17" s="5">
        <v>475</v>
      </c>
      <c r="BP17" s="5">
        <v>0</v>
      </c>
      <c r="BQ17" s="5">
        <v>3210</v>
      </c>
      <c r="BR17" s="5">
        <v>7603</v>
      </c>
      <c r="BS17" s="5">
        <v>30</v>
      </c>
      <c r="BT17" s="5">
        <v>0</v>
      </c>
      <c r="BU17" s="5">
        <v>0</v>
      </c>
      <c r="BV17" s="5"/>
      <c r="BW17" s="5">
        <v>14</v>
      </c>
      <c r="BX17" s="5">
        <v>364</v>
      </c>
      <c r="BY17" s="5"/>
      <c r="BZ17" s="5">
        <v>4642</v>
      </c>
      <c r="CA17" s="5">
        <v>0</v>
      </c>
      <c r="CB17" s="5">
        <v>0</v>
      </c>
      <c r="CC17" s="5">
        <v>4101</v>
      </c>
      <c r="CD17" s="5">
        <v>1289</v>
      </c>
      <c r="CE17" s="5">
        <v>1965</v>
      </c>
      <c r="CF17" s="5">
        <v>1359</v>
      </c>
      <c r="CG17" s="5">
        <v>0</v>
      </c>
      <c r="CH17" s="5">
        <v>2</v>
      </c>
      <c r="CI17" s="5">
        <v>283</v>
      </c>
      <c r="CJ17" s="5">
        <v>734</v>
      </c>
      <c r="CK17" s="5">
        <v>144</v>
      </c>
      <c r="CL17" s="5"/>
      <c r="CM17" s="5"/>
      <c r="CN17" s="5"/>
      <c r="CO17" s="5"/>
      <c r="CP17" s="5"/>
      <c r="CQ17" s="5"/>
      <c r="CR17" s="5"/>
      <c r="CS17" s="5"/>
      <c r="CT17" s="5" t="s">
        <v>82</v>
      </c>
      <c r="CU17" s="5" t="s">
        <v>82</v>
      </c>
      <c r="CV17" s="5" t="s">
        <v>82</v>
      </c>
      <c r="CW17" s="5">
        <v>0</v>
      </c>
      <c r="CX17" s="5">
        <v>0</v>
      </c>
      <c r="CY17" s="5">
        <v>0</v>
      </c>
      <c r="DD17" s="6">
        <f t="shared" si="1"/>
        <v>169367</v>
      </c>
      <c r="DE17" s="6">
        <f t="shared" si="2"/>
        <v>99537</v>
      </c>
      <c r="DF17" s="16">
        <f t="shared" si="3"/>
        <v>268904</v>
      </c>
      <c r="DK17" s="6">
        <f t="shared" si="4"/>
        <v>50955</v>
      </c>
      <c r="DL17" s="6">
        <f t="shared" si="5"/>
        <v>48582</v>
      </c>
      <c r="DM17" s="6">
        <f t="shared" si="14"/>
        <v>0</v>
      </c>
      <c r="DN17" s="6">
        <f t="shared" si="15"/>
        <v>0</v>
      </c>
      <c r="DO17" s="6">
        <f t="shared" si="6"/>
        <v>112240</v>
      </c>
      <c r="DP17" s="6">
        <f t="shared" si="16"/>
        <v>47633</v>
      </c>
      <c r="DQ17" s="6"/>
      <c r="DR17" s="6">
        <f t="shared" si="7"/>
        <v>4384</v>
      </c>
      <c r="DS17" s="6">
        <f t="shared" si="8"/>
        <v>0</v>
      </c>
      <c r="DT17" s="6">
        <f t="shared" si="9"/>
        <v>5108</v>
      </c>
      <c r="DU17" s="6"/>
      <c r="DV17" s="6"/>
      <c r="DW17" s="6">
        <f t="shared" si="10"/>
        <v>268902</v>
      </c>
      <c r="DY17" s="6">
        <f t="shared" si="11"/>
        <v>117348</v>
      </c>
      <c r="DZ17" s="6">
        <f t="shared" si="12"/>
        <v>0</v>
      </c>
      <c r="EB17" s="6">
        <f t="shared" si="13"/>
        <v>268904</v>
      </c>
      <c r="EC17" s="6"/>
      <c r="ED17" s="6"/>
      <c r="EF17" s="6"/>
      <c r="EG17" s="6"/>
    </row>
    <row r="18" spans="2:137" ht="14">
      <c r="B18" s="4">
        <v>32509</v>
      </c>
      <c r="C18" s="5">
        <v>0</v>
      </c>
      <c r="D18" s="5">
        <v>0</v>
      </c>
      <c r="E18" s="5">
        <v>0</v>
      </c>
      <c r="F18" s="5" t="s">
        <v>82</v>
      </c>
      <c r="G18" s="5" t="s">
        <v>82</v>
      </c>
      <c r="H18" s="5">
        <v>0</v>
      </c>
      <c r="I18" s="5">
        <v>0</v>
      </c>
      <c r="J18" s="5">
        <v>0</v>
      </c>
      <c r="K18" s="5">
        <v>0</v>
      </c>
      <c r="L18" s="5"/>
      <c r="M18" s="5">
        <v>32323</v>
      </c>
      <c r="N18" s="5">
        <v>2835</v>
      </c>
      <c r="O18" s="5"/>
      <c r="P18" s="5">
        <v>0</v>
      </c>
      <c r="Q18" s="5">
        <v>0</v>
      </c>
      <c r="R18" s="5">
        <v>1044</v>
      </c>
      <c r="S18" s="5">
        <v>1160</v>
      </c>
      <c r="T18" s="5">
        <v>0</v>
      </c>
      <c r="U18" s="5"/>
      <c r="V18" s="5"/>
      <c r="W18" s="5">
        <v>13665</v>
      </c>
      <c r="X18" s="5">
        <v>0</v>
      </c>
      <c r="Y18" s="5">
        <v>939</v>
      </c>
      <c r="Z18" s="5">
        <v>56</v>
      </c>
      <c r="AA18" s="155"/>
      <c r="AB18" s="5">
        <v>0</v>
      </c>
      <c r="AC18" s="5">
        <v>0</v>
      </c>
      <c r="AD18" s="5">
        <v>0</v>
      </c>
      <c r="AE18" s="5">
        <v>22</v>
      </c>
      <c r="AF18" s="5">
        <v>12</v>
      </c>
      <c r="AG18" s="5">
        <v>0</v>
      </c>
      <c r="AH18" s="5"/>
      <c r="AI18" s="5"/>
      <c r="AJ18" s="5">
        <v>83</v>
      </c>
      <c r="AK18" s="5">
        <v>0</v>
      </c>
      <c r="AL18" s="5">
        <v>40465</v>
      </c>
      <c r="AM18" s="5">
        <v>2598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 t="s">
        <v>82</v>
      </c>
      <c r="AU18" s="5">
        <v>0</v>
      </c>
      <c r="AV18" s="5">
        <v>531</v>
      </c>
      <c r="AW18" s="5">
        <v>1641</v>
      </c>
      <c r="AX18" s="5">
        <v>0</v>
      </c>
      <c r="AY18" s="155"/>
      <c r="AZ18" s="155"/>
      <c r="BA18" s="155">
        <v>0</v>
      </c>
      <c r="BB18" s="155"/>
      <c r="BC18" s="5">
        <v>2440</v>
      </c>
      <c r="BD18" s="5"/>
      <c r="BE18" s="5">
        <v>44185</v>
      </c>
      <c r="BF18" s="5">
        <v>94460</v>
      </c>
      <c r="BG18" s="5">
        <v>112</v>
      </c>
      <c r="BH18" s="5">
        <v>0</v>
      </c>
      <c r="BI18" s="5">
        <v>0</v>
      </c>
      <c r="BJ18" s="5">
        <v>2217</v>
      </c>
      <c r="BK18" s="5">
        <v>183</v>
      </c>
      <c r="BL18" s="5">
        <v>2487</v>
      </c>
      <c r="BM18" s="5"/>
      <c r="BN18" s="5">
        <v>481</v>
      </c>
      <c r="BO18" s="5">
        <v>512</v>
      </c>
      <c r="BP18" s="5">
        <v>0</v>
      </c>
      <c r="BQ18" s="5">
        <v>3103</v>
      </c>
      <c r="BR18" s="5">
        <v>7388</v>
      </c>
      <c r="BS18" s="5">
        <v>30</v>
      </c>
      <c r="BT18" s="5">
        <v>0</v>
      </c>
      <c r="BU18" s="5">
        <v>0</v>
      </c>
      <c r="BV18" s="5"/>
      <c r="BW18" s="5">
        <v>11</v>
      </c>
      <c r="BX18" s="5">
        <v>365</v>
      </c>
      <c r="BY18" s="5"/>
      <c r="BZ18" s="5">
        <v>4653</v>
      </c>
      <c r="CA18" s="5">
        <v>0</v>
      </c>
      <c r="CB18" s="5">
        <v>0</v>
      </c>
      <c r="CC18" s="5">
        <v>4441</v>
      </c>
      <c r="CD18" s="5">
        <v>1568</v>
      </c>
      <c r="CE18" s="5">
        <v>2022</v>
      </c>
      <c r="CF18" s="5">
        <v>1364</v>
      </c>
      <c r="CG18" s="5">
        <v>0</v>
      </c>
      <c r="CH18" s="5">
        <v>2</v>
      </c>
      <c r="CI18" s="5">
        <v>246</v>
      </c>
      <c r="CJ18" s="5">
        <v>747</v>
      </c>
      <c r="CK18" s="5">
        <v>157</v>
      </c>
      <c r="CL18" s="5"/>
      <c r="CM18" s="5"/>
      <c r="CN18" s="5"/>
      <c r="CO18" s="5"/>
      <c r="CP18" s="5"/>
      <c r="CQ18" s="5"/>
      <c r="CR18" s="5"/>
      <c r="CS18" s="5"/>
      <c r="CT18" s="5" t="s">
        <v>82</v>
      </c>
      <c r="CU18" s="5" t="s">
        <v>82</v>
      </c>
      <c r="CV18" s="5" t="s">
        <v>82</v>
      </c>
      <c r="CW18" s="5">
        <v>0</v>
      </c>
      <c r="CX18" s="5">
        <v>0</v>
      </c>
      <c r="CY18" s="5">
        <v>0</v>
      </c>
      <c r="DD18" s="6">
        <f t="shared" si="1"/>
        <v>170734</v>
      </c>
      <c r="DE18" s="6">
        <f t="shared" si="2"/>
        <v>99814</v>
      </c>
      <c r="DF18" s="16">
        <f t="shared" si="3"/>
        <v>270548</v>
      </c>
      <c r="DK18" s="6">
        <f t="shared" si="4"/>
        <v>51027</v>
      </c>
      <c r="DL18" s="6">
        <f t="shared" si="5"/>
        <v>48787</v>
      </c>
      <c r="DM18" s="6">
        <f t="shared" si="14"/>
        <v>0</v>
      </c>
      <c r="DN18" s="6">
        <f t="shared" si="15"/>
        <v>0</v>
      </c>
      <c r="DO18" s="6">
        <f t="shared" si="6"/>
        <v>113095</v>
      </c>
      <c r="DP18" s="6">
        <f t="shared" si="16"/>
        <v>47769</v>
      </c>
      <c r="DQ18" s="6"/>
      <c r="DR18" s="6">
        <f t="shared" si="7"/>
        <v>4687</v>
      </c>
      <c r="DS18" s="6">
        <f t="shared" si="8"/>
        <v>0</v>
      </c>
      <c r="DT18" s="6">
        <f t="shared" si="9"/>
        <v>5181</v>
      </c>
      <c r="DU18" s="6"/>
      <c r="DV18" s="6"/>
      <c r="DW18" s="6">
        <f t="shared" si="10"/>
        <v>270546</v>
      </c>
      <c r="DY18" s="6">
        <f t="shared" si="11"/>
        <v>118276</v>
      </c>
      <c r="DZ18" s="6">
        <f t="shared" si="12"/>
        <v>0</v>
      </c>
      <c r="EB18" s="6">
        <f t="shared" si="13"/>
        <v>270548</v>
      </c>
      <c r="EC18" s="6"/>
      <c r="ED18" s="6"/>
      <c r="EF18" s="6"/>
      <c r="EG18" s="6"/>
    </row>
    <row r="19" spans="2:137" ht="14">
      <c r="B19" s="4">
        <v>32540</v>
      </c>
      <c r="C19" s="5">
        <v>0</v>
      </c>
      <c r="D19" s="5">
        <v>0</v>
      </c>
      <c r="E19" s="5">
        <v>0</v>
      </c>
      <c r="F19" s="5" t="s">
        <v>82</v>
      </c>
      <c r="G19" s="5" t="s">
        <v>82</v>
      </c>
      <c r="H19" s="5">
        <v>0</v>
      </c>
      <c r="I19" s="5">
        <v>0</v>
      </c>
      <c r="J19" s="5">
        <v>0</v>
      </c>
      <c r="K19" s="5">
        <v>0</v>
      </c>
      <c r="L19" s="5"/>
      <c r="M19" s="5">
        <v>32247</v>
      </c>
      <c r="N19" s="5">
        <v>2820</v>
      </c>
      <c r="O19" s="5"/>
      <c r="P19" s="5">
        <v>0</v>
      </c>
      <c r="Q19" s="5">
        <v>0</v>
      </c>
      <c r="R19" s="5">
        <v>1055</v>
      </c>
      <c r="S19" s="5">
        <v>1154</v>
      </c>
      <c r="T19" s="5">
        <v>0</v>
      </c>
      <c r="U19" s="5"/>
      <c r="V19" s="5"/>
      <c r="W19" s="5">
        <v>13638</v>
      </c>
      <c r="X19" s="5">
        <v>0</v>
      </c>
      <c r="Y19" s="5">
        <v>932</v>
      </c>
      <c r="Z19" s="5">
        <v>54</v>
      </c>
      <c r="AA19" s="155"/>
      <c r="AB19" s="5">
        <v>0</v>
      </c>
      <c r="AC19" s="5">
        <v>0</v>
      </c>
      <c r="AD19" s="5">
        <v>0</v>
      </c>
      <c r="AE19" s="5">
        <v>22</v>
      </c>
      <c r="AF19" s="5">
        <v>12</v>
      </c>
      <c r="AG19" s="5">
        <v>0</v>
      </c>
      <c r="AH19" s="5"/>
      <c r="AI19" s="5"/>
      <c r="AJ19" s="5">
        <v>78</v>
      </c>
      <c r="AK19" s="5">
        <v>0</v>
      </c>
      <c r="AL19" s="5">
        <v>40605</v>
      </c>
      <c r="AM19" s="5">
        <v>2592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 t="s">
        <v>82</v>
      </c>
      <c r="AU19" s="5">
        <v>0</v>
      </c>
      <c r="AV19" s="5">
        <v>542</v>
      </c>
      <c r="AW19" s="5">
        <v>1642</v>
      </c>
      <c r="AX19" s="5">
        <v>0</v>
      </c>
      <c r="AY19" s="155"/>
      <c r="AZ19" s="155"/>
      <c r="BA19" s="155">
        <v>0</v>
      </c>
      <c r="BB19" s="155"/>
      <c r="BC19" s="5">
        <v>2423</v>
      </c>
      <c r="BD19" s="5"/>
      <c r="BE19" s="5">
        <v>44362</v>
      </c>
      <c r="BF19" s="5">
        <v>94875</v>
      </c>
      <c r="BG19" s="5">
        <v>119</v>
      </c>
      <c r="BH19" s="5">
        <v>0</v>
      </c>
      <c r="BI19" s="5">
        <v>0</v>
      </c>
      <c r="BJ19" s="5">
        <v>2222</v>
      </c>
      <c r="BK19" s="5">
        <v>177</v>
      </c>
      <c r="BL19" s="5">
        <v>2513</v>
      </c>
      <c r="BM19" s="5"/>
      <c r="BN19" s="5">
        <v>472</v>
      </c>
      <c r="BO19" s="5">
        <v>531</v>
      </c>
      <c r="BP19" s="5">
        <v>0</v>
      </c>
      <c r="BQ19" s="5">
        <v>2852</v>
      </c>
      <c r="BR19" s="5">
        <v>7087</v>
      </c>
      <c r="BS19" s="5">
        <v>27</v>
      </c>
      <c r="BT19" s="5">
        <v>0</v>
      </c>
      <c r="BU19" s="5">
        <v>0</v>
      </c>
      <c r="BV19" s="5"/>
      <c r="BW19" s="5">
        <v>9</v>
      </c>
      <c r="BX19" s="5">
        <v>364</v>
      </c>
      <c r="BY19" s="5"/>
      <c r="BZ19" s="5">
        <v>4654</v>
      </c>
      <c r="CA19" s="5">
        <v>0</v>
      </c>
      <c r="CB19" s="5">
        <v>0</v>
      </c>
      <c r="CC19" s="5">
        <v>4717</v>
      </c>
      <c r="CD19" s="5">
        <v>1837</v>
      </c>
      <c r="CE19" s="5">
        <v>2057</v>
      </c>
      <c r="CF19" s="5">
        <v>1461</v>
      </c>
      <c r="CG19" s="5">
        <v>0</v>
      </c>
      <c r="CH19" s="5">
        <v>2</v>
      </c>
      <c r="CI19" s="5">
        <v>228</v>
      </c>
      <c r="CJ19" s="5">
        <v>758</v>
      </c>
      <c r="CK19" s="5">
        <v>159</v>
      </c>
      <c r="CL19" s="5"/>
      <c r="CM19" s="5"/>
      <c r="CN19" s="5"/>
      <c r="CO19" s="5"/>
      <c r="CP19" s="5"/>
      <c r="CQ19" s="5"/>
      <c r="CR19" s="5"/>
      <c r="CS19" s="5"/>
      <c r="CT19" s="5" t="s">
        <v>82</v>
      </c>
      <c r="CU19" s="5" t="s">
        <v>82</v>
      </c>
      <c r="CV19" s="5" t="s">
        <v>82</v>
      </c>
      <c r="CW19" s="5">
        <v>0</v>
      </c>
      <c r="CX19" s="5">
        <v>0</v>
      </c>
      <c r="CY19" s="5">
        <v>0</v>
      </c>
      <c r="DD19" s="6">
        <f t="shared" si="1"/>
        <v>171483</v>
      </c>
      <c r="DE19" s="6">
        <f t="shared" si="2"/>
        <v>99816</v>
      </c>
      <c r="DF19" s="16">
        <f t="shared" si="3"/>
        <v>271299</v>
      </c>
      <c r="DK19" s="6">
        <f t="shared" si="4"/>
        <v>50914</v>
      </c>
      <c r="DL19" s="6">
        <f t="shared" si="5"/>
        <v>48902</v>
      </c>
      <c r="DM19" s="6">
        <f t="shared" si="14"/>
        <v>0</v>
      </c>
      <c r="DN19" s="6">
        <f t="shared" si="15"/>
        <v>0</v>
      </c>
      <c r="DO19" s="6">
        <f t="shared" si="6"/>
        <v>113632</v>
      </c>
      <c r="DP19" s="6">
        <f t="shared" si="16"/>
        <v>47686</v>
      </c>
      <c r="DQ19" s="6"/>
      <c r="DR19" s="6">
        <f t="shared" si="7"/>
        <v>4945</v>
      </c>
      <c r="DS19" s="6">
        <f t="shared" si="8"/>
        <v>0</v>
      </c>
      <c r="DT19" s="6">
        <f t="shared" si="9"/>
        <v>5218</v>
      </c>
      <c r="DU19" s="6"/>
      <c r="DV19" s="6"/>
      <c r="DW19" s="6">
        <f t="shared" si="10"/>
        <v>271297</v>
      </c>
      <c r="DY19" s="6">
        <f t="shared" si="11"/>
        <v>118850</v>
      </c>
      <c r="DZ19" s="6">
        <f t="shared" si="12"/>
        <v>0</v>
      </c>
      <c r="EB19" s="6">
        <f t="shared" si="13"/>
        <v>271299</v>
      </c>
      <c r="EC19" s="6"/>
      <c r="ED19" s="6"/>
      <c r="EF19" s="6"/>
      <c r="EG19" s="6"/>
    </row>
    <row r="20" spans="2:137" ht="14">
      <c r="B20" s="4">
        <v>32568</v>
      </c>
      <c r="C20" s="5">
        <v>0</v>
      </c>
      <c r="D20" s="5">
        <v>0</v>
      </c>
      <c r="E20" s="5">
        <v>0</v>
      </c>
      <c r="F20" s="5" t="s">
        <v>82</v>
      </c>
      <c r="G20" s="5" t="s">
        <v>82</v>
      </c>
      <c r="H20" s="5">
        <v>0</v>
      </c>
      <c r="I20" s="5">
        <v>0</v>
      </c>
      <c r="J20" s="5">
        <v>0</v>
      </c>
      <c r="K20" s="5">
        <v>0</v>
      </c>
      <c r="L20" s="5"/>
      <c r="M20" s="5">
        <v>32230</v>
      </c>
      <c r="N20" s="5">
        <v>2831</v>
      </c>
      <c r="O20" s="5"/>
      <c r="P20" s="5">
        <v>0</v>
      </c>
      <c r="Q20" s="5">
        <v>0</v>
      </c>
      <c r="R20" s="5">
        <v>1074</v>
      </c>
      <c r="S20" s="5">
        <v>1149</v>
      </c>
      <c r="T20" s="5">
        <v>0</v>
      </c>
      <c r="U20" s="5"/>
      <c r="V20" s="5"/>
      <c r="W20" s="5">
        <v>13695</v>
      </c>
      <c r="X20" s="5">
        <v>0</v>
      </c>
      <c r="Y20" s="5">
        <v>924</v>
      </c>
      <c r="Z20" s="5">
        <v>52</v>
      </c>
      <c r="AA20" s="155"/>
      <c r="AB20" s="5">
        <v>0</v>
      </c>
      <c r="AC20" s="5">
        <v>0</v>
      </c>
      <c r="AD20" s="5">
        <v>0</v>
      </c>
      <c r="AE20" s="5">
        <v>23</v>
      </c>
      <c r="AF20" s="5">
        <v>11</v>
      </c>
      <c r="AG20" s="5">
        <v>0</v>
      </c>
      <c r="AH20" s="5"/>
      <c r="AI20" s="5"/>
      <c r="AJ20" s="5">
        <v>83</v>
      </c>
      <c r="AK20" s="5">
        <v>0</v>
      </c>
      <c r="AL20" s="5">
        <v>40722</v>
      </c>
      <c r="AM20" s="5">
        <v>2589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 t="s">
        <v>82</v>
      </c>
      <c r="AU20" s="5">
        <v>0</v>
      </c>
      <c r="AV20" s="5">
        <v>553</v>
      </c>
      <c r="AW20" s="5">
        <v>1644</v>
      </c>
      <c r="AX20" s="5">
        <v>0</v>
      </c>
      <c r="AY20" s="155"/>
      <c r="AZ20" s="155"/>
      <c r="BA20" s="155">
        <v>0</v>
      </c>
      <c r="BB20" s="155"/>
      <c r="BC20" s="5">
        <v>2422</v>
      </c>
      <c r="BD20" s="5"/>
      <c r="BE20" s="5">
        <v>44441</v>
      </c>
      <c r="BF20" s="5">
        <v>95044</v>
      </c>
      <c r="BG20" s="5">
        <v>113</v>
      </c>
      <c r="BH20" s="5">
        <v>0</v>
      </c>
      <c r="BI20" s="5">
        <v>0</v>
      </c>
      <c r="BJ20" s="5">
        <v>2256</v>
      </c>
      <c r="BK20" s="5">
        <v>176</v>
      </c>
      <c r="BL20" s="5">
        <v>2481</v>
      </c>
      <c r="BM20" s="5"/>
      <c r="BN20" s="5">
        <v>506</v>
      </c>
      <c r="BO20" s="5">
        <v>537</v>
      </c>
      <c r="BP20" s="5">
        <v>0</v>
      </c>
      <c r="BQ20" s="5">
        <v>2690</v>
      </c>
      <c r="BR20" s="5">
        <v>6904</v>
      </c>
      <c r="BS20" s="5">
        <v>29</v>
      </c>
      <c r="BT20" s="5">
        <v>0</v>
      </c>
      <c r="BU20" s="5">
        <v>0</v>
      </c>
      <c r="BV20" s="5"/>
      <c r="BW20" s="5">
        <v>7</v>
      </c>
      <c r="BX20" s="5">
        <v>368</v>
      </c>
      <c r="BY20" s="5"/>
      <c r="BZ20" s="5">
        <v>4656</v>
      </c>
      <c r="CA20" s="5">
        <v>0</v>
      </c>
      <c r="CB20" s="5">
        <v>0</v>
      </c>
      <c r="CC20" s="5">
        <v>4994</v>
      </c>
      <c r="CD20" s="5">
        <v>2017</v>
      </c>
      <c r="CE20" s="5">
        <v>2074</v>
      </c>
      <c r="CF20" s="5">
        <v>1514</v>
      </c>
      <c r="CG20" s="5">
        <v>0</v>
      </c>
      <c r="CH20" s="5">
        <v>2</v>
      </c>
      <c r="CI20" s="5">
        <v>208</v>
      </c>
      <c r="CJ20" s="5">
        <v>782</v>
      </c>
      <c r="CK20" s="5">
        <v>164</v>
      </c>
      <c r="CL20" s="5"/>
      <c r="CM20" s="5"/>
      <c r="CN20" s="5"/>
      <c r="CO20" s="5"/>
      <c r="CP20" s="5"/>
      <c r="CQ20" s="5"/>
      <c r="CR20" s="5"/>
      <c r="CS20" s="5"/>
      <c r="CT20" s="5" t="s">
        <v>82</v>
      </c>
      <c r="CU20" s="5" t="s">
        <v>82</v>
      </c>
      <c r="CV20" s="5" t="s">
        <v>82</v>
      </c>
      <c r="CW20" s="5">
        <v>0</v>
      </c>
      <c r="CX20" s="5">
        <v>0</v>
      </c>
      <c r="CY20" s="5">
        <v>0</v>
      </c>
      <c r="DD20" s="6">
        <f t="shared" si="1"/>
        <v>171963</v>
      </c>
      <c r="DE20" s="6">
        <f t="shared" si="2"/>
        <v>100002</v>
      </c>
      <c r="DF20" s="16">
        <f t="shared" si="3"/>
        <v>271965</v>
      </c>
      <c r="DK20" s="6">
        <f t="shared" si="4"/>
        <v>50979</v>
      </c>
      <c r="DL20" s="6">
        <f t="shared" si="5"/>
        <v>49023</v>
      </c>
      <c r="DM20" s="6">
        <f t="shared" si="14"/>
        <v>0</v>
      </c>
      <c r="DN20" s="6">
        <f t="shared" si="15"/>
        <v>0</v>
      </c>
      <c r="DO20" s="6">
        <f t="shared" si="6"/>
        <v>113904</v>
      </c>
      <c r="DP20" s="6">
        <f t="shared" si="16"/>
        <v>47637</v>
      </c>
      <c r="DQ20" s="6"/>
      <c r="DR20" s="6">
        <f t="shared" si="7"/>
        <v>5202</v>
      </c>
      <c r="DS20" s="6">
        <f t="shared" si="8"/>
        <v>0</v>
      </c>
      <c r="DT20" s="6">
        <f t="shared" si="9"/>
        <v>5218</v>
      </c>
      <c r="DU20" s="6"/>
      <c r="DV20" s="6"/>
      <c r="DW20" s="6">
        <f t="shared" si="10"/>
        <v>271963</v>
      </c>
      <c r="DY20" s="6">
        <f t="shared" si="11"/>
        <v>119122</v>
      </c>
      <c r="DZ20" s="6">
        <f t="shared" si="12"/>
        <v>0</v>
      </c>
      <c r="EB20" s="6">
        <f t="shared" si="13"/>
        <v>271965</v>
      </c>
      <c r="EC20" s="6"/>
      <c r="ED20" s="6"/>
      <c r="EF20" s="6"/>
      <c r="EG20" s="6"/>
    </row>
    <row r="21" spans="2:137" ht="14">
      <c r="B21" s="4">
        <v>32599</v>
      </c>
      <c r="C21" s="5">
        <v>0</v>
      </c>
      <c r="D21" s="5">
        <v>0</v>
      </c>
      <c r="E21" s="5">
        <v>0</v>
      </c>
      <c r="F21" s="5" t="s">
        <v>82</v>
      </c>
      <c r="G21" s="5" t="s">
        <v>82</v>
      </c>
      <c r="H21" s="5">
        <v>0</v>
      </c>
      <c r="I21" s="5">
        <v>0</v>
      </c>
      <c r="J21" s="5">
        <v>0</v>
      </c>
      <c r="K21" s="5">
        <v>0</v>
      </c>
      <c r="L21" s="5"/>
      <c r="M21" s="5">
        <v>32346</v>
      </c>
      <c r="N21" s="5">
        <v>2883</v>
      </c>
      <c r="O21" s="5"/>
      <c r="P21" s="5">
        <v>0</v>
      </c>
      <c r="Q21" s="5">
        <v>0</v>
      </c>
      <c r="R21" s="5">
        <v>1079</v>
      </c>
      <c r="S21" s="5">
        <v>1155</v>
      </c>
      <c r="T21" s="5">
        <v>0</v>
      </c>
      <c r="U21" s="5"/>
      <c r="V21" s="5"/>
      <c r="W21" s="5">
        <v>13817</v>
      </c>
      <c r="X21" s="5">
        <v>0</v>
      </c>
      <c r="Y21" s="5">
        <v>917</v>
      </c>
      <c r="Z21" s="5">
        <v>54</v>
      </c>
      <c r="AA21" s="155"/>
      <c r="AB21" s="5">
        <v>0</v>
      </c>
      <c r="AC21" s="5">
        <v>0</v>
      </c>
      <c r="AD21" s="5">
        <v>0</v>
      </c>
      <c r="AE21" s="5">
        <v>23</v>
      </c>
      <c r="AF21" s="5">
        <v>12</v>
      </c>
      <c r="AG21" s="5">
        <v>0</v>
      </c>
      <c r="AH21" s="5"/>
      <c r="AI21" s="5"/>
      <c r="AJ21" s="5">
        <v>80</v>
      </c>
      <c r="AK21" s="5">
        <v>0</v>
      </c>
      <c r="AL21" s="5">
        <v>41004</v>
      </c>
      <c r="AM21" s="5">
        <v>2624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 t="s">
        <v>82</v>
      </c>
      <c r="AU21" s="5">
        <v>0</v>
      </c>
      <c r="AV21" s="5">
        <v>560</v>
      </c>
      <c r="AW21" s="5">
        <v>1654</v>
      </c>
      <c r="AX21" s="5">
        <v>0</v>
      </c>
      <c r="AY21" s="155"/>
      <c r="AZ21" s="155"/>
      <c r="BA21" s="155">
        <v>0</v>
      </c>
      <c r="BB21" s="155"/>
      <c r="BC21" s="5">
        <v>2454</v>
      </c>
      <c r="BD21" s="5"/>
      <c r="BE21" s="5">
        <v>45168</v>
      </c>
      <c r="BF21" s="5">
        <v>96618</v>
      </c>
      <c r="BG21" s="5">
        <v>118</v>
      </c>
      <c r="BH21" s="5">
        <v>0</v>
      </c>
      <c r="BI21" s="5">
        <v>0</v>
      </c>
      <c r="BJ21" s="5">
        <v>2316</v>
      </c>
      <c r="BK21" s="5">
        <v>192</v>
      </c>
      <c r="BL21" s="5">
        <v>2459</v>
      </c>
      <c r="BM21" s="5"/>
      <c r="BN21" s="5">
        <v>507</v>
      </c>
      <c r="BO21" s="5">
        <v>541</v>
      </c>
      <c r="BP21" s="5">
        <v>0</v>
      </c>
      <c r="BQ21" s="5">
        <v>2772</v>
      </c>
      <c r="BR21" s="5">
        <v>7070</v>
      </c>
      <c r="BS21" s="5">
        <v>27</v>
      </c>
      <c r="BT21" s="5">
        <v>0</v>
      </c>
      <c r="BU21" s="5">
        <v>0</v>
      </c>
      <c r="BV21" s="5"/>
      <c r="BW21" s="5">
        <v>5</v>
      </c>
      <c r="BX21" s="5">
        <v>360</v>
      </c>
      <c r="BY21" s="5"/>
      <c r="BZ21" s="5">
        <v>4883</v>
      </c>
      <c r="CA21" s="5">
        <v>0</v>
      </c>
      <c r="CB21" s="5">
        <v>0</v>
      </c>
      <c r="CC21" s="5">
        <v>5428</v>
      </c>
      <c r="CD21" s="5">
        <v>2413</v>
      </c>
      <c r="CE21" s="5">
        <v>2196</v>
      </c>
      <c r="CF21" s="5">
        <v>1629</v>
      </c>
      <c r="CG21" s="5">
        <v>0</v>
      </c>
      <c r="CH21" s="5">
        <v>2</v>
      </c>
      <c r="CI21" s="5">
        <v>204</v>
      </c>
      <c r="CJ21" s="5">
        <v>847</v>
      </c>
      <c r="CK21" s="5">
        <v>156</v>
      </c>
      <c r="CL21" s="5"/>
      <c r="CM21" s="5"/>
      <c r="CN21" s="5"/>
      <c r="CO21" s="5"/>
      <c r="CP21" s="5"/>
      <c r="CQ21" s="5"/>
      <c r="CR21" s="5"/>
      <c r="CS21" s="5"/>
      <c r="CT21" s="5" t="s">
        <v>82</v>
      </c>
      <c r="CU21" s="5" t="s">
        <v>82</v>
      </c>
      <c r="CV21" s="5" t="s">
        <v>82</v>
      </c>
      <c r="CW21" s="5">
        <v>0</v>
      </c>
      <c r="CX21" s="5">
        <v>0</v>
      </c>
      <c r="CY21" s="5">
        <v>0</v>
      </c>
      <c r="DD21" s="6">
        <f t="shared" si="1"/>
        <v>175911</v>
      </c>
      <c r="DE21" s="6">
        <f t="shared" si="2"/>
        <v>100662</v>
      </c>
      <c r="DF21" s="16">
        <f t="shared" si="3"/>
        <v>276573</v>
      </c>
      <c r="DK21" s="6">
        <f t="shared" si="4"/>
        <v>51280</v>
      </c>
      <c r="DL21" s="6">
        <f t="shared" si="5"/>
        <v>49382</v>
      </c>
      <c r="DM21" s="6">
        <f t="shared" si="14"/>
        <v>0</v>
      </c>
      <c r="DN21" s="6">
        <f t="shared" si="15"/>
        <v>0</v>
      </c>
      <c r="DO21" s="6">
        <f t="shared" si="6"/>
        <v>116577</v>
      </c>
      <c r="DP21" s="6">
        <f t="shared" si="16"/>
        <v>48447</v>
      </c>
      <c r="DQ21" s="6"/>
      <c r="DR21" s="6">
        <f t="shared" si="7"/>
        <v>5632</v>
      </c>
      <c r="DS21" s="6">
        <f t="shared" si="8"/>
        <v>0</v>
      </c>
      <c r="DT21" s="6">
        <f t="shared" si="9"/>
        <v>5253</v>
      </c>
      <c r="DU21" s="6"/>
      <c r="DV21" s="6"/>
      <c r="DW21" s="6">
        <f t="shared" si="10"/>
        <v>276571</v>
      </c>
      <c r="DY21" s="6">
        <f t="shared" si="11"/>
        <v>121830</v>
      </c>
      <c r="DZ21" s="6">
        <f t="shared" si="12"/>
        <v>0</v>
      </c>
      <c r="EB21" s="6">
        <f t="shared" si="13"/>
        <v>276573</v>
      </c>
      <c r="EC21" s="6"/>
      <c r="ED21" s="6"/>
      <c r="EF21" s="6"/>
      <c r="EG21" s="6"/>
    </row>
    <row r="22" spans="2:137" ht="14">
      <c r="B22" s="4">
        <v>32629</v>
      </c>
      <c r="C22" s="5">
        <v>0</v>
      </c>
      <c r="D22" s="5">
        <v>0</v>
      </c>
      <c r="E22" s="5">
        <v>0</v>
      </c>
      <c r="F22" s="5" t="s">
        <v>82</v>
      </c>
      <c r="G22" s="5" t="s">
        <v>82</v>
      </c>
      <c r="H22" s="5">
        <v>0</v>
      </c>
      <c r="I22" s="5">
        <v>0</v>
      </c>
      <c r="J22" s="5">
        <v>0</v>
      </c>
      <c r="K22" s="5">
        <v>0</v>
      </c>
      <c r="L22" s="5"/>
      <c r="M22" s="5">
        <v>32355</v>
      </c>
      <c r="N22" s="5">
        <v>2904</v>
      </c>
      <c r="O22" s="5"/>
      <c r="P22" s="5">
        <v>0</v>
      </c>
      <c r="Q22" s="5">
        <v>0</v>
      </c>
      <c r="R22" s="5">
        <v>1081</v>
      </c>
      <c r="S22" s="5">
        <v>1155</v>
      </c>
      <c r="T22" s="5">
        <v>0</v>
      </c>
      <c r="U22" s="5"/>
      <c r="V22" s="5"/>
      <c r="W22" s="5">
        <v>13930</v>
      </c>
      <c r="X22" s="5">
        <v>0</v>
      </c>
      <c r="Y22" s="5">
        <v>911</v>
      </c>
      <c r="Z22" s="5">
        <v>55</v>
      </c>
      <c r="AA22" s="155"/>
      <c r="AB22" s="5">
        <v>0</v>
      </c>
      <c r="AC22" s="5">
        <v>0</v>
      </c>
      <c r="AD22" s="5">
        <v>0</v>
      </c>
      <c r="AE22" s="5">
        <v>23</v>
      </c>
      <c r="AF22" s="5">
        <v>12</v>
      </c>
      <c r="AG22" s="5">
        <v>0</v>
      </c>
      <c r="AH22" s="5"/>
      <c r="AI22" s="5"/>
      <c r="AJ22" s="5">
        <v>74</v>
      </c>
      <c r="AK22" s="5">
        <v>0</v>
      </c>
      <c r="AL22" s="5">
        <v>41118</v>
      </c>
      <c r="AM22" s="5">
        <v>2622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 t="s">
        <v>82</v>
      </c>
      <c r="AU22" s="5">
        <v>0</v>
      </c>
      <c r="AV22" s="5">
        <v>567</v>
      </c>
      <c r="AW22" s="5">
        <v>1658</v>
      </c>
      <c r="AX22" s="5">
        <v>0</v>
      </c>
      <c r="AY22" s="155"/>
      <c r="AZ22" s="155"/>
      <c r="BA22" s="155">
        <v>0</v>
      </c>
      <c r="BB22" s="155"/>
      <c r="BC22" s="5">
        <v>2446</v>
      </c>
      <c r="BD22" s="5"/>
      <c r="BE22" s="5">
        <v>44449</v>
      </c>
      <c r="BF22" s="5">
        <v>95588</v>
      </c>
      <c r="BG22" s="5">
        <v>122</v>
      </c>
      <c r="BH22" s="5">
        <v>0</v>
      </c>
      <c r="BI22" s="5">
        <v>0</v>
      </c>
      <c r="BJ22" s="5">
        <v>2400</v>
      </c>
      <c r="BK22" s="5">
        <v>190</v>
      </c>
      <c r="BL22" s="5">
        <v>2401</v>
      </c>
      <c r="BM22" s="5"/>
      <c r="BN22" s="5">
        <v>499</v>
      </c>
      <c r="BO22" s="5">
        <v>566</v>
      </c>
      <c r="BP22" s="5">
        <v>0</v>
      </c>
      <c r="BQ22" s="5">
        <v>2893</v>
      </c>
      <c r="BR22" s="5">
        <v>7337</v>
      </c>
      <c r="BS22" s="5">
        <v>27</v>
      </c>
      <c r="BT22" s="5">
        <v>0</v>
      </c>
      <c r="BU22" s="5">
        <v>0</v>
      </c>
      <c r="BV22" s="5"/>
      <c r="BW22" s="5">
        <v>3</v>
      </c>
      <c r="BX22" s="5">
        <v>367</v>
      </c>
      <c r="BY22" s="5"/>
      <c r="BZ22" s="5">
        <v>4815</v>
      </c>
      <c r="CA22" s="5">
        <v>0</v>
      </c>
      <c r="CB22" s="5">
        <v>0</v>
      </c>
      <c r="CC22" s="5">
        <v>5520</v>
      </c>
      <c r="CD22" s="5">
        <v>2574</v>
      </c>
      <c r="CE22" s="5">
        <v>2223</v>
      </c>
      <c r="CF22" s="5">
        <v>1680</v>
      </c>
      <c r="CG22" s="5">
        <v>0</v>
      </c>
      <c r="CH22" s="5">
        <v>2</v>
      </c>
      <c r="CI22" s="5">
        <v>206</v>
      </c>
      <c r="CJ22" s="5">
        <v>863</v>
      </c>
      <c r="CK22" s="5">
        <v>144</v>
      </c>
      <c r="CL22" s="5"/>
      <c r="CM22" s="5"/>
      <c r="CN22" s="5"/>
      <c r="CO22" s="5"/>
      <c r="CP22" s="5"/>
      <c r="CQ22" s="5"/>
      <c r="CR22" s="5"/>
      <c r="CS22" s="5"/>
      <c r="CT22" s="5" t="s">
        <v>82</v>
      </c>
      <c r="CU22" s="5" t="s">
        <v>82</v>
      </c>
      <c r="CV22" s="5" t="s">
        <v>82</v>
      </c>
      <c r="CW22" s="5">
        <v>0</v>
      </c>
      <c r="CX22" s="5">
        <v>0</v>
      </c>
      <c r="CY22" s="5">
        <v>0</v>
      </c>
      <c r="DD22" s="6">
        <f t="shared" si="1"/>
        <v>174869</v>
      </c>
      <c r="DE22" s="6">
        <f t="shared" si="2"/>
        <v>100911</v>
      </c>
      <c r="DF22" s="16">
        <f t="shared" si="3"/>
        <v>275780</v>
      </c>
      <c r="DK22" s="6">
        <f t="shared" si="4"/>
        <v>51425</v>
      </c>
      <c r="DL22" s="6">
        <f t="shared" si="5"/>
        <v>49486</v>
      </c>
      <c r="DM22" s="6">
        <f t="shared" si="14"/>
        <v>0</v>
      </c>
      <c r="DN22" s="6">
        <f t="shared" si="15"/>
        <v>0</v>
      </c>
      <c r="DO22" s="6">
        <f t="shared" si="6"/>
        <v>116010</v>
      </c>
      <c r="DP22" s="6">
        <f t="shared" si="16"/>
        <v>47841</v>
      </c>
      <c r="DQ22" s="6"/>
      <c r="DR22" s="6">
        <f t="shared" si="7"/>
        <v>5726</v>
      </c>
      <c r="DS22" s="6">
        <f t="shared" si="8"/>
        <v>0</v>
      </c>
      <c r="DT22" s="6">
        <f t="shared" si="9"/>
        <v>5290</v>
      </c>
      <c r="DU22" s="6"/>
      <c r="DV22" s="6"/>
      <c r="DW22" s="6">
        <f t="shared" si="10"/>
        <v>275778</v>
      </c>
      <c r="DY22" s="6">
        <f t="shared" si="11"/>
        <v>121300</v>
      </c>
      <c r="DZ22" s="6">
        <f t="shared" si="12"/>
        <v>0</v>
      </c>
      <c r="EB22" s="6">
        <f t="shared" si="13"/>
        <v>275780</v>
      </c>
      <c r="EC22" s="6"/>
      <c r="ED22" s="6"/>
      <c r="EF22" s="6"/>
      <c r="EG22" s="6"/>
    </row>
    <row r="23" spans="2:137" ht="14">
      <c r="B23" s="4">
        <v>32660</v>
      </c>
      <c r="C23" s="5">
        <v>0</v>
      </c>
      <c r="D23" s="5">
        <v>0</v>
      </c>
      <c r="E23" s="5">
        <v>0</v>
      </c>
      <c r="F23" s="5" t="s">
        <v>82</v>
      </c>
      <c r="G23" s="5" t="s">
        <v>82</v>
      </c>
      <c r="H23" s="5">
        <v>0</v>
      </c>
      <c r="I23" s="5">
        <v>0</v>
      </c>
      <c r="J23" s="5">
        <v>0</v>
      </c>
      <c r="K23" s="5">
        <v>0</v>
      </c>
      <c r="L23" s="5"/>
      <c r="M23" s="5">
        <v>32389</v>
      </c>
      <c r="N23" s="5">
        <v>2917</v>
      </c>
      <c r="O23" s="5"/>
      <c r="P23" s="5">
        <v>0</v>
      </c>
      <c r="Q23" s="5">
        <v>0</v>
      </c>
      <c r="R23" s="5">
        <v>1120</v>
      </c>
      <c r="S23" s="5">
        <v>1148</v>
      </c>
      <c r="T23" s="5">
        <v>0</v>
      </c>
      <c r="U23" s="5"/>
      <c r="V23" s="5"/>
      <c r="W23" s="5">
        <v>14085</v>
      </c>
      <c r="X23" s="5">
        <v>0</v>
      </c>
      <c r="Y23" s="5">
        <v>916</v>
      </c>
      <c r="Z23" s="5">
        <v>55</v>
      </c>
      <c r="AA23" s="155"/>
      <c r="AB23" s="5">
        <v>0</v>
      </c>
      <c r="AC23" s="5">
        <v>0</v>
      </c>
      <c r="AD23" s="5">
        <v>0</v>
      </c>
      <c r="AE23" s="5">
        <v>23</v>
      </c>
      <c r="AF23" s="5">
        <v>12</v>
      </c>
      <c r="AG23" s="5">
        <v>0</v>
      </c>
      <c r="AH23" s="5"/>
      <c r="AI23" s="5"/>
      <c r="AJ23" s="5">
        <v>72</v>
      </c>
      <c r="AK23" s="5">
        <v>0</v>
      </c>
      <c r="AL23" s="5">
        <v>41344</v>
      </c>
      <c r="AM23" s="5">
        <v>2636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 t="s">
        <v>82</v>
      </c>
      <c r="AU23" s="5">
        <v>0</v>
      </c>
      <c r="AV23" s="5">
        <v>571</v>
      </c>
      <c r="AW23" s="5">
        <v>1657</v>
      </c>
      <c r="AX23" s="5">
        <v>0</v>
      </c>
      <c r="AY23" s="155"/>
      <c r="AZ23" s="155"/>
      <c r="BA23" s="155">
        <v>0</v>
      </c>
      <c r="BB23" s="155"/>
      <c r="BC23" s="5">
        <v>2502</v>
      </c>
      <c r="BD23" s="5"/>
      <c r="BE23" s="5">
        <v>44011</v>
      </c>
      <c r="BF23" s="5">
        <v>95006</v>
      </c>
      <c r="BG23" s="5">
        <v>121</v>
      </c>
      <c r="BH23" s="5">
        <v>0</v>
      </c>
      <c r="BI23" s="5">
        <v>0</v>
      </c>
      <c r="BJ23" s="5">
        <v>2487</v>
      </c>
      <c r="BK23" s="5">
        <v>201</v>
      </c>
      <c r="BL23" s="5">
        <v>2411</v>
      </c>
      <c r="BM23" s="5"/>
      <c r="BN23" s="5">
        <v>477</v>
      </c>
      <c r="BO23" s="5">
        <v>586</v>
      </c>
      <c r="BP23" s="5">
        <v>0</v>
      </c>
      <c r="BQ23" s="5">
        <v>3135</v>
      </c>
      <c r="BR23" s="5">
        <v>7780</v>
      </c>
      <c r="BS23" s="5">
        <v>28</v>
      </c>
      <c r="BT23" s="5">
        <v>0</v>
      </c>
      <c r="BU23" s="5">
        <v>0</v>
      </c>
      <c r="BV23" s="5"/>
      <c r="BW23" s="5">
        <v>3</v>
      </c>
      <c r="BX23" s="5">
        <v>363</v>
      </c>
      <c r="BY23" s="5"/>
      <c r="BZ23" s="5">
        <v>4837</v>
      </c>
      <c r="CA23" s="5">
        <v>0</v>
      </c>
      <c r="CB23" s="5">
        <v>0</v>
      </c>
      <c r="CC23" s="5">
        <v>5705</v>
      </c>
      <c r="CD23" s="5">
        <v>2692</v>
      </c>
      <c r="CE23" s="5">
        <v>2219</v>
      </c>
      <c r="CF23" s="5">
        <v>1734</v>
      </c>
      <c r="CG23" s="5">
        <v>0</v>
      </c>
      <c r="CH23" s="5">
        <v>1</v>
      </c>
      <c r="CI23" s="5">
        <v>204</v>
      </c>
      <c r="CJ23" s="5">
        <v>899</v>
      </c>
      <c r="CK23" s="5">
        <v>149</v>
      </c>
      <c r="CL23" s="5"/>
      <c r="CM23" s="5"/>
      <c r="CN23" s="5"/>
      <c r="CO23" s="5"/>
      <c r="CP23" s="5"/>
      <c r="CQ23" s="5"/>
      <c r="CR23" s="5"/>
      <c r="CS23" s="5"/>
      <c r="CT23" s="5" t="s">
        <v>82</v>
      </c>
      <c r="CU23" s="5" t="s">
        <v>82</v>
      </c>
      <c r="CV23" s="5" t="s">
        <v>82</v>
      </c>
      <c r="CW23" s="5">
        <v>0</v>
      </c>
      <c r="CX23" s="5">
        <v>0</v>
      </c>
      <c r="CY23" s="5">
        <v>0</v>
      </c>
      <c r="DD23" s="6">
        <f t="shared" si="1"/>
        <v>175049</v>
      </c>
      <c r="DE23" s="6">
        <f t="shared" si="2"/>
        <v>101447</v>
      </c>
      <c r="DF23" s="16">
        <f t="shared" si="3"/>
        <v>276496</v>
      </c>
      <c r="DK23" s="6">
        <f t="shared" si="4"/>
        <v>51659</v>
      </c>
      <c r="DL23" s="6">
        <f t="shared" si="5"/>
        <v>49788</v>
      </c>
      <c r="DM23" s="6">
        <f t="shared" si="14"/>
        <v>0</v>
      </c>
      <c r="DN23" s="6">
        <f t="shared" si="15"/>
        <v>0</v>
      </c>
      <c r="DO23" s="6">
        <f t="shared" si="6"/>
        <v>116134</v>
      </c>
      <c r="DP23" s="6">
        <f t="shared" si="16"/>
        <v>47623</v>
      </c>
      <c r="DQ23" s="6"/>
      <c r="DR23" s="6">
        <f t="shared" si="7"/>
        <v>5909</v>
      </c>
      <c r="DS23" s="6">
        <f t="shared" si="8"/>
        <v>0</v>
      </c>
      <c r="DT23" s="6">
        <f t="shared" si="9"/>
        <v>5382</v>
      </c>
      <c r="DU23" s="6"/>
      <c r="DV23" s="6"/>
      <c r="DW23" s="6">
        <f t="shared" si="10"/>
        <v>276495</v>
      </c>
      <c r="DY23" s="6">
        <f t="shared" si="11"/>
        <v>121516</v>
      </c>
      <c r="DZ23" s="6">
        <f t="shared" si="12"/>
        <v>0</v>
      </c>
      <c r="EB23" s="6">
        <f t="shared" si="13"/>
        <v>276496</v>
      </c>
      <c r="EC23" s="6"/>
      <c r="ED23" s="6"/>
      <c r="EF23" s="6"/>
      <c r="EG23" s="6"/>
    </row>
    <row r="24" spans="2:137" ht="14">
      <c r="B24" s="4">
        <v>32690</v>
      </c>
      <c r="C24" s="5">
        <v>0</v>
      </c>
      <c r="D24" s="5">
        <v>0</v>
      </c>
      <c r="E24" s="5">
        <v>0</v>
      </c>
      <c r="F24" s="5" t="s">
        <v>82</v>
      </c>
      <c r="G24" s="5" t="s">
        <v>82</v>
      </c>
      <c r="H24" s="5">
        <v>0</v>
      </c>
      <c r="I24" s="5">
        <v>0</v>
      </c>
      <c r="J24" s="5">
        <v>0</v>
      </c>
      <c r="K24" s="5">
        <v>0</v>
      </c>
      <c r="L24" s="5"/>
      <c r="M24" s="5">
        <v>32519</v>
      </c>
      <c r="N24" s="5">
        <v>2905</v>
      </c>
      <c r="O24" s="5"/>
      <c r="P24" s="5">
        <v>0</v>
      </c>
      <c r="Q24" s="5">
        <v>0</v>
      </c>
      <c r="R24" s="5">
        <v>1140</v>
      </c>
      <c r="S24" s="5">
        <v>1143</v>
      </c>
      <c r="T24" s="5">
        <v>0</v>
      </c>
      <c r="U24" s="5"/>
      <c r="V24" s="5"/>
      <c r="W24" s="5">
        <v>14132</v>
      </c>
      <c r="X24" s="5">
        <v>0</v>
      </c>
      <c r="Y24" s="5">
        <v>904</v>
      </c>
      <c r="Z24" s="5">
        <v>53</v>
      </c>
      <c r="AA24" s="155"/>
      <c r="AB24" s="5">
        <v>0</v>
      </c>
      <c r="AC24" s="5">
        <v>0</v>
      </c>
      <c r="AD24" s="5">
        <v>0</v>
      </c>
      <c r="AE24" s="5">
        <v>23</v>
      </c>
      <c r="AF24" s="5">
        <v>12</v>
      </c>
      <c r="AG24" s="5">
        <v>0</v>
      </c>
      <c r="AH24" s="5"/>
      <c r="AI24" s="5"/>
      <c r="AJ24" s="5">
        <v>71</v>
      </c>
      <c r="AK24" s="5">
        <v>0</v>
      </c>
      <c r="AL24" s="5">
        <v>41413</v>
      </c>
      <c r="AM24" s="5">
        <v>2631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 t="s">
        <v>82</v>
      </c>
      <c r="AU24" s="5">
        <v>0</v>
      </c>
      <c r="AV24" s="5">
        <v>580</v>
      </c>
      <c r="AW24" s="5">
        <v>1656</v>
      </c>
      <c r="AX24" s="5">
        <v>0</v>
      </c>
      <c r="AY24" s="155"/>
      <c r="AZ24" s="155"/>
      <c r="BA24" s="155">
        <v>0</v>
      </c>
      <c r="BB24" s="155"/>
      <c r="BC24" s="5">
        <v>2497</v>
      </c>
      <c r="BD24" s="5"/>
      <c r="BE24" s="5">
        <v>43439</v>
      </c>
      <c r="BF24" s="5">
        <v>94051</v>
      </c>
      <c r="BG24" s="5">
        <v>131</v>
      </c>
      <c r="BH24" s="5">
        <v>0</v>
      </c>
      <c r="BI24" s="5">
        <v>0</v>
      </c>
      <c r="BJ24" s="5">
        <v>2465</v>
      </c>
      <c r="BK24" s="5">
        <v>197</v>
      </c>
      <c r="BL24" s="5">
        <v>2466</v>
      </c>
      <c r="BM24" s="5"/>
      <c r="BN24" s="5">
        <v>541</v>
      </c>
      <c r="BO24" s="5">
        <v>599</v>
      </c>
      <c r="BP24" s="5">
        <v>0</v>
      </c>
      <c r="BQ24" s="5">
        <v>3344</v>
      </c>
      <c r="BR24" s="5">
        <v>8112</v>
      </c>
      <c r="BS24" s="5">
        <v>28</v>
      </c>
      <c r="BT24" s="5">
        <v>0</v>
      </c>
      <c r="BU24" s="5">
        <v>0</v>
      </c>
      <c r="BV24" s="5"/>
      <c r="BW24" s="5">
        <v>6</v>
      </c>
      <c r="BX24" s="5">
        <v>380</v>
      </c>
      <c r="BY24" s="5"/>
      <c r="BZ24" s="5">
        <v>4835</v>
      </c>
      <c r="CA24" s="5">
        <v>0</v>
      </c>
      <c r="CB24" s="5">
        <v>0</v>
      </c>
      <c r="CC24" s="5">
        <v>5878</v>
      </c>
      <c r="CD24" s="5">
        <v>2760</v>
      </c>
      <c r="CE24" s="5">
        <v>2228</v>
      </c>
      <c r="CF24" s="5">
        <v>1742</v>
      </c>
      <c r="CG24" s="5">
        <v>0</v>
      </c>
      <c r="CH24" s="5">
        <v>1</v>
      </c>
      <c r="CI24" s="5">
        <v>190</v>
      </c>
      <c r="CJ24" s="5">
        <v>878</v>
      </c>
      <c r="CK24" s="5">
        <v>129</v>
      </c>
      <c r="CL24" s="5"/>
      <c r="CM24" s="5"/>
      <c r="CN24" s="5"/>
      <c r="CO24" s="5"/>
      <c r="CP24" s="5"/>
      <c r="CQ24" s="5"/>
      <c r="CR24" s="5"/>
      <c r="CS24" s="5"/>
      <c r="CT24" s="5" t="s">
        <v>82</v>
      </c>
      <c r="CU24" s="5" t="s">
        <v>82</v>
      </c>
      <c r="CV24" s="5" t="s">
        <v>82</v>
      </c>
      <c r="CW24" s="5">
        <v>0</v>
      </c>
      <c r="CX24" s="5">
        <v>0</v>
      </c>
      <c r="CY24" s="5">
        <v>0</v>
      </c>
      <c r="DD24" s="6">
        <f t="shared" si="1"/>
        <v>174400</v>
      </c>
      <c r="DE24" s="6">
        <f t="shared" si="2"/>
        <v>101679</v>
      </c>
      <c r="DF24" s="16">
        <f t="shared" si="3"/>
        <v>276079</v>
      </c>
      <c r="DK24" s="6">
        <f t="shared" si="4"/>
        <v>51839</v>
      </c>
      <c r="DL24" s="6">
        <f t="shared" si="5"/>
        <v>49840</v>
      </c>
      <c r="DM24" s="6">
        <f t="shared" si="14"/>
        <v>0</v>
      </c>
      <c r="DN24" s="6">
        <f t="shared" si="15"/>
        <v>0</v>
      </c>
      <c r="DO24" s="6">
        <f t="shared" si="6"/>
        <v>115565</v>
      </c>
      <c r="DP24" s="6">
        <f t="shared" si="16"/>
        <v>47324</v>
      </c>
      <c r="DQ24" s="6"/>
      <c r="DR24" s="6">
        <f t="shared" si="7"/>
        <v>6068</v>
      </c>
      <c r="DS24" s="6">
        <f t="shared" si="8"/>
        <v>0</v>
      </c>
      <c r="DT24" s="6">
        <f t="shared" si="9"/>
        <v>5442</v>
      </c>
      <c r="DU24" s="6"/>
      <c r="DV24" s="6"/>
      <c r="DW24" s="6">
        <f t="shared" si="10"/>
        <v>276078</v>
      </c>
      <c r="DY24" s="6">
        <f t="shared" si="11"/>
        <v>121007</v>
      </c>
      <c r="DZ24" s="6">
        <f t="shared" si="12"/>
        <v>0</v>
      </c>
      <c r="EB24" s="6">
        <f t="shared" si="13"/>
        <v>276079</v>
      </c>
      <c r="EC24" s="6"/>
      <c r="ED24" s="6"/>
      <c r="EF24" s="6"/>
      <c r="EG24" s="6"/>
    </row>
    <row r="25" spans="2:137" ht="14">
      <c r="B25" s="4">
        <v>32721</v>
      </c>
      <c r="C25" s="5">
        <v>0</v>
      </c>
      <c r="D25" s="5">
        <v>0</v>
      </c>
      <c r="E25" s="5">
        <v>0</v>
      </c>
      <c r="F25" s="5" t="s">
        <v>82</v>
      </c>
      <c r="G25" s="5" t="s">
        <v>82</v>
      </c>
      <c r="H25" s="5">
        <v>0</v>
      </c>
      <c r="I25" s="5">
        <v>0</v>
      </c>
      <c r="J25" s="5">
        <v>0</v>
      </c>
      <c r="K25" s="5">
        <v>0</v>
      </c>
      <c r="L25" s="5"/>
      <c r="M25" s="5">
        <v>32538</v>
      </c>
      <c r="N25" s="5">
        <v>2926</v>
      </c>
      <c r="O25" s="5"/>
      <c r="P25" s="5">
        <v>0</v>
      </c>
      <c r="Q25" s="5">
        <v>0</v>
      </c>
      <c r="R25" s="5">
        <v>1154</v>
      </c>
      <c r="S25" s="5">
        <v>1143</v>
      </c>
      <c r="T25" s="5">
        <v>0</v>
      </c>
      <c r="U25" s="5"/>
      <c r="V25" s="5"/>
      <c r="W25" s="5">
        <v>14198</v>
      </c>
      <c r="X25" s="5">
        <v>0</v>
      </c>
      <c r="Y25" s="5">
        <v>897</v>
      </c>
      <c r="Z25" s="5">
        <v>51</v>
      </c>
      <c r="AA25" s="155"/>
      <c r="AB25" s="5">
        <v>0</v>
      </c>
      <c r="AC25" s="5">
        <v>0</v>
      </c>
      <c r="AD25" s="5">
        <v>0</v>
      </c>
      <c r="AE25" s="5">
        <v>25</v>
      </c>
      <c r="AF25" s="5">
        <v>12</v>
      </c>
      <c r="AG25" s="5">
        <v>0</v>
      </c>
      <c r="AH25" s="5"/>
      <c r="AI25" s="5"/>
      <c r="AJ25" s="5">
        <v>72</v>
      </c>
      <c r="AK25" s="5">
        <v>0</v>
      </c>
      <c r="AL25" s="5">
        <v>41451</v>
      </c>
      <c r="AM25" s="5">
        <v>2629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 t="s">
        <v>82</v>
      </c>
      <c r="AU25" s="5">
        <v>0</v>
      </c>
      <c r="AV25" s="5">
        <v>591</v>
      </c>
      <c r="AW25" s="5">
        <v>1659</v>
      </c>
      <c r="AX25" s="5">
        <v>0</v>
      </c>
      <c r="AY25" s="155"/>
      <c r="AZ25" s="155"/>
      <c r="BA25" s="155">
        <v>0</v>
      </c>
      <c r="BB25" s="155"/>
      <c r="BC25" s="5">
        <v>2519</v>
      </c>
      <c r="BD25" s="5"/>
      <c r="BE25" s="5">
        <v>43273</v>
      </c>
      <c r="BF25" s="5">
        <v>94036</v>
      </c>
      <c r="BG25" s="5">
        <v>136</v>
      </c>
      <c r="BH25" s="5">
        <v>0</v>
      </c>
      <c r="BI25" s="5">
        <v>0</v>
      </c>
      <c r="BJ25" s="5">
        <v>2478</v>
      </c>
      <c r="BK25" s="5">
        <v>196</v>
      </c>
      <c r="BL25" s="5">
        <v>2462</v>
      </c>
      <c r="BM25" s="5"/>
      <c r="BN25" s="5">
        <v>504</v>
      </c>
      <c r="BO25" s="5">
        <v>569</v>
      </c>
      <c r="BP25" s="5">
        <v>0</v>
      </c>
      <c r="BQ25" s="5">
        <v>3452</v>
      </c>
      <c r="BR25" s="5">
        <v>8232</v>
      </c>
      <c r="BS25" s="5">
        <v>26</v>
      </c>
      <c r="BT25" s="5">
        <v>0</v>
      </c>
      <c r="BU25" s="5">
        <v>0</v>
      </c>
      <c r="BV25" s="5"/>
      <c r="BW25" s="5">
        <v>5</v>
      </c>
      <c r="BX25" s="5">
        <v>377</v>
      </c>
      <c r="BY25" s="5"/>
      <c r="BZ25" s="5">
        <v>4750</v>
      </c>
      <c r="CA25" s="5">
        <v>0</v>
      </c>
      <c r="CB25" s="5">
        <v>0</v>
      </c>
      <c r="CC25" s="5">
        <v>6044</v>
      </c>
      <c r="CD25" s="5">
        <v>2972</v>
      </c>
      <c r="CE25" s="5">
        <v>2253</v>
      </c>
      <c r="CF25" s="5">
        <v>1946</v>
      </c>
      <c r="CG25" s="5">
        <v>0</v>
      </c>
      <c r="CH25" s="5">
        <v>1</v>
      </c>
      <c r="CI25" s="5">
        <v>183</v>
      </c>
      <c r="CJ25" s="5">
        <v>869</v>
      </c>
      <c r="CK25" s="5">
        <v>127</v>
      </c>
      <c r="CL25" s="5"/>
      <c r="CM25" s="5"/>
      <c r="CN25" s="5"/>
      <c r="CO25" s="5"/>
      <c r="CP25" s="5"/>
      <c r="CQ25" s="5"/>
      <c r="CR25" s="5"/>
      <c r="CS25" s="5"/>
      <c r="CT25" s="5" t="s">
        <v>82</v>
      </c>
      <c r="CU25" s="5" t="s">
        <v>82</v>
      </c>
      <c r="CV25" s="5" t="s">
        <v>82</v>
      </c>
      <c r="CW25" s="5">
        <v>0</v>
      </c>
      <c r="CX25" s="5">
        <v>0</v>
      </c>
      <c r="CY25" s="5">
        <v>0</v>
      </c>
      <c r="DD25" s="6">
        <f t="shared" si="1"/>
        <v>174891</v>
      </c>
      <c r="DE25" s="6">
        <f t="shared" si="2"/>
        <v>101865</v>
      </c>
      <c r="DF25" s="16">
        <f t="shared" si="3"/>
        <v>276756</v>
      </c>
      <c r="DK25" s="6">
        <f t="shared" si="4"/>
        <v>51959</v>
      </c>
      <c r="DL25" s="6">
        <f t="shared" si="5"/>
        <v>49906</v>
      </c>
      <c r="DM25" s="6">
        <f t="shared" si="14"/>
        <v>0</v>
      </c>
      <c r="DN25" s="6">
        <f t="shared" si="15"/>
        <v>0</v>
      </c>
      <c r="DO25" s="6">
        <f t="shared" si="6"/>
        <v>115981</v>
      </c>
      <c r="DP25" s="6">
        <f t="shared" si="16"/>
        <v>47229</v>
      </c>
      <c r="DQ25" s="6"/>
      <c r="DR25" s="6">
        <f t="shared" si="7"/>
        <v>6227</v>
      </c>
      <c r="DS25" s="6">
        <f t="shared" si="8"/>
        <v>0</v>
      </c>
      <c r="DT25" s="6">
        <f t="shared" si="9"/>
        <v>5453</v>
      </c>
      <c r="DU25" s="6"/>
      <c r="DV25" s="6"/>
      <c r="DW25" s="6">
        <f t="shared" si="10"/>
        <v>276755</v>
      </c>
      <c r="DY25" s="6">
        <f t="shared" si="11"/>
        <v>121434</v>
      </c>
      <c r="DZ25" s="6">
        <f t="shared" si="12"/>
        <v>0</v>
      </c>
      <c r="EB25" s="6">
        <f t="shared" si="13"/>
        <v>276756</v>
      </c>
      <c r="EC25" s="6"/>
      <c r="ED25" s="6"/>
      <c r="EF25" s="6"/>
      <c r="EG25" s="6"/>
    </row>
    <row r="26" spans="2:137" ht="14">
      <c r="B26" s="4">
        <v>32752</v>
      </c>
      <c r="C26" s="5">
        <v>0</v>
      </c>
      <c r="D26" s="5">
        <v>0</v>
      </c>
      <c r="E26" s="5">
        <v>0</v>
      </c>
      <c r="F26" s="5" t="s">
        <v>82</v>
      </c>
      <c r="G26" s="5" t="s">
        <v>82</v>
      </c>
      <c r="H26" s="5">
        <v>0</v>
      </c>
      <c r="I26" s="5">
        <v>0</v>
      </c>
      <c r="J26" s="5">
        <v>0</v>
      </c>
      <c r="K26" s="5">
        <v>0</v>
      </c>
      <c r="L26" s="5"/>
      <c r="M26" s="5">
        <v>32645</v>
      </c>
      <c r="N26" s="5">
        <v>2548</v>
      </c>
      <c r="O26" s="5"/>
      <c r="P26" s="5">
        <v>0</v>
      </c>
      <c r="Q26" s="5">
        <v>0</v>
      </c>
      <c r="R26" s="5">
        <v>1163</v>
      </c>
      <c r="S26" s="5">
        <v>935</v>
      </c>
      <c r="T26" s="5">
        <v>0</v>
      </c>
      <c r="U26" s="5"/>
      <c r="V26" s="5"/>
      <c r="W26" s="5">
        <v>10035</v>
      </c>
      <c r="X26" s="5">
        <v>0</v>
      </c>
      <c r="Y26" s="5">
        <v>900</v>
      </c>
      <c r="Z26" s="5">
        <v>45</v>
      </c>
      <c r="AA26" s="155"/>
      <c r="AB26" s="5">
        <v>0</v>
      </c>
      <c r="AC26" s="5">
        <v>0</v>
      </c>
      <c r="AD26" s="5">
        <v>0</v>
      </c>
      <c r="AE26" s="5">
        <v>22</v>
      </c>
      <c r="AF26" s="5">
        <v>8</v>
      </c>
      <c r="AG26" s="5">
        <v>0</v>
      </c>
      <c r="AH26" s="5"/>
      <c r="AI26" s="5"/>
      <c r="AJ26" s="5">
        <v>69</v>
      </c>
      <c r="AK26" s="5">
        <v>0</v>
      </c>
      <c r="AL26" s="5">
        <v>41608</v>
      </c>
      <c r="AM26" s="5">
        <v>2467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 t="s">
        <v>82</v>
      </c>
      <c r="AU26" s="5">
        <v>0</v>
      </c>
      <c r="AV26" s="5">
        <v>583</v>
      </c>
      <c r="AW26" s="5">
        <v>1296</v>
      </c>
      <c r="AX26" s="5">
        <v>0</v>
      </c>
      <c r="AY26" s="155"/>
      <c r="AZ26" s="155"/>
      <c r="BA26" s="155">
        <v>0</v>
      </c>
      <c r="BB26" s="155"/>
      <c r="BC26" s="5">
        <v>2113</v>
      </c>
      <c r="BD26" s="5"/>
      <c r="BE26" s="5">
        <v>43444</v>
      </c>
      <c r="BF26" s="5">
        <v>94599</v>
      </c>
      <c r="BG26" s="5">
        <v>166</v>
      </c>
      <c r="BH26" s="5">
        <v>0</v>
      </c>
      <c r="BI26" s="5">
        <v>0</v>
      </c>
      <c r="BJ26" s="5">
        <v>2477</v>
      </c>
      <c r="BK26" s="5">
        <v>185</v>
      </c>
      <c r="BL26" s="5">
        <v>2489</v>
      </c>
      <c r="BM26" s="5"/>
      <c r="BN26" s="5">
        <v>431</v>
      </c>
      <c r="BO26" s="5">
        <v>520</v>
      </c>
      <c r="BP26" s="5">
        <v>0</v>
      </c>
      <c r="BQ26" s="5">
        <v>3516</v>
      </c>
      <c r="BR26" s="5">
        <v>8444</v>
      </c>
      <c r="BS26" s="5">
        <v>26</v>
      </c>
      <c r="BT26" s="5">
        <v>0</v>
      </c>
      <c r="BU26" s="5">
        <v>0</v>
      </c>
      <c r="BV26" s="5"/>
      <c r="BW26" s="5">
        <v>5</v>
      </c>
      <c r="BX26" s="5">
        <v>350</v>
      </c>
      <c r="BY26" s="5"/>
      <c r="BZ26" s="5">
        <v>4862</v>
      </c>
      <c r="CA26" s="5">
        <v>0</v>
      </c>
      <c r="CB26" s="5">
        <v>0</v>
      </c>
      <c r="CC26" s="5">
        <v>6184</v>
      </c>
      <c r="CD26" s="5">
        <v>3470</v>
      </c>
      <c r="CE26" s="5">
        <v>2177</v>
      </c>
      <c r="CF26" s="5">
        <v>2150</v>
      </c>
      <c r="CG26" s="5">
        <v>0</v>
      </c>
      <c r="CH26" s="5">
        <v>1</v>
      </c>
      <c r="CI26" s="5">
        <v>173</v>
      </c>
      <c r="CJ26" s="5">
        <v>884</v>
      </c>
      <c r="CK26" s="5">
        <v>149</v>
      </c>
      <c r="CL26" s="5"/>
      <c r="CM26" s="5"/>
      <c r="CN26" s="5"/>
      <c r="CO26" s="5"/>
      <c r="CP26" s="5"/>
      <c r="CQ26" s="5"/>
      <c r="CR26" s="5"/>
      <c r="CS26" s="5"/>
      <c r="CT26" s="5" t="s">
        <v>82</v>
      </c>
      <c r="CU26" s="5" t="s">
        <v>82</v>
      </c>
      <c r="CV26" s="5" t="s">
        <v>82</v>
      </c>
      <c r="CW26" s="5">
        <v>0</v>
      </c>
      <c r="CX26" s="5">
        <v>0</v>
      </c>
      <c r="CY26" s="5">
        <v>0</v>
      </c>
      <c r="DD26" s="6">
        <f t="shared" si="1"/>
        <v>176702</v>
      </c>
      <c r="DE26" s="6">
        <f t="shared" si="2"/>
        <v>96437</v>
      </c>
      <c r="DF26" s="16">
        <f t="shared" si="3"/>
        <v>273139</v>
      </c>
      <c r="DK26" s="6">
        <f t="shared" si="4"/>
        <v>47326</v>
      </c>
      <c r="DL26" s="6">
        <f t="shared" si="5"/>
        <v>49111</v>
      </c>
      <c r="DM26" s="6">
        <f t="shared" si="14"/>
        <v>0</v>
      </c>
      <c r="DN26" s="6">
        <f t="shared" si="15"/>
        <v>0</v>
      </c>
      <c r="DO26" s="6">
        <f t="shared" si="6"/>
        <v>117471</v>
      </c>
      <c r="DP26" s="6">
        <f t="shared" si="16"/>
        <v>47391</v>
      </c>
      <c r="DQ26" s="6"/>
      <c r="DR26" s="6">
        <f t="shared" si="7"/>
        <v>6357</v>
      </c>
      <c r="DS26" s="6">
        <f t="shared" si="8"/>
        <v>0</v>
      </c>
      <c r="DT26" s="6">
        <f t="shared" si="9"/>
        <v>5482</v>
      </c>
      <c r="DU26" s="6"/>
      <c r="DV26" s="6"/>
      <c r="DW26" s="6">
        <f t="shared" si="10"/>
        <v>273138</v>
      </c>
      <c r="DY26" s="6">
        <f t="shared" si="11"/>
        <v>122953</v>
      </c>
      <c r="DZ26" s="6">
        <f t="shared" si="12"/>
        <v>0</v>
      </c>
      <c r="EB26" s="6">
        <f t="shared" si="13"/>
        <v>273139</v>
      </c>
      <c r="EC26" s="6"/>
      <c r="ED26" s="6"/>
      <c r="EF26" s="6"/>
      <c r="EG26" s="6"/>
    </row>
    <row r="27" spans="2:137" ht="14">
      <c r="B27" s="4">
        <v>32782</v>
      </c>
      <c r="C27" s="5">
        <v>0</v>
      </c>
      <c r="D27" s="5">
        <v>0</v>
      </c>
      <c r="E27" s="5">
        <v>0</v>
      </c>
      <c r="F27" s="5" t="s">
        <v>82</v>
      </c>
      <c r="G27" s="5" t="s">
        <v>82</v>
      </c>
      <c r="H27" s="5">
        <v>0</v>
      </c>
      <c r="I27" s="5">
        <v>0</v>
      </c>
      <c r="J27" s="5">
        <v>0</v>
      </c>
      <c r="K27" s="5">
        <v>0</v>
      </c>
      <c r="L27" s="5"/>
      <c r="M27" s="5">
        <v>32757</v>
      </c>
      <c r="N27" s="5">
        <v>2544</v>
      </c>
      <c r="O27" s="5"/>
      <c r="P27" s="5">
        <v>0</v>
      </c>
      <c r="Q27" s="5">
        <v>0</v>
      </c>
      <c r="R27" s="5">
        <v>1161</v>
      </c>
      <c r="S27" s="5">
        <v>920</v>
      </c>
      <c r="T27" s="5">
        <v>0</v>
      </c>
      <c r="U27" s="5"/>
      <c r="V27" s="5"/>
      <c r="W27" s="5">
        <v>9365</v>
      </c>
      <c r="X27" s="5">
        <v>0</v>
      </c>
      <c r="Y27" s="5">
        <v>909</v>
      </c>
      <c r="Z27" s="5">
        <v>45</v>
      </c>
      <c r="AA27" s="155"/>
      <c r="AB27" s="5">
        <v>0</v>
      </c>
      <c r="AC27" s="5">
        <v>0</v>
      </c>
      <c r="AD27" s="5">
        <v>0</v>
      </c>
      <c r="AE27" s="5">
        <v>24</v>
      </c>
      <c r="AF27" s="5">
        <v>8</v>
      </c>
      <c r="AG27" s="5">
        <v>0</v>
      </c>
      <c r="AH27" s="5"/>
      <c r="AI27" s="5"/>
      <c r="AJ27" s="5">
        <v>63</v>
      </c>
      <c r="AK27" s="5">
        <v>0</v>
      </c>
      <c r="AL27" s="5">
        <v>41692</v>
      </c>
      <c r="AM27" s="5">
        <v>2463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 t="s">
        <v>82</v>
      </c>
      <c r="AU27" s="5">
        <v>0</v>
      </c>
      <c r="AV27" s="5">
        <v>577</v>
      </c>
      <c r="AW27" s="5">
        <v>1283</v>
      </c>
      <c r="AX27" s="5">
        <v>0</v>
      </c>
      <c r="AY27" s="155"/>
      <c r="AZ27" s="155"/>
      <c r="BA27" s="155">
        <v>0</v>
      </c>
      <c r="BB27" s="155"/>
      <c r="BC27" s="5">
        <v>1988</v>
      </c>
      <c r="BD27" s="5"/>
      <c r="BE27" s="5">
        <v>43204</v>
      </c>
      <c r="BF27" s="5">
        <v>94219</v>
      </c>
      <c r="BG27" s="5">
        <v>166</v>
      </c>
      <c r="BH27" s="5">
        <v>0</v>
      </c>
      <c r="BI27" s="5">
        <v>0</v>
      </c>
      <c r="BJ27" s="5">
        <v>2480</v>
      </c>
      <c r="BK27" s="5">
        <v>179</v>
      </c>
      <c r="BL27" s="5">
        <v>2463</v>
      </c>
      <c r="BM27" s="5"/>
      <c r="BN27" s="5">
        <v>423</v>
      </c>
      <c r="BO27" s="5">
        <v>515</v>
      </c>
      <c r="BP27" s="5">
        <v>0</v>
      </c>
      <c r="BQ27" s="5">
        <v>3418</v>
      </c>
      <c r="BR27" s="5">
        <v>8461</v>
      </c>
      <c r="BS27" s="5">
        <v>27</v>
      </c>
      <c r="BT27" s="5">
        <v>0</v>
      </c>
      <c r="BU27" s="5">
        <v>0</v>
      </c>
      <c r="BV27" s="5"/>
      <c r="BW27" s="5">
        <v>4</v>
      </c>
      <c r="BX27" s="5">
        <v>345</v>
      </c>
      <c r="BY27" s="5"/>
      <c r="BZ27" s="5">
        <v>4800</v>
      </c>
      <c r="CA27" s="5">
        <v>0</v>
      </c>
      <c r="CB27" s="5">
        <v>0</v>
      </c>
      <c r="CC27" s="5">
        <v>6167</v>
      </c>
      <c r="CD27" s="5">
        <v>3769</v>
      </c>
      <c r="CE27" s="5">
        <v>2111</v>
      </c>
      <c r="CF27" s="5">
        <v>2155</v>
      </c>
      <c r="CG27" s="5">
        <v>0</v>
      </c>
      <c r="CH27" s="5">
        <v>1</v>
      </c>
      <c r="CI27" s="5">
        <v>168</v>
      </c>
      <c r="CJ27" s="5">
        <v>877</v>
      </c>
      <c r="CK27" s="5">
        <v>167</v>
      </c>
      <c r="CL27" s="5"/>
      <c r="CM27" s="5"/>
      <c r="CN27" s="5"/>
      <c r="CO27" s="5"/>
      <c r="CP27" s="5"/>
      <c r="CQ27" s="5"/>
      <c r="CR27" s="5"/>
      <c r="CS27" s="5"/>
      <c r="CT27" s="5" t="s">
        <v>82</v>
      </c>
      <c r="CU27" s="5" t="s">
        <v>82</v>
      </c>
      <c r="CV27" s="5" t="s">
        <v>82</v>
      </c>
      <c r="CW27" s="5">
        <v>0</v>
      </c>
      <c r="CX27" s="5">
        <v>0</v>
      </c>
      <c r="CY27" s="5">
        <v>0</v>
      </c>
      <c r="DD27" s="6">
        <f t="shared" si="1"/>
        <v>176119</v>
      </c>
      <c r="DE27" s="6">
        <f t="shared" si="2"/>
        <v>95799</v>
      </c>
      <c r="DF27" s="16">
        <f t="shared" si="3"/>
        <v>271918</v>
      </c>
      <c r="DK27" s="6">
        <f t="shared" si="4"/>
        <v>46747</v>
      </c>
      <c r="DL27" s="6">
        <f t="shared" si="5"/>
        <v>49052</v>
      </c>
      <c r="DM27" s="6">
        <f t="shared" si="14"/>
        <v>0</v>
      </c>
      <c r="DN27" s="6">
        <f t="shared" si="15"/>
        <v>0</v>
      </c>
      <c r="DO27" s="6">
        <f t="shared" si="6"/>
        <v>117284</v>
      </c>
      <c r="DP27" s="6">
        <f t="shared" si="16"/>
        <v>47045</v>
      </c>
      <c r="DQ27" s="6"/>
      <c r="DR27" s="6">
        <f t="shared" si="7"/>
        <v>6335</v>
      </c>
      <c r="DS27" s="6">
        <f t="shared" si="8"/>
        <v>0</v>
      </c>
      <c r="DT27" s="6">
        <f t="shared" si="9"/>
        <v>5454</v>
      </c>
      <c r="DU27" s="6"/>
      <c r="DV27" s="6"/>
      <c r="DW27" s="6">
        <f t="shared" si="10"/>
        <v>271917</v>
      </c>
      <c r="DY27" s="6">
        <f t="shared" si="11"/>
        <v>122738</v>
      </c>
      <c r="DZ27" s="6">
        <f t="shared" si="12"/>
        <v>0</v>
      </c>
      <c r="EB27" s="6">
        <f t="shared" si="13"/>
        <v>271918</v>
      </c>
      <c r="EC27" s="6"/>
      <c r="ED27" s="6"/>
      <c r="EF27" s="6"/>
      <c r="EG27" s="6"/>
    </row>
    <row r="28" spans="2:137" ht="14">
      <c r="B28" s="4">
        <v>32813</v>
      </c>
      <c r="C28" s="5">
        <v>0</v>
      </c>
      <c r="D28" s="5">
        <v>0</v>
      </c>
      <c r="E28" s="5">
        <v>0</v>
      </c>
      <c r="F28" s="5" t="s">
        <v>82</v>
      </c>
      <c r="G28" s="5" t="s">
        <v>82</v>
      </c>
      <c r="H28" s="5">
        <v>0</v>
      </c>
      <c r="I28" s="5">
        <v>0</v>
      </c>
      <c r="J28" s="5">
        <v>0</v>
      </c>
      <c r="K28" s="5">
        <v>0</v>
      </c>
      <c r="L28" s="5"/>
      <c r="M28" s="5">
        <v>32944</v>
      </c>
      <c r="N28" s="5">
        <v>2536</v>
      </c>
      <c r="O28" s="5"/>
      <c r="P28" s="5">
        <v>5128</v>
      </c>
      <c r="Q28" s="5">
        <v>922</v>
      </c>
      <c r="R28" s="5">
        <v>1175</v>
      </c>
      <c r="S28" s="5">
        <v>919</v>
      </c>
      <c r="T28" s="5">
        <v>2621</v>
      </c>
      <c r="U28" s="5"/>
      <c r="V28" s="5"/>
      <c r="W28" s="5">
        <v>9228</v>
      </c>
      <c r="X28" s="5">
        <v>0</v>
      </c>
      <c r="Y28" s="5">
        <v>903</v>
      </c>
      <c r="Z28" s="5">
        <v>45</v>
      </c>
      <c r="AA28" s="155"/>
      <c r="AB28" s="5">
        <v>10</v>
      </c>
      <c r="AC28" s="5">
        <v>0</v>
      </c>
      <c r="AD28" s="5">
        <v>8</v>
      </c>
      <c r="AE28" s="5">
        <v>20</v>
      </c>
      <c r="AF28" s="5">
        <v>9</v>
      </c>
      <c r="AG28" s="5">
        <v>18</v>
      </c>
      <c r="AH28" s="5"/>
      <c r="AI28" s="5"/>
      <c r="AJ28" s="5">
        <v>62</v>
      </c>
      <c r="AK28" s="5">
        <v>0</v>
      </c>
      <c r="AL28" s="5">
        <v>41893</v>
      </c>
      <c r="AM28" s="5">
        <v>2467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554</v>
      </c>
      <c r="AT28" s="5" t="s">
        <v>82</v>
      </c>
      <c r="AU28" s="5">
        <v>604</v>
      </c>
      <c r="AV28" s="5">
        <v>595</v>
      </c>
      <c r="AW28" s="5">
        <v>1274</v>
      </c>
      <c r="AX28" s="5">
        <v>970</v>
      </c>
      <c r="AY28" s="155"/>
      <c r="AZ28" s="155"/>
      <c r="BA28" s="155">
        <v>0</v>
      </c>
      <c r="BB28" s="155"/>
      <c r="BC28" s="5">
        <v>1927</v>
      </c>
      <c r="BD28" s="5"/>
      <c r="BE28" s="5">
        <v>43569</v>
      </c>
      <c r="BF28" s="5">
        <v>95010</v>
      </c>
      <c r="BG28" s="5">
        <v>168</v>
      </c>
      <c r="BH28" s="5">
        <v>0</v>
      </c>
      <c r="BI28" s="5">
        <v>0</v>
      </c>
      <c r="BJ28" s="5">
        <v>2514</v>
      </c>
      <c r="BK28" s="5">
        <v>172</v>
      </c>
      <c r="BL28" s="5">
        <v>2508</v>
      </c>
      <c r="BM28" s="5"/>
      <c r="BN28" s="5">
        <v>451</v>
      </c>
      <c r="BO28" s="5">
        <v>543</v>
      </c>
      <c r="BP28" s="5">
        <v>0</v>
      </c>
      <c r="BQ28" s="5">
        <v>3420</v>
      </c>
      <c r="BR28" s="5">
        <v>8499</v>
      </c>
      <c r="BS28" s="5">
        <v>28</v>
      </c>
      <c r="BT28" s="5">
        <v>0</v>
      </c>
      <c r="BU28" s="5">
        <v>0</v>
      </c>
      <c r="BV28" s="5"/>
      <c r="BW28" s="5">
        <v>4</v>
      </c>
      <c r="BX28" s="5">
        <v>339</v>
      </c>
      <c r="BY28" s="5"/>
      <c r="BZ28" s="5">
        <v>4881</v>
      </c>
      <c r="CA28" s="5">
        <v>0</v>
      </c>
      <c r="CB28" s="5">
        <v>0</v>
      </c>
      <c r="CC28" s="5">
        <v>6097</v>
      </c>
      <c r="CD28" s="5">
        <v>4224</v>
      </c>
      <c r="CE28" s="5">
        <v>2064</v>
      </c>
      <c r="CF28" s="5">
        <v>2255</v>
      </c>
      <c r="CG28" s="5">
        <v>0</v>
      </c>
      <c r="CH28" s="5">
        <v>1</v>
      </c>
      <c r="CI28" s="5">
        <v>162</v>
      </c>
      <c r="CJ28" s="5">
        <v>890</v>
      </c>
      <c r="CK28" s="5">
        <v>175</v>
      </c>
      <c r="CL28" s="5"/>
      <c r="CM28" s="5"/>
      <c r="CN28" s="5"/>
      <c r="CO28" s="5"/>
      <c r="CP28" s="5"/>
      <c r="CQ28" s="5"/>
      <c r="CR28" s="5"/>
      <c r="CS28" s="5"/>
      <c r="CT28" s="5" t="s">
        <v>82</v>
      </c>
      <c r="CU28" s="5" t="s">
        <v>82</v>
      </c>
      <c r="CV28" s="5" t="s">
        <v>82</v>
      </c>
      <c r="CW28" s="5">
        <v>0</v>
      </c>
      <c r="CX28" s="5">
        <v>0</v>
      </c>
      <c r="CY28" s="5">
        <v>0</v>
      </c>
      <c r="DD28" s="6">
        <f t="shared" si="1"/>
        <v>177974</v>
      </c>
      <c r="DE28" s="6">
        <f t="shared" si="2"/>
        <v>106832</v>
      </c>
      <c r="DF28" s="16">
        <f t="shared" si="3"/>
        <v>284806</v>
      </c>
      <c r="DK28" s="6">
        <f t="shared" si="4"/>
        <v>52852</v>
      </c>
      <c r="DL28" s="6">
        <f t="shared" si="5"/>
        <v>50371</v>
      </c>
      <c r="DM28" s="6">
        <f t="shared" si="14"/>
        <v>2621</v>
      </c>
      <c r="DN28" s="6">
        <f t="shared" si="15"/>
        <v>988</v>
      </c>
      <c r="DO28" s="6">
        <f t="shared" si="6"/>
        <v>118745</v>
      </c>
      <c r="DP28" s="6">
        <f t="shared" si="16"/>
        <v>47440</v>
      </c>
      <c r="DQ28" s="6"/>
      <c r="DR28" s="6">
        <f t="shared" si="7"/>
        <v>6259</v>
      </c>
      <c r="DS28" s="6">
        <f t="shared" si="8"/>
        <v>0</v>
      </c>
      <c r="DT28" s="6">
        <f t="shared" si="9"/>
        <v>5529</v>
      </c>
      <c r="DU28" s="6"/>
      <c r="DV28" s="6"/>
      <c r="DW28" s="6">
        <f t="shared" si="10"/>
        <v>284805</v>
      </c>
      <c r="DY28" s="6">
        <f t="shared" si="11"/>
        <v>124274</v>
      </c>
      <c r="DZ28" s="6">
        <f t="shared" si="12"/>
        <v>0</v>
      </c>
      <c r="EB28" s="6">
        <f t="shared" si="13"/>
        <v>284806</v>
      </c>
      <c r="EC28" s="6"/>
      <c r="ED28" s="6"/>
      <c r="EF28" s="6"/>
      <c r="EG28" s="6"/>
    </row>
    <row r="29" spans="2:137" ht="14">
      <c r="B29" s="4">
        <v>32843</v>
      </c>
      <c r="C29" s="5">
        <v>0</v>
      </c>
      <c r="D29" s="5">
        <v>0</v>
      </c>
      <c r="E29" s="5">
        <v>0</v>
      </c>
      <c r="F29" s="5" t="s">
        <v>82</v>
      </c>
      <c r="G29" s="5" t="s">
        <v>82</v>
      </c>
      <c r="H29" s="5">
        <v>0</v>
      </c>
      <c r="I29" s="5">
        <v>0</v>
      </c>
      <c r="J29" s="5">
        <v>0</v>
      </c>
      <c r="K29" s="5">
        <v>0</v>
      </c>
      <c r="L29" s="5"/>
      <c r="M29" s="5">
        <v>33048</v>
      </c>
      <c r="N29" s="5">
        <v>2535</v>
      </c>
      <c r="O29" s="5"/>
      <c r="P29" s="5">
        <v>5161</v>
      </c>
      <c r="Q29" s="5">
        <v>970</v>
      </c>
      <c r="R29" s="5">
        <v>1181</v>
      </c>
      <c r="S29" s="5">
        <v>922</v>
      </c>
      <c r="T29" s="5">
        <v>2977</v>
      </c>
      <c r="U29" s="5"/>
      <c r="V29" s="5"/>
      <c r="W29" s="5">
        <v>9315</v>
      </c>
      <c r="X29" s="5">
        <v>0</v>
      </c>
      <c r="Y29" s="5">
        <v>906</v>
      </c>
      <c r="Z29" s="5">
        <v>41</v>
      </c>
      <c r="AA29" s="155"/>
      <c r="AB29" s="5">
        <v>11</v>
      </c>
      <c r="AC29" s="5">
        <v>0</v>
      </c>
      <c r="AD29" s="5">
        <v>9</v>
      </c>
      <c r="AE29" s="5">
        <v>20</v>
      </c>
      <c r="AF29" s="5">
        <v>9</v>
      </c>
      <c r="AG29" s="5">
        <v>19</v>
      </c>
      <c r="AH29" s="5"/>
      <c r="AI29" s="5"/>
      <c r="AJ29" s="5">
        <v>59</v>
      </c>
      <c r="AK29" s="5">
        <v>0</v>
      </c>
      <c r="AL29" s="5">
        <v>42121</v>
      </c>
      <c r="AM29" s="5">
        <v>2492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625</v>
      </c>
      <c r="AT29" s="5" t="s">
        <v>82</v>
      </c>
      <c r="AU29" s="5">
        <v>609</v>
      </c>
      <c r="AV29" s="5">
        <v>607</v>
      </c>
      <c r="AW29" s="5">
        <v>1279</v>
      </c>
      <c r="AX29" s="5">
        <v>1078</v>
      </c>
      <c r="AY29" s="155"/>
      <c r="AZ29" s="155"/>
      <c r="BA29" s="155">
        <v>0</v>
      </c>
      <c r="BB29" s="155"/>
      <c r="BC29" s="5">
        <v>1955</v>
      </c>
      <c r="BD29" s="5"/>
      <c r="BE29" s="5">
        <v>44169</v>
      </c>
      <c r="BF29" s="5">
        <v>96376</v>
      </c>
      <c r="BG29" s="5">
        <v>167</v>
      </c>
      <c r="BH29" s="5">
        <v>0</v>
      </c>
      <c r="BI29" s="5">
        <v>0</v>
      </c>
      <c r="BJ29" s="5">
        <v>2549</v>
      </c>
      <c r="BK29" s="5">
        <v>170</v>
      </c>
      <c r="BL29" s="5">
        <v>2531</v>
      </c>
      <c r="BM29" s="5"/>
      <c r="BN29" s="5">
        <v>462</v>
      </c>
      <c r="BO29" s="5">
        <v>553</v>
      </c>
      <c r="BP29" s="5">
        <v>0</v>
      </c>
      <c r="BQ29" s="5">
        <v>3384</v>
      </c>
      <c r="BR29" s="5">
        <v>8443</v>
      </c>
      <c r="BS29" s="5">
        <v>28</v>
      </c>
      <c r="BT29" s="5">
        <v>0</v>
      </c>
      <c r="BU29" s="5">
        <v>0</v>
      </c>
      <c r="BV29" s="5"/>
      <c r="BW29" s="5">
        <v>5</v>
      </c>
      <c r="BX29" s="5">
        <v>332</v>
      </c>
      <c r="BY29" s="5"/>
      <c r="BZ29" s="5">
        <v>5020</v>
      </c>
      <c r="CA29" s="5">
        <v>0</v>
      </c>
      <c r="CB29" s="5">
        <v>0</v>
      </c>
      <c r="CC29" s="5">
        <v>6202</v>
      </c>
      <c r="CD29" s="5">
        <v>4622</v>
      </c>
      <c r="CE29" s="5">
        <v>2049</v>
      </c>
      <c r="CF29" s="5">
        <v>2386</v>
      </c>
      <c r="CG29" s="5">
        <v>0</v>
      </c>
      <c r="CH29" s="5">
        <v>1</v>
      </c>
      <c r="CI29" s="5">
        <v>175</v>
      </c>
      <c r="CJ29" s="5">
        <v>931</v>
      </c>
      <c r="CK29" s="5">
        <v>188</v>
      </c>
      <c r="CL29" s="5"/>
      <c r="CM29" s="5"/>
      <c r="CN29" s="5"/>
      <c r="CO29" s="5"/>
      <c r="CP29" s="5"/>
      <c r="CQ29" s="5"/>
      <c r="CR29" s="5"/>
      <c r="CS29" s="5"/>
      <c r="CT29" s="5" t="s">
        <v>82</v>
      </c>
      <c r="CU29" s="5" t="s">
        <v>82</v>
      </c>
      <c r="CV29" s="5" t="s">
        <v>82</v>
      </c>
      <c r="CW29" s="5">
        <v>0</v>
      </c>
      <c r="CX29" s="5">
        <v>0</v>
      </c>
      <c r="CY29" s="5">
        <v>0</v>
      </c>
      <c r="DD29" s="6">
        <f t="shared" si="1"/>
        <v>180743</v>
      </c>
      <c r="DE29" s="6">
        <f t="shared" si="2"/>
        <v>107949</v>
      </c>
      <c r="DF29" s="16">
        <f t="shared" si="3"/>
        <v>288692</v>
      </c>
      <c r="DK29" s="6">
        <f t="shared" si="4"/>
        <v>53132</v>
      </c>
      <c r="DL29" s="6">
        <f t="shared" si="5"/>
        <v>50743</v>
      </c>
      <c r="DM29" s="6">
        <f t="shared" si="14"/>
        <v>2977</v>
      </c>
      <c r="DN29" s="6">
        <f t="shared" si="15"/>
        <v>1097</v>
      </c>
      <c r="DO29" s="6">
        <f t="shared" si="6"/>
        <v>120771</v>
      </c>
      <c r="DP29" s="6">
        <f t="shared" si="16"/>
        <v>48015</v>
      </c>
      <c r="DQ29" s="6"/>
      <c r="DR29" s="6">
        <f t="shared" si="7"/>
        <v>6377</v>
      </c>
      <c r="DS29" s="6">
        <f t="shared" si="8"/>
        <v>0</v>
      </c>
      <c r="DT29" s="6">
        <f t="shared" si="9"/>
        <v>5579</v>
      </c>
      <c r="DU29" s="6"/>
      <c r="DV29" s="6"/>
      <c r="DW29" s="6">
        <f t="shared" si="10"/>
        <v>288691</v>
      </c>
      <c r="DY29" s="6">
        <f t="shared" si="11"/>
        <v>126350</v>
      </c>
      <c r="DZ29" s="6">
        <f t="shared" si="12"/>
        <v>0</v>
      </c>
      <c r="EB29" s="6">
        <f t="shared" si="13"/>
        <v>288692</v>
      </c>
      <c r="EC29" s="6"/>
      <c r="ED29" s="6"/>
      <c r="EF29" s="6"/>
      <c r="EG29" s="6"/>
    </row>
    <row r="30" spans="2:137" ht="14">
      <c r="B30" s="4">
        <v>32874</v>
      </c>
      <c r="C30" s="5">
        <v>0</v>
      </c>
      <c r="D30" s="5">
        <v>0</v>
      </c>
      <c r="E30" s="5">
        <v>0</v>
      </c>
      <c r="F30" s="5" t="s">
        <v>82</v>
      </c>
      <c r="G30" s="5" t="s">
        <v>82</v>
      </c>
      <c r="H30" s="5">
        <v>0</v>
      </c>
      <c r="I30" s="5">
        <v>0</v>
      </c>
      <c r="J30" s="5">
        <v>0</v>
      </c>
      <c r="K30" s="5">
        <v>0</v>
      </c>
      <c r="L30" s="5"/>
      <c r="M30" s="5">
        <v>33136</v>
      </c>
      <c r="N30" s="5">
        <v>2543</v>
      </c>
      <c r="O30" s="5"/>
      <c r="P30" s="5">
        <v>5176</v>
      </c>
      <c r="Q30" s="5">
        <v>996</v>
      </c>
      <c r="R30" s="5">
        <v>1173</v>
      </c>
      <c r="S30" s="5">
        <v>915</v>
      </c>
      <c r="T30" s="5">
        <v>3187</v>
      </c>
      <c r="U30" s="5"/>
      <c r="V30" s="5"/>
      <c r="W30" s="5">
        <v>9366</v>
      </c>
      <c r="X30" s="5">
        <v>0</v>
      </c>
      <c r="Y30" s="5">
        <v>914</v>
      </c>
      <c r="Z30" s="5">
        <v>41</v>
      </c>
      <c r="AA30" s="155"/>
      <c r="AB30" s="5">
        <v>11</v>
      </c>
      <c r="AC30" s="5">
        <v>0</v>
      </c>
      <c r="AD30" s="5">
        <v>9</v>
      </c>
      <c r="AE30" s="5">
        <v>19</v>
      </c>
      <c r="AF30" s="5">
        <v>9</v>
      </c>
      <c r="AG30" s="5">
        <v>19</v>
      </c>
      <c r="AH30" s="5"/>
      <c r="AI30" s="5"/>
      <c r="AJ30" s="5">
        <v>58</v>
      </c>
      <c r="AK30" s="5">
        <v>0</v>
      </c>
      <c r="AL30" s="5">
        <v>42250</v>
      </c>
      <c r="AM30" s="5">
        <v>2492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661</v>
      </c>
      <c r="AT30" s="5" t="s">
        <v>82</v>
      </c>
      <c r="AU30" s="5">
        <v>611</v>
      </c>
      <c r="AV30" s="5">
        <v>609</v>
      </c>
      <c r="AW30" s="5">
        <v>1277</v>
      </c>
      <c r="AX30" s="5">
        <v>1123</v>
      </c>
      <c r="AY30" s="155"/>
      <c r="AZ30" s="155"/>
      <c r="BA30" s="155">
        <v>0</v>
      </c>
      <c r="BB30" s="155"/>
      <c r="BC30" s="5">
        <v>1916</v>
      </c>
      <c r="BD30" s="5"/>
      <c r="BE30" s="5">
        <v>44625</v>
      </c>
      <c r="BF30" s="5">
        <v>97221</v>
      </c>
      <c r="BG30" s="5">
        <v>168</v>
      </c>
      <c r="BH30" s="5">
        <v>0</v>
      </c>
      <c r="BI30" s="5">
        <v>0</v>
      </c>
      <c r="BJ30" s="5">
        <v>2568</v>
      </c>
      <c r="BK30" s="5">
        <v>180</v>
      </c>
      <c r="BL30" s="5">
        <v>2574</v>
      </c>
      <c r="BM30" s="5"/>
      <c r="BN30" s="5">
        <v>462</v>
      </c>
      <c r="BO30" s="5">
        <v>153</v>
      </c>
      <c r="BP30" s="5">
        <v>0</v>
      </c>
      <c r="BQ30" s="5">
        <v>3263</v>
      </c>
      <c r="BR30" s="5">
        <v>8214</v>
      </c>
      <c r="BS30" s="5">
        <v>26</v>
      </c>
      <c r="BT30" s="5">
        <v>0</v>
      </c>
      <c r="BU30" s="5">
        <v>0</v>
      </c>
      <c r="BV30" s="5"/>
      <c r="BW30" s="5">
        <v>6</v>
      </c>
      <c r="BX30" s="5">
        <v>326</v>
      </c>
      <c r="BY30" s="5"/>
      <c r="BZ30" s="5">
        <v>5068</v>
      </c>
      <c r="CA30" s="5">
        <v>0</v>
      </c>
      <c r="CB30" s="5">
        <v>0</v>
      </c>
      <c r="CC30" s="5">
        <v>6220</v>
      </c>
      <c r="CD30" s="5">
        <v>4913</v>
      </c>
      <c r="CE30" s="5">
        <v>2031</v>
      </c>
      <c r="CF30" s="5">
        <v>2376</v>
      </c>
      <c r="CG30" s="5">
        <v>0</v>
      </c>
      <c r="CH30" s="5">
        <v>1</v>
      </c>
      <c r="CI30" s="5">
        <v>161</v>
      </c>
      <c r="CJ30" s="5">
        <v>934</v>
      </c>
      <c r="CK30" s="5">
        <v>181</v>
      </c>
      <c r="CL30" s="5"/>
      <c r="CM30" s="5"/>
      <c r="CN30" s="5"/>
      <c r="CO30" s="5"/>
      <c r="CP30" s="5"/>
      <c r="CQ30" s="5"/>
      <c r="CR30" s="5"/>
      <c r="CS30" s="5"/>
      <c r="CT30" s="5" t="s">
        <v>82</v>
      </c>
      <c r="CU30" s="5" t="s">
        <v>82</v>
      </c>
      <c r="CV30" s="5" t="s">
        <v>82</v>
      </c>
      <c r="CW30" s="5">
        <v>0</v>
      </c>
      <c r="CX30" s="5">
        <v>0</v>
      </c>
      <c r="CY30" s="5">
        <v>0</v>
      </c>
      <c r="DD30" s="6">
        <f t="shared" si="1"/>
        <v>181671</v>
      </c>
      <c r="DE30" s="6">
        <f t="shared" si="2"/>
        <v>108511</v>
      </c>
      <c r="DF30" s="16">
        <f t="shared" si="3"/>
        <v>290182</v>
      </c>
      <c r="DK30" s="6">
        <f t="shared" si="4"/>
        <v>53305</v>
      </c>
      <c r="DL30" s="6">
        <f t="shared" si="5"/>
        <v>50877</v>
      </c>
      <c r="DM30" s="6">
        <f t="shared" si="14"/>
        <v>3187</v>
      </c>
      <c r="DN30" s="6">
        <f t="shared" si="15"/>
        <v>1142</v>
      </c>
      <c r="DO30" s="6">
        <f t="shared" si="6"/>
        <v>121303</v>
      </c>
      <c r="DP30" s="6">
        <f t="shared" si="16"/>
        <v>48350</v>
      </c>
      <c r="DQ30" s="6"/>
      <c r="DR30" s="6">
        <f t="shared" si="7"/>
        <v>6381</v>
      </c>
      <c r="DS30" s="6">
        <f t="shared" si="8"/>
        <v>0</v>
      </c>
      <c r="DT30" s="6">
        <f t="shared" si="9"/>
        <v>5636</v>
      </c>
      <c r="DU30" s="6"/>
      <c r="DV30" s="6"/>
      <c r="DW30" s="6">
        <f t="shared" si="10"/>
        <v>290181</v>
      </c>
      <c r="DY30" s="6">
        <f t="shared" si="11"/>
        <v>126939</v>
      </c>
      <c r="DZ30" s="6">
        <f t="shared" si="12"/>
        <v>0</v>
      </c>
      <c r="EB30" s="6">
        <f t="shared" si="13"/>
        <v>290182</v>
      </c>
      <c r="EC30" s="6"/>
      <c r="ED30" s="6"/>
      <c r="EF30" s="6"/>
      <c r="EG30" s="6"/>
    </row>
    <row r="31" spans="2:137" ht="14">
      <c r="B31" s="4">
        <v>32905</v>
      </c>
      <c r="C31" s="5">
        <v>0</v>
      </c>
      <c r="D31" s="5">
        <v>0</v>
      </c>
      <c r="E31" s="5">
        <v>0</v>
      </c>
      <c r="F31" s="5" t="s">
        <v>82</v>
      </c>
      <c r="G31" s="5" t="s">
        <v>82</v>
      </c>
      <c r="H31" s="5">
        <v>0</v>
      </c>
      <c r="I31" s="5">
        <v>0</v>
      </c>
      <c r="J31" s="5">
        <v>0</v>
      </c>
      <c r="K31" s="5">
        <v>0</v>
      </c>
      <c r="L31" s="5"/>
      <c r="M31" s="5">
        <v>33290</v>
      </c>
      <c r="N31" s="5">
        <v>2546</v>
      </c>
      <c r="O31" s="5"/>
      <c r="P31" s="5">
        <v>5193</v>
      </c>
      <c r="Q31" s="5">
        <v>988</v>
      </c>
      <c r="R31" s="5">
        <v>1170</v>
      </c>
      <c r="S31" s="5">
        <v>917</v>
      </c>
      <c r="T31" s="5">
        <v>3354</v>
      </c>
      <c r="U31" s="5"/>
      <c r="V31" s="5"/>
      <c r="W31" s="5">
        <v>9360</v>
      </c>
      <c r="X31" s="5">
        <v>0</v>
      </c>
      <c r="Y31" s="5">
        <v>916</v>
      </c>
      <c r="Z31" s="5">
        <v>39</v>
      </c>
      <c r="AA31" s="155"/>
      <c r="AB31" s="5">
        <v>15</v>
      </c>
      <c r="AC31" s="5">
        <v>0</v>
      </c>
      <c r="AD31" s="5">
        <v>9</v>
      </c>
      <c r="AE31" s="5">
        <v>18</v>
      </c>
      <c r="AF31" s="5">
        <v>9</v>
      </c>
      <c r="AG31" s="5">
        <v>23</v>
      </c>
      <c r="AH31" s="5"/>
      <c r="AI31" s="5"/>
      <c r="AJ31" s="5">
        <v>61</v>
      </c>
      <c r="AK31" s="5">
        <v>0</v>
      </c>
      <c r="AL31" s="5">
        <v>42603</v>
      </c>
      <c r="AM31" s="5">
        <v>2496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704</v>
      </c>
      <c r="AT31" s="5" t="s">
        <v>82</v>
      </c>
      <c r="AU31" s="5">
        <v>623</v>
      </c>
      <c r="AV31" s="5">
        <v>635</v>
      </c>
      <c r="AW31" s="5">
        <v>1267</v>
      </c>
      <c r="AX31" s="5">
        <v>1201</v>
      </c>
      <c r="AY31" s="155"/>
      <c r="AZ31" s="155"/>
      <c r="BA31" s="155">
        <v>0</v>
      </c>
      <c r="BB31" s="155"/>
      <c r="BC31" s="5">
        <v>1901</v>
      </c>
      <c r="BD31" s="5"/>
      <c r="BE31" s="5">
        <v>45256</v>
      </c>
      <c r="BF31" s="5">
        <v>98544</v>
      </c>
      <c r="BG31" s="5">
        <v>173</v>
      </c>
      <c r="BH31" s="5">
        <v>0</v>
      </c>
      <c r="BI31" s="5">
        <v>0</v>
      </c>
      <c r="BJ31" s="5">
        <v>2602</v>
      </c>
      <c r="BK31" s="5">
        <v>182</v>
      </c>
      <c r="BL31" s="5">
        <v>2592</v>
      </c>
      <c r="BM31" s="5"/>
      <c r="BN31" s="5">
        <v>474</v>
      </c>
      <c r="BO31" s="5">
        <v>179</v>
      </c>
      <c r="BP31" s="5">
        <v>0</v>
      </c>
      <c r="BQ31" s="5">
        <v>3074</v>
      </c>
      <c r="BR31" s="5">
        <v>7901</v>
      </c>
      <c r="BS31" s="5">
        <v>26</v>
      </c>
      <c r="BT31" s="5">
        <v>0</v>
      </c>
      <c r="BU31" s="5">
        <v>0</v>
      </c>
      <c r="BV31" s="5"/>
      <c r="BW31" s="5">
        <v>7</v>
      </c>
      <c r="BX31" s="5">
        <v>331</v>
      </c>
      <c r="BY31" s="5"/>
      <c r="BZ31" s="5">
        <v>5171</v>
      </c>
      <c r="CA31" s="5">
        <v>0</v>
      </c>
      <c r="CB31" s="5">
        <v>0</v>
      </c>
      <c r="CC31" s="5">
        <v>6585</v>
      </c>
      <c r="CD31" s="5">
        <v>5373</v>
      </c>
      <c r="CE31" s="5">
        <v>2052</v>
      </c>
      <c r="CF31" s="5">
        <v>2547</v>
      </c>
      <c r="CG31" s="5">
        <v>0</v>
      </c>
      <c r="CH31" s="5">
        <v>1</v>
      </c>
      <c r="CI31" s="5">
        <v>156</v>
      </c>
      <c r="CJ31" s="5">
        <v>1042</v>
      </c>
      <c r="CK31" s="5">
        <v>176</v>
      </c>
      <c r="CL31" s="5"/>
      <c r="CM31" s="5"/>
      <c r="CN31" s="5"/>
      <c r="CO31" s="5"/>
      <c r="CP31" s="5"/>
      <c r="CQ31" s="5"/>
      <c r="CR31" s="5"/>
      <c r="CS31" s="5"/>
      <c r="CT31" s="5" t="s">
        <v>82</v>
      </c>
      <c r="CU31" s="5" t="s">
        <v>82</v>
      </c>
      <c r="CV31" s="5" t="s">
        <v>82</v>
      </c>
      <c r="CW31" s="5">
        <v>0</v>
      </c>
      <c r="CX31" s="5">
        <v>0</v>
      </c>
      <c r="CY31" s="5">
        <v>0</v>
      </c>
      <c r="DD31" s="6">
        <f t="shared" si="1"/>
        <v>184444</v>
      </c>
      <c r="DE31" s="6">
        <f t="shared" si="2"/>
        <v>109338</v>
      </c>
      <c r="DF31" s="16">
        <f t="shared" si="3"/>
        <v>293782</v>
      </c>
      <c r="DK31" s="6">
        <f t="shared" si="4"/>
        <v>53464</v>
      </c>
      <c r="DL31" s="6">
        <f t="shared" si="5"/>
        <v>51296</v>
      </c>
      <c r="DM31" s="6">
        <f t="shared" si="14"/>
        <v>3354</v>
      </c>
      <c r="DN31" s="6">
        <f t="shared" si="15"/>
        <v>1224</v>
      </c>
      <c r="DO31" s="6">
        <f t="shared" si="6"/>
        <v>123200</v>
      </c>
      <c r="DP31" s="6">
        <f t="shared" si="16"/>
        <v>48804</v>
      </c>
      <c r="DQ31" s="6"/>
      <c r="DR31" s="6">
        <f t="shared" si="7"/>
        <v>6741</v>
      </c>
      <c r="DS31" s="6">
        <f t="shared" si="8"/>
        <v>0</v>
      </c>
      <c r="DT31" s="6">
        <f t="shared" si="9"/>
        <v>5698</v>
      </c>
      <c r="DU31" s="6"/>
      <c r="DV31" s="6"/>
      <c r="DW31" s="6">
        <f t="shared" si="10"/>
        <v>293781</v>
      </c>
      <c r="DY31" s="6">
        <f t="shared" si="11"/>
        <v>128898</v>
      </c>
      <c r="DZ31" s="6">
        <f t="shared" si="12"/>
        <v>0</v>
      </c>
      <c r="EB31" s="6">
        <f t="shared" si="13"/>
        <v>293782</v>
      </c>
      <c r="EC31" s="6"/>
      <c r="ED31" s="6"/>
      <c r="EF31" s="6"/>
      <c r="EG31" s="6"/>
    </row>
    <row r="32" spans="2:137" ht="14">
      <c r="B32" s="4">
        <v>32933</v>
      </c>
      <c r="C32" s="5">
        <v>0</v>
      </c>
      <c r="D32" s="5">
        <v>0</v>
      </c>
      <c r="E32" s="5">
        <v>0</v>
      </c>
      <c r="F32" s="5" t="s">
        <v>82</v>
      </c>
      <c r="G32" s="5" t="s">
        <v>82</v>
      </c>
      <c r="H32" s="5">
        <v>0</v>
      </c>
      <c r="I32" s="5">
        <v>0</v>
      </c>
      <c r="J32" s="5">
        <v>0</v>
      </c>
      <c r="K32" s="5">
        <v>0</v>
      </c>
      <c r="L32" s="5"/>
      <c r="M32" s="5">
        <v>33287</v>
      </c>
      <c r="N32" s="5">
        <v>2533</v>
      </c>
      <c r="O32" s="5"/>
      <c r="P32" s="5">
        <v>5282</v>
      </c>
      <c r="Q32" s="5">
        <v>996</v>
      </c>
      <c r="R32" s="5">
        <v>1175</v>
      </c>
      <c r="S32" s="5">
        <v>924</v>
      </c>
      <c r="T32" s="5">
        <v>3604</v>
      </c>
      <c r="U32" s="5"/>
      <c r="V32" s="5"/>
      <c r="W32" s="5">
        <v>9313</v>
      </c>
      <c r="X32" s="5">
        <v>0</v>
      </c>
      <c r="Y32" s="5">
        <v>912</v>
      </c>
      <c r="Z32" s="5">
        <v>40</v>
      </c>
      <c r="AA32" s="155"/>
      <c r="AB32" s="5">
        <v>16</v>
      </c>
      <c r="AC32" s="5">
        <v>0</v>
      </c>
      <c r="AD32" s="5">
        <v>9</v>
      </c>
      <c r="AE32" s="5">
        <v>18</v>
      </c>
      <c r="AF32" s="5">
        <v>9</v>
      </c>
      <c r="AG32" s="5">
        <v>23</v>
      </c>
      <c r="AH32" s="5"/>
      <c r="AI32" s="5"/>
      <c r="AJ32" s="5">
        <v>63</v>
      </c>
      <c r="AK32" s="5">
        <v>0</v>
      </c>
      <c r="AL32" s="5">
        <v>42783</v>
      </c>
      <c r="AM32" s="5">
        <v>2500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753</v>
      </c>
      <c r="AT32" s="5" t="s">
        <v>82</v>
      </c>
      <c r="AU32" s="5">
        <v>632</v>
      </c>
      <c r="AV32" s="5">
        <v>657</v>
      </c>
      <c r="AW32" s="5">
        <v>1268</v>
      </c>
      <c r="AX32" s="5">
        <v>1269</v>
      </c>
      <c r="AY32" s="155"/>
      <c r="AZ32" s="155"/>
      <c r="BA32" s="155">
        <v>0</v>
      </c>
      <c r="BB32" s="155"/>
      <c r="BC32" s="5">
        <v>1893</v>
      </c>
      <c r="BD32" s="5"/>
      <c r="BE32" s="5">
        <v>45660</v>
      </c>
      <c r="BF32" s="5">
        <v>99361</v>
      </c>
      <c r="BG32" s="5">
        <v>174</v>
      </c>
      <c r="BH32" s="5">
        <v>0</v>
      </c>
      <c r="BI32" s="5">
        <v>0</v>
      </c>
      <c r="BJ32" s="5">
        <v>2648</v>
      </c>
      <c r="BK32" s="5">
        <v>189</v>
      </c>
      <c r="BL32" s="5">
        <v>2625</v>
      </c>
      <c r="BM32" s="5"/>
      <c r="BN32" s="5">
        <v>501</v>
      </c>
      <c r="BO32" s="5">
        <v>191</v>
      </c>
      <c r="BP32" s="5">
        <v>0</v>
      </c>
      <c r="BQ32" s="5">
        <v>3063</v>
      </c>
      <c r="BR32" s="5">
        <v>7963</v>
      </c>
      <c r="BS32" s="5">
        <v>25</v>
      </c>
      <c r="BT32" s="5">
        <v>0</v>
      </c>
      <c r="BU32" s="5">
        <v>0</v>
      </c>
      <c r="BV32" s="5"/>
      <c r="BW32" s="5">
        <v>7</v>
      </c>
      <c r="BX32" s="5">
        <v>329</v>
      </c>
      <c r="BY32" s="5"/>
      <c r="BZ32" s="5">
        <v>5332</v>
      </c>
      <c r="CA32" s="5">
        <v>0</v>
      </c>
      <c r="CB32" s="5">
        <v>0</v>
      </c>
      <c r="CC32" s="5">
        <v>7063</v>
      </c>
      <c r="CD32" s="5">
        <v>5798</v>
      </c>
      <c r="CE32" s="5">
        <v>2094</v>
      </c>
      <c r="CF32" s="5">
        <v>2656</v>
      </c>
      <c r="CG32" s="5">
        <v>0</v>
      </c>
      <c r="CH32" s="5">
        <v>1</v>
      </c>
      <c r="CI32" s="5">
        <v>168</v>
      </c>
      <c r="CJ32" s="5">
        <v>1136</v>
      </c>
      <c r="CK32" s="5">
        <v>178</v>
      </c>
      <c r="CL32" s="5"/>
      <c r="CM32" s="5"/>
      <c r="CN32" s="5"/>
      <c r="CO32" s="5"/>
      <c r="CP32" s="5"/>
      <c r="CQ32" s="5"/>
      <c r="CR32" s="5"/>
      <c r="CS32" s="5"/>
      <c r="CT32" s="5" t="s">
        <v>82</v>
      </c>
      <c r="CU32" s="5" t="s">
        <v>82</v>
      </c>
      <c r="CV32" s="5" t="s">
        <v>82</v>
      </c>
      <c r="CW32" s="5">
        <v>0</v>
      </c>
      <c r="CX32" s="5">
        <v>0</v>
      </c>
      <c r="CY32" s="5">
        <v>0</v>
      </c>
      <c r="DD32" s="6">
        <f t="shared" si="1"/>
        <v>187162</v>
      </c>
      <c r="DE32" s="6">
        <f t="shared" si="2"/>
        <v>109959</v>
      </c>
      <c r="DF32" s="16">
        <f t="shared" si="3"/>
        <v>297121</v>
      </c>
      <c r="DK32" s="6">
        <f t="shared" si="4"/>
        <v>53510</v>
      </c>
      <c r="DL32" s="6">
        <f t="shared" si="5"/>
        <v>51553</v>
      </c>
      <c r="DM32" s="6">
        <f t="shared" si="14"/>
        <v>3604</v>
      </c>
      <c r="DN32" s="6">
        <f t="shared" si="15"/>
        <v>1292</v>
      </c>
      <c r="DO32" s="6">
        <f t="shared" si="6"/>
        <v>124930</v>
      </c>
      <c r="DP32" s="6">
        <f t="shared" si="16"/>
        <v>49224</v>
      </c>
      <c r="DQ32" s="6"/>
      <c r="DR32" s="6">
        <f t="shared" si="7"/>
        <v>7231</v>
      </c>
      <c r="DS32" s="6">
        <f t="shared" si="8"/>
        <v>0</v>
      </c>
      <c r="DT32" s="6">
        <f t="shared" si="9"/>
        <v>5776</v>
      </c>
      <c r="DU32" s="6"/>
      <c r="DV32" s="6"/>
      <c r="DW32" s="6">
        <f t="shared" si="10"/>
        <v>297120</v>
      </c>
      <c r="DY32" s="6">
        <f t="shared" si="11"/>
        <v>130706</v>
      </c>
      <c r="DZ32" s="6">
        <f t="shared" si="12"/>
        <v>0</v>
      </c>
      <c r="EB32" s="6">
        <f t="shared" si="13"/>
        <v>297121</v>
      </c>
      <c r="EC32" s="6"/>
      <c r="ED32" s="6"/>
      <c r="EF32" s="6"/>
      <c r="EG32" s="6"/>
    </row>
    <row r="33" spans="2:137" ht="14">
      <c r="B33" s="4">
        <v>32964</v>
      </c>
      <c r="C33" s="5">
        <v>0</v>
      </c>
      <c r="D33" s="5">
        <v>0</v>
      </c>
      <c r="E33" s="5">
        <v>0</v>
      </c>
      <c r="F33" s="5" t="s">
        <v>82</v>
      </c>
      <c r="G33" s="5" t="s">
        <v>82</v>
      </c>
      <c r="H33" s="5">
        <v>0</v>
      </c>
      <c r="I33" s="5">
        <v>0</v>
      </c>
      <c r="J33" s="5">
        <v>0</v>
      </c>
      <c r="K33" s="5">
        <v>0</v>
      </c>
      <c r="L33" s="5"/>
      <c r="M33" s="5">
        <v>33284</v>
      </c>
      <c r="N33" s="5">
        <v>2520</v>
      </c>
      <c r="O33" s="5"/>
      <c r="P33" s="5">
        <v>5370</v>
      </c>
      <c r="Q33" s="5">
        <v>1003</v>
      </c>
      <c r="R33" s="5">
        <v>1180</v>
      </c>
      <c r="S33" s="5">
        <v>930</v>
      </c>
      <c r="T33" s="5">
        <v>3853</v>
      </c>
      <c r="U33" s="5"/>
      <c r="V33" s="5"/>
      <c r="W33" s="5">
        <v>9266</v>
      </c>
      <c r="X33" s="5">
        <v>0</v>
      </c>
      <c r="Y33" s="5">
        <v>908</v>
      </c>
      <c r="Z33" s="5">
        <v>41</v>
      </c>
      <c r="AA33" s="155"/>
      <c r="AB33" s="5">
        <v>16</v>
      </c>
      <c r="AC33" s="5">
        <v>0</v>
      </c>
      <c r="AD33" s="5">
        <v>9</v>
      </c>
      <c r="AE33" s="5">
        <v>18</v>
      </c>
      <c r="AF33" s="5">
        <v>9</v>
      </c>
      <c r="AG33" s="5">
        <v>22</v>
      </c>
      <c r="AH33" s="5"/>
      <c r="AI33" s="5"/>
      <c r="AJ33" s="5">
        <v>64</v>
      </c>
      <c r="AK33" s="5">
        <v>0</v>
      </c>
      <c r="AL33" s="5">
        <v>42962</v>
      </c>
      <c r="AM33" s="5">
        <v>2503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802</v>
      </c>
      <c r="AT33" s="5" t="s">
        <v>82</v>
      </c>
      <c r="AU33" s="5">
        <v>640</v>
      </c>
      <c r="AV33" s="5">
        <v>679</v>
      </c>
      <c r="AW33" s="5">
        <v>1268</v>
      </c>
      <c r="AX33" s="5">
        <v>1336</v>
      </c>
      <c r="AY33" s="155"/>
      <c r="AZ33" s="155"/>
      <c r="BA33" s="155">
        <v>0</v>
      </c>
      <c r="BB33" s="155"/>
      <c r="BC33" s="5">
        <v>1885</v>
      </c>
      <c r="BD33" s="5"/>
      <c r="BE33" s="5">
        <v>46063</v>
      </c>
      <c r="BF33" s="5">
        <v>100177</v>
      </c>
      <c r="BG33" s="5">
        <v>175</v>
      </c>
      <c r="BH33" s="5">
        <v>0</v>
      </c>
      <c r="BI33" s="5">
        <v>0</v>
      </c>
      <c r="BJ33" s="5">
        <v>2693</v>
      </c>
      <c r="BK33" s="5">
        <v>195</v>
      </c>
      <c r="BL33" s="5">
        <v>2657</v>
      </c>
      <c r="BM33" s="5"/>
      <c r="BN33" s="5">
        <v>527</v>
      </c>
      <c r="BO33" s="5">
        <v>203</v>
      </c>
      <c r="BP33" s="5">
        <v>0</v>
      </c>
      <c r="BQ33" s="5">
        <v>3051</v>
      </c>
      <c r="BR33" s="5">
        <v>8025</v>
      </c>
      <c r="BS33" s="5">
        <v>24</v>
      </c>
      <c r="BT33" s="5">
        <v>0</v>
      </c>
      <c r="BU33" s="5">
        <v>0</v>
      </c>
      <c r="BV33" s="5"/>
      <c r="BW33" s="5">
        <v>6</v>
      </c>
      <c r="BX33" s="5">
        <v>326</v>
      </c>
      <c r="BY33" s="5"/>
      <c r="BZ33" s="5">
        <v>5493</v>
      </c>
      <c r="CA33" s="5">
        <v>0</v>
      </c>
      <c r="CB33" s="5">
        <v>0</v>
      </c>
      <c r="CC33" s="5">
        <v>7540</v>
      </c>
      <c r="CD33" s="5">
        <v>6223</v>
      </c>
      <c r="CE33" s="5">
        <v>2136</v>
      </c>
      <c r="CF33" s="5">
        <v>2765</v>
      </c>
      <c r="CG33" s="5">
        <v>0</v>
      </c>
      <c r="CH33" s="5">
        <v>1</v>
      </c>
      <c r="CI33" s="5">
        <v>179</v>
      </c>
      <c r="CJ33" s="5">
        <v>1229</v>
      </c>
      <c r="CK33" s="5">
        <v>180</v>
      </c>
      <c r="CL33" s="5"/>
      <c r="CM33" s="5"/>
      <c r="CN33" s="5"/>
      <c r="CO33" s="5"/>
      <c r="CP33" s="5"/>
      <c r="CQ33" s="5"/>
      <c r="CR33" s="5"/>
      <c r="CS33" s="5"/>
      <c r="CT33" s="5" t="s">
        <v>82</v>
      </c>
      <c r="CU33" s="5" t="s">
        <v>82</v>
      </c>
      <c r="CV33" s="5" t="s">
        <v>82</v>
      </c>
      <c r="CW33" s="5">
        <v>0</v>
      </c>
      <c r="CX33" s="5">
        <v>0</v>
      </c>
      <c r="CY33" s="5">
        <v>0</v>
      </c>
      <c r="DA33" s="6"/>
      <c r="DD33" s="6">
        <f t="shared" si="1"/>
        <v>189868</v>
      </c>
      <c r="DE33" s="6">
        <f t="shared" si="2"/>
        <v>110568</v>
      </c>
      <c r="DF33" s="16">
        <f t="shared" si="3"/>
        <v>300436</v>
      </c>
      <c r="DK33" s="6">
        <f t="shared" si="4"/>
        <v>53553</v>
      </c>
      <c r="DL33" s="6">
        <f t="shared" si="5"/>
        <v>51804</v>
      </c>
      <c r="DM33" s="6">
        <f t="shared" si="14"/>
        <v>3853</v>
      </c>
      <c r="DN33" s="6">
        <f t="shared" si="15"/>
        <v>1358</v>
      </c>
      <c r="DO33" s="6">
        <f t="shared" si="6"/>
        <v>126656</v>
      </c>
      <c r="DP33" s="6">
        <f t="shared" si="16"/>
        <v>49641</v>
      </c>
      <c r="DQ33" s="6"/>
      <c r="DR33" s="6">
        <f t="shared" si="7"/>
        <v>7719</v>
      </c>
      <c r="DS33" s="6">
        <f t="shared" si="8"/>
        <v>0</v>
      </c>
      <c r="DT33" s="6">
        <f t="shared" si="9"/>
        <v>5851</v>
      </c>
      <c r="DU33" s="6"/>
      <c r="DV33" s="6"/>
      <c r="DW33" s="6">
        <f t="shared" si="10"/>
        <v>300435</v>
      </c>
      <c r="DY33" s="6">
        <f t="shared" si="11"/>
        <v>132507</v>
      </c>
      <c r="DZ33" s="6">
        <f t="shared" si="12"/>
        <v>0</v>
      </c>
      <c r="EB33" s="6">
        <f t="shared" si="13"/>
        <v>300436</v>
      </c>
      <c r="EC33" s="6"/>
      <c r="ED33" s="6"/>
      <c r="EF33" s="6"/>
      <c r="EG33" s="6"/>
    </row>
    <row r="34" spans="2:137" ht="14">
      <c r="B34" s="4">
        <v>32994</v>
      </c>
      <c r="C34" s="5">
        <v>0</v>
      </c>
      <c r="D34" s="5">
        <v>0</v>
      </c>
      <c r="E34" s="5">
        <v>0</v>
      </c>
      <c r="F34" s="5" t="s">
        <v>82</v>
      </c>
      <c r="G34" s="5" t="s">
        <v>82</v>
      </c>
      <c r="H34" s="5">
        <v>0</v>
      </c>
      <c r="I34" s="5">
        <v>0</v>
      </c>
      <c r="J34" s="5">
        <v>0</v>
      </c>
      <c r="K34" s="5">
        <v>0</v>
      </c>
      <c r="L34" s="5"/>
      <c r="M34" s="5">
        <v>33206</v>
      </c>
      <c r="N34" s="5">
        <v>2538</v>
      </c>
      <c r="O34" s="5"/>
      <c r="P34" s="5">
        <v>5461</v>
      </c>
      <c r="Q34" s="5">
        <v>1022</v>
      </c>
      <c r="R34" s="5">
        <v>1183</v>
      </c>
      <c r="S34" s="5">
        <v>950</v>
      </c>
      <c r="T34" s="5">
        <v>4068</v>
      </c>
      <c r="U34" s="5"/>
      <c r="V34" s="5"/>
      <c r="W34" s="5">
        <v>9293</v>
      </c>
      <c r="X34" s="5">
        <v>0</v>
      </c>
      <c r="Y34" s="5">
        <v>897</v>
      </c>
      <c r="Z34" s="5">
        <v>42</v>
      </c>
      <c r="AA34" s="155"/>
      <c r="AB34" s="5">
        <v>12</v>
      </c>
      <c r="AC34" s="5">
        <v>0</v>
      </c>
      <c r="AD34" s="5">
        <v>9</v>
      </c>
      <c r="AE34" s="5">
        <v>18</v>
      </c>
      <c r="AF34" s="5">
        <v>9</v>
      </c>
      <c r="AG34" s="5">
        <v>25</v>
      </c>
      <c r="AH34" s="5"/>
      <c r="AI34" s="5"/>
      <c r="AJ34" s="5">
        <v>60</v>
      </c>
      <c r="AK34" s="5">
        <v>0</v>
      </c>
      <c r="AL34" s="5">
        <v>43059</v>
      </c>
      <c r="AM34" s="5">
        <v>2503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849</v>
      </c>
      <c r="AT34" s="5" t="s">
        <v>82</v>
      </c>
      <c r="AU34" s="5">
        <v>635</v>
      </c>
      <c r="AV34" s="5">
        <v>690</v>
      </c>
      <c r="AW34" s="5">
        <v>1266</v>
      </c>
      <c r="AX34" s="5">
        <v>1441</v>
      </c>
      <c r="AY34" s="155"/>
      <c r="AZ34" s="155"/>
      <c r="BA34" s="155">
        <v>0</v>
      </c>
      <c r="BB34" s="155"/>
      <c r="BC34" s="5">
        <v>1858</v>
      </c>
      <c r="BD34" s="5"/>
      <c r="BE34" s="5">
        <v>45948</v>
      </c>
      <c r="BF34" s="5">
        <v>100271</v>
      </c>
      <c r="BG34" s="5">
        <v>173</v>
      </c>
      <c r="BH34" s="5">
        <v>0</v>
      </c>
      <c r="BI34" s="5">
        <v>0</v>
      </c>
      <c r="BJ34" s="5">
        <v>2743</v>
      </c>
      <c r="BK34" s="5">
        <v>186</v>
      </c>
      <c r="BL34" s="5">
        <v>2623</v>
      </c>
      <c r="BM34" s="5"/>
      <c r="BN34" s="5">
        <v>554</v>
      </c>
      <c r="BO34" s="5">
        <v>207</v>
      </c>
      <c r="BP34" s="5">
        <v>0</v>
      </c>
      <c r="BQ34" s="5">
        <v>3167</v>
      </c>
      <c r="BR34" s="5">
        <v>8262</v>
      </c>
      <c r="BS34" s="5">
        <v>24</v>
      </c>
      <c r="BT34" s="5">
        <v>0</v>
      </c>
      <c r="BU34" s="5">
        <v>0</v>
      </c>
      <c r="BV34" s="5"/>
      <c r="BW34" s="5">
        <v>7</v>
      </c>
      <c r="BX34" s="5">
        <v>316</v>
      </c>
      <c r="BY34" s="5"/>
      <c r="BZ34" s="5">
        <v>5509</v>
      </c>
      <c r="CA34" s="5">
        <v>0</v>
      </c>
      <c r="CB34" s="5">
        <v>0</v>
      </c>
      <c r="CC34" s="5">
        <v>7890</v>
      </c>
      <c r="CD34" s="5">
        <v>7695</v>
      </c>
      <c r="CE34" s="5">
        <v>2048</v>
      </c>
      <c r="CF34" s="5">
        <v>2778</v>
      </c>
      <c r="CG34" s="5">
        <v>0</v>
      </c>
      <c r="CH34" s="5">
        <v>0</v>
      </c>
      <c r="CI34" s="5">
        <v>158</v>
      </c>
      <c r="CJ34" s="5">
        <v>1180</v>
      </c>
      <c r="CK34" s="5">
        <v>167</v>
      </c>
      <c r="CL34" s="5"/>
      <c r="CM34" s="5"/>
      <c r="CN34" s="5"/>
      <c r="CO34" s="5"/>
      <c r="CP34" s="5"/>
      <c r="CQ34" s="5"/>
      <c r="CR34" s="5"/>
      <c r="CS34" s="5"/>
      <c r="CT34" s="5" t="s">
        <v>82</v>
      </c>
      <c r="CU34" s="5" t="s">
        <v>82</v>
      </c>
      <c r="CV34" s="5" t="s">
        <v>82</v>
      </c>
      <c r="CW34" s="5">
        <v>0</v>
      </c>
      <c r="CX34" s="5">
        <v>0</v>
      </c>
      <c r="CY34" s="5">
        <v>0</v>
      </c>
      <c r="DA34" s="6"/>
      <c r="DD34" s="6">
        <f t="shared" si="1"/>
        <v>191906</v>
      </c>
      <c r="DE34" s="6">
        <f t="shared" si="2"/>
        <v>111094</v>
      </c>
      <c r="DF34" s="16">
        <f t="shared" si="3"/>
        <v>303000</v>
      </c>
      <c r="DK34" s="6">
        <f t="shared" si="4"/>
        <v>53653</v>
      </c>
      <c r="DL34" s="6">
        <f t="shared" si="5"/>
        <v>51907</v>
      </c>
      <c r="DM34" s="6">
        <f t="shared" si="14"/>
        <v>4068</v>
      </c>
      <c r="DN34" s="6">
        <f t="shared" si="15"/>
        <v>1466</v>
      </c>
      <c r="DO34" s="6">
        <f t="shared" si="6"/>
        <v>128334</v>
      </c>
      <c r="DP34" s="6">
        <f t="shared" si="16"/>
        <v>49669</v>
      </c>
      <c r="DQ34" s="6"/>
      <c r="DR34" s="6">
        <f t="shared" si="7"/>
        <v>8048</v>
      </c>
      <c r="DS34" s="6">
        <f t="shared" si="8"/>
        <v>0</v>
      </c>
      <c r="DT34" s="6">
        <f t="shared" si="9"/>
        <v>5855</v>
      </c>
      <c r="DU34" s="6"/>
      <c r="DV34" s="6"/>
      <c r="DW34" s="6">
        <f t="shared" si="10"/>
        <v>303000</v>
      </c>
      <c r="DY34" s="6">
        <f t="shared" si="11"/>
        <v>134189</v>
      </c>
      <c r="DZ34" s="6">
        <f t="shared" si="12"/>
        <v>0</v>
      </c>
      <c r="EB34" s="6">
        <f t="shared" si="13"/>
        <v>303000</v>
      </c>
      <c r="EC34" s="6"/>
      <c r="ED34" s="6"/>
      <c r="EF34" s="6"/>
      <c r="EG34" s="6"/>
    </row>
    <row r="35" spans="2:137" ht="14">
      <c r="B35" s="4">
        <v>33025</v>
      </c>
      <c r="C35" s="5">
        <v>0</v>
      </c>
      <c r="D35" s="5">
        <v>0</v>
      </c>
      <c r="E35" s="5">
        <v>0</v>
      </c>
      <c r="F35" s="5" t="s">
        <v>82</v>
      </c>
      <c r="G35" s="5" t="s">
        <v>82</v>
      </c>
      <c r="H35" s="5">
        <v>0</v>
      </c>
      <c r="I35" s="5">
        <v>0</v>
      </c>
      <c r="J35" s="5">
        <v>0</v>
      </c>
      <c r="K35" s="5">
        <v>0</v>
      </c>
      <c r="L35" s="5"/>
      <c r="M35" s="5">
        <v>33310</v>
      </c>
      <c r="N35" s="5">
        <v>2538</v>
      </c>
      <c r="O35" s="5"/>
      <c r="P35" s="5">
        <v>5616</v>
      </c>
      <c r="Q35" s="5">
        <v>1031</v>
      </c>
      <c r="R35" s="5">
        <v>1200</v>
      </c>
      <c r="S35" s="5">
        <v>976</v>
      </c>
      <c r="T35" s="5">
        <v>4282</v>
      </c>
      <c r="U35" s="5"/>
      <c r="V35" s="5"/>
      <c r="W35" s="5">
        <v>9342</v>
      </c>
      <c r="X35" s="5">
        <v>0</v>
      </c>
      <c r="Y35" s="5">
        <v>901</v>
      </c>
      <c r="Z35" s="5">
        <v>45</v>
      </c>
      <c r="AA35" s="155"/>
      <c r="AB35" s="5">
        <v>12</v>
      </c>
      <c r="AC35" s="5">
        <v>0</v>
      </c>
      <c r="AD35" s="5">
        <v>8</v>
      </c>
      <c r="AE35" s="5">
        <v>21</v>
      </c>
      <c r="AF35" s="5">
        <v>10</v>
      </c>
      <c r="AG35" s="5">
        <v>26</v>
      </c>
      <c r="AH35" s="5"/>
      <c r="AI35" s="5"/>
      <c r="AJ35" s="5">
        <v>57</v>
      </c>
      <c r="AK35" s="5">
        <v>0</v>
      </c>
      <c r="AL35" s="5">
        <v>43366</v>
      </c>
      <c r="AM35" s="5">
        <v>2536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949</v>
      </c>
      <c r="AT35" s="5" t="s">
        <v>82</v>
      </c>
      <c r="AU35" s="5">
        <v>629</v>
      </c>
      <c r="AV35" s="5">
        <v>693</v>
      </c>
      <c r="AW35" s="5">
        <v>1272</v>
      </c>
      <c r="AX35" s="5">
        <v>1542</v>
      </c>
      <c r="AY35" s="155"/>
      <c r="AZ35" s="155"/>
      <c r="BA35" s="155">
        <v>0</v>
      </c>
      <c r="BB35" s="155"/>
      <c r="BC35" s="5">
        <v>1862</v>
      </c>
      <c r="BD35" s="5"/>
      <c r="BE35" s="5">
        <v>46142</v>
      </c>
      <c r="BF35" s="5">
        <v>100959</v>
      </c>
      <c r="BG35" s="5">
        <v>170</v>
      </c>
      <c r="BH35" s="5">
        <v>0</v>
      </c>
      <c r="BI35" s="5">
        <v>0</v>
      </c>
      <c r="BJ35" s="5">
        <v>2739</v>
      </c>
      <c r="BK35" s="5">
        <v>174</v>
      </c>
      <c r="BL35" s="5">
        <v>2662</v>
      </c>
      <c r="BM35" s="5"/>
      <c r="BN35" s="5">
        <v>608</v>
      </c>
      <c r="BO35" s="5">
        <v>198</v>
      </c>
      <c r="BP35" s="5">
        <v>0</v>
      </c>
      <c r="BQ35" s="5">
        <v>3452</v>
      </c>
      <c r="BR35" s="5">
        <v>8721</v>
      </c>
      <c r="BS35" s="5">
        <v>26</v>
      </c>
      <c r="BT35" s="5">
        <v>0</v>
      </c>
      <c r="BU35" s="5">
        <v>0</v>
      </c>
      <c r="BV35" s="5"/>
      <c r="BW35" s="5">
        <v>9</v>
      </c>
      <c r="BX35" s="5">
        <v>315</v>
      </c>
      <c r="BY35" s="5"/>
      <c r="BZ35" s="5">
        <v>5639</v>
      </c>
      <c r="CA35" s="5">
        <v>0</v>
      </c>
      <c r="CB35" s="5">
        <v>0</v>
      </c>
      <c r="CC35" s="5">
        <v>8377</v>
      </c>
      <c r="CD35" s="5">
        <v>9852</v>
      </c>
      <c r="CE35" s="5">
        <v>1945</v>
      </c>
      <c r="CF35" s="5">
        <v>2838</v>
      </c>
      <c r="CG35" s="5">
        <v>0</v>
      </c>
      <c r="CH35" s="5">
        <v>0</v>
      </c>
      <c r="CI35" s="5">
        <v>143</v>
      </c>
      <c r="CJ35" s="5">
        <v>1105</v>
      </c>
      <c r="CK35" s="5">
        <v>167</v>
      </c>
      <c r="CL35" s="5"/>
      <c r="CM35" s="5"/>
      <c r="CN35" s="5"/>
      <c r="CO35" s="5"/>
      <c r="CP35" s="5"/>
      <c r="CQ35" s="5"/>
      <c r="CR35" s="5"/>
      <c r="CS35" s="5"/>
      <c r="CT35" s="5" t="s">
        <v>82</v>
      </c>
      <c r="CU35" s="5" t="s">
        <v>82</v>
      </c>
      <c r="CV35" s="5" t="s">
        <v>82</v>
      </c>
      <c r="CW35" s="5">
        <v>0</v>
      </c>
      <c r="CX35" s="5">
        <v>0</v>
      </c>
      <c r="CY35" s="5">
        <v>0</v>
      </c>
      <c r="DA35" s="6"/>
      <c r="DD35" s="6">
        <f t="shared" si="1"/>
        <v>196241</v>
      </c>
      <c r="DE35" s="6">
        <f t="shared" si="2"/>
        <v>112224</v>
      </c>
      <c r="DF35" s="16">
        <f t="shared" si="3"/>
        <v>308465</v>
      </c>
      <c r="DK35" s="6">
        <f t="shared" si="4"/>
        <v>54013</v>
      </c>
      <c r="DL35" s="6">
        <f t="shared" si="5"/>
        <v>52361</v>
      </c>
      <c r="DM35" s="6">
        <f t="shared" ref="DM35:DM98" si="17">T35</f>
        <v>4282</v>
      </c>
      <c r="DN35" s="6">
        <f t="shared" ref="DN35:DN98" si="18">AG35+AX35+AN35+AP35+AQ35+AR35</f>
        <v>1568</v>
      </c>
      <c r="DO35" s="6">
        <f t="shared" si="6"/>
        <v>131633</v>
      </c>
      <c r="DP35" s="6">
        <f t="shared" si="16"/>
        <v>50202</v>
      </c>
      <c r="DQ35" s="6"/>
      <c r="DR35" s="6">
        <f t="shared" si="7"/>
        <v>8520</v>
      </c>
      <c r="DS35" s="6">
        <f t="shared" si="8"/>
        <v>0</v>
      </c>
      <c r="DT35" s="6">
        <f t="shared" si="9"/>
        <v>5886</v>
      </c>
      <c r="DU35" s="6"/>
      <c r="DV35" s="6"/>
      <c r="DW35" s="6">
        <f t="shared" si="10"/>
        <v>308465</v>
      </c>
      <c r="DY35" s="6">
        <f t="shared" si="11"/>
        <v>137519</v>
      </c>
      <c r="DZ35" s="6">
        <f t="shared" si="12"/>
        <v>0</v>
      </c>
      <c r="EB35" s="6">
        <f t="shared" si="13"/>
        <v>308465</v>
      </c>
      <c r="EC35" s="6"/>
      <c r="ED35" s="6"/>
      <c r="EF35" s="6"/>
      <c r="EG35" s="6"/>
    </row>
    <row r="36" spans="2:137" ht="14">
      <c r="B36" s="4">
        <v>33055</v>
      </c>
      <c r="C36" s="5">
        <v>0</v>
      </c>
      <c r="D36" s="5">
        <v>0</v>
      </c>
      <c r="E36" s="5">
        <v>0</v>
      </c>
      <c r="F36" s="5" t="s">
        <v>82</v>
      </c>
      <c r="G36" s="5" t="s">
        <v>82</v>
      </c>
      <c r="H36" s="5">
        <v>0</v>
      </c>
      <c r="I36" s="5">
        <v>0</v>
      </c>
      <c r="J36" s="5">
        <v>0</v>
      </c>
      <c r="K36" s="5">
        <v>0</v>
      </c>
      <c r="L36" s="5"/>
      <c r="M36" s="5">
        <v>33369</v>
      </c>
      <c r="N36" s="5">
        <v>2558</v>
      </c>
      <c r="O36" s="5"/>
      <c r="P36" s="5">
        <v>5755</v>
      </c>
      <c r="Q36" s="5">
        <v>1019</v>
      </c>
      <c r="R36" s="5">
        <v>1205</v>
      </c>
      <c r="S36" s="5">
        <v>982</v>
      </c>
      <c r="T36" s="5">
        <v>4466</v>
      </c>
      <c r="U36" s="5"/>
      <c r="V36" s="5"/>
      <c r="W36" s="5">
        <v>9346</v>
      </c>
      <c r="X36" s="5">
        <v>0</v>
      </c>
      <c r="Y36" s="5">
        <v>894</v>
      </c>
      <c r="Z36" s="5">
        <v>44</v>
      </c>
      <c r="AA36" s="155"/>
      <c r="AB36" s="5">
        <v>12</v>
      </c>
      <c r="AC36" s="5">
        <v>0</v>
      </c>
      <c r="AD36" s="5">
        <v>8</v>
      </c>
      <c r="AE36" s="5">
        <v>19</v>
      </c>
      <c r="AF36" s="5">
        <v>9</v>
      </c>
      <c r="AG36" s="5">
        <v>32</v>
      </c>
      <c r="AH36" s="5"/>
      <c r="AI36" s="5"/>
      <c r="AJ36" s="5">
        <v>58</v>
      </c>
      <c r="AK36" s="5">
        <v>0</v>
      </c>
      <c r="AL36" s="5">
        <v>43594</v>
      </c>
      <c r="AM36" s="5">
        <v>2559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941</v>
      </c>
      <c r="AT36" s="5" t="s">
        <v>82</v>
      </c>
      <c r="AU36" s="5">
        <v>624</v>
      </c>
      <c r="AV36" s="5">
        <v>719</v>
      </c>
      <c r="AW36" s="5">
        <v>1285</v>
      </c>
      <c r="AX36" s="5">
        <v>1615</v>
      </c>
      <c r="AY36" s="155"/>
      <c r="AZ36" s="155"/>
      <c r="BA36" s="155">
        <v>0</v>
      </c>
      <c r="BB36" s="155"/>
      <c r="BC36" s="5">
        <v>1855</v>
      </c>
      <c r="BD36" s="5"/>
      <c r="BE36" s="5">
        <v>45794</v>
      </c>
      <c r="BF36" s="5">
        <v>100426</v>
      </c>
      <c r="BG36" s="5">
        <v>177</v>
      </c>
      <c r="BH36" s="5">
        <v>0</v>
      </c>
      <c r="BI36" s="5">
        <v>0</v>
      </c>
      <c r="BJ36" s="5">
        <v>2754</v>
      </c>
      <c r="BK36" s="5">
        <v>174</v>
      </c>
      <c r="BL36" s="5">
        <v>2686</v>
      </c>
      <c r="BM36" s="5"/>
      <c r="BN36" s="5">
        <v>668</v>
      </c>
      <c r="BO36" s="5">
        <v>204</v>
      </c>
      <c r="BP36" s="5">
        <v>0</v>
      </c>
      <c r="BQ36" s="5">
        <v>3676</v>
      </c>
      <c r="BR36" s="5">
        <v>9046</v>
      </c>
      <c r="BS36" s="5">
        <v>27</v>
      </c>
      <c r="BT36" s="5">
        <v>0</v>
      </c>
      <c r="BU36" s="5">
        <v>0</v>
      </c>
      <c r="BV36" s="5"/>
      <c r="BW36" s="5">
        <v>10</v>
      </c>
      <c r="BX36" s="5">
        <v>316</v>
      </c>
      <c r="BY36" s="5"/>
      <c r="BZ36" s="5">
        <v>5581</v>
      </c>
      <c r="CA36" s="5">
        <v>0</v>
      </c>
      <c r="CB36" s="5">
        <v>0</v>
      </c>
      <c r="CC36" s="5">
        <v>8689</v>
      </c>
      <c r="CD36" s="5">
        <v>11622</v>
      </c>
      <c r="CE36" s="5">
        <v>1771</v>
      </c>
      <c r="CF36" s="5">
        <v>2886</v>
      </c>
      <c r="CG36" s="5">
        <v>0</v>
      </c>
      <c r="CH36" s="5">
        <v>0</v>
      </c>
      <c r="CI36" s="5">
        <v>139</v>
      </c>
      <c r="CJ36" s="5">
        <v>1023</v>
      </c>
      <c r="CK36" s="5">
        <v>173</v>
      </c>
      <c r="CL36" s="5"/>
      <c r="CM36" s="5"/>
      <c r="CN36" s="5"/>
      <c r="CO36" s="5"/>
      <c r="CP36" s="5"/>
      <c r="CQ36" s="5"/>
      <c r="CR36" s="5"/>
      <c r="CS36" s="5"/>
      <c r="CT36" s="5" t="s">
        <v>82</v>
      </c>
      <c r="CU36" s="5" t="s">
        <v>82</v>
      </c>
      <c r="CV36" s="5" t="s">
        <v>82</v>
      </c>
      <c r="CW36" s="5">
        <v>0</v>
      </c>
      <c r="CX36" s="5">
        <v>0</v>
      </c>
      <c r="CY36" s="5">
        <v>0</v>
      </c>
      <c r="DA36" s="6"/>
      <c r="DD36" s="6">
        <f t="shared" si="1"/>
        <v>197842</v>
      </c>
      <c r="DE36" s="6">
        <f t="shared" si="2"/>
        <v>112968</v>
      </c>
      <c r="DF36" s="16">
        <f t="shared" si="3"/>
        <v>310810</v>
      </c>
      <c r="DK36" s="6">
        <f t="shared" si="4"/>
        <v>54234</v>
      </c>
      <c r="DL36" s="6">
        <f t="shared" si="5"/>
        <v>52621</v>
      </c>
      <c r="DM36" s="6">
        <f t="shared" si="17"/>
        <v>4466</v>
      </c>
      <c r="DN36" s="6">
        <f t="shared" si="18"/>
        <v>1647</v>
      </c>
      <c r="DO36" s="6">
        <f t="shared" si="6"/>
        <v>132943</v>
      </c>
      <c r="DP36" s="6">
        <f t="shared" si="16"/>
        <v>50138</v>
      </c>
      <c r="DQ36" s="6"/>
      <c r="DR36" s="6">
        <f t="shared" si="7"/>
        <v>8828</v>
      </c>
      <c r="DS36" s="6">
        <f t="shared" si="8"/>
        <v>0</v>
      </c>
      <c r="DT36" s="6">
        <f t="shared" si="9"/>
        <v>5933</v>
      </c>
      <c r="DU36" s="6"/>
      <c r="DV36" s="6"/>
      <c r="DW36" s="6">
        <f t="shared" si="10"/>
        <v>310810</v>
      </c>
      <c r="DY36" s="6">
        <f t="shared" si="11"/>
        <v>138876</v>
      </c>
      <c r="DZ36" s="6">
        <f t="shared" si="12"/>
        <v>0</v>
      </c>
      <c r="EB36" s="6">
        <f t="shared" si="13"/>
        <v>310810</v>
      </c>
      <c r="EC36" s="6"/>
      <c r="ED36" s="6"/>
      <c r="EF36" s="6"/>
      <c r="EG36" s="6"/>
    </row>
    <row r="37" spans="2:137" ht="14">
      <c r="B37" s="4">
        <v>33086</v>
      </c>
      <c r="C37" s="5">
        <v>0</v>
      </c>
      <c r="D37" s="5">
        <v>0</v>
      </c>
      <c r="E37" s="5">
        <v>0</v>
      </c>
      <c r="F37" s="5" t="s">
        <v>82</v>
      </c>
      <c r="G37" s="5" t="s">
        <v>82</v>
      </c>
      <c r="H37" s="5">
        <v>0</v>
      </c>
      <c r="I37" s="5">
        <v>0</v>
      </c>
      <c r="J37" s="5">
        <v>0</v>
      </c>
      <c r="K37" s="5">
        <v>0</v>
      </c>
      <c r="L37" s="5"/>
      <c r="M37" s="5">
        <v>33493</v>
      </c>
      <c r="N37" s="5">
        <v>2549</v>
      </c>
      <c r="O37" s="5"/>
      <c r="P37" s="5">
        <v>5871</v>
      </c>
      <c r="Q37" s="5">
        <v>1031</v>
      </c>
      <c r="R37" s="5">
        <v>1221</v>
      </c>
      <c r="S37" s="5">
        <v>1004</v>
      </c>
      <c r="T37" s="5">
        <v>4584</v>
      </c>
      <c r="U37" s="5"/>
      <c r="V37" s="5"/>
      <c r="W37" s="5">
        <v>9306</v>
      </c>
      <c r="X37" s="5">
        <v>0</v>
      </c>
      <c r="Y37" s="5">
        <v>895</v>
      </c>
      <c r="Z37" s="5">
        <v>45</v>
      </c>
      <c r="AA37" s="155"/>
      <c r="AB37" s="5">
        <v>17</v>
      </c>
      <c r="AC37" s="5">
        <v>0</v>
      </c>
      <c r="AD37" s="5">
        <v>8</v>
      </c>
      <c r="AE37" s="5">
        <v>18</v>
      </c>
      <c r="AF37" s="5">
        <v>9</v>
      </c>
      <c r="AG37" s="5">
        <v>33</v>
      </c>
      <c r="AH37" s="5"/>
      <c r="AI37" s="5"/>
      <c r="AJ37" s="5">
        <v>56</v>
      </c>
      <c r="AK37" s="5">
        <v>0</v>
      </c>
      <c r="AL37" s="5">
        <v>43889</v>
      </c>
      <c r="AM37" s="5">
        <v>2577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980</v>
      </c>
      <c r="AT37" s="5" t="s">
        <v>82</v>
      </c>
      <c r="AU37" s="5">
        <v>628</v>
      </c>
      <c r="AV37" s="5">
        <v>715</v>
      </c>
      <c r="AW37" s="5">
        <v>1285</v>
      </c>
      <c r="AX37" s="5">
        <v>1694</v>
      </c>
      <c r="AY37" s="155"/>
      <c r="AZ37" s="155"/>
      <c r="BA37" s="155">
        <v>0</v>
      </c>
      <c r="BB37" s="155"/>
      <c r="BC37" s="5">
        <v>1855</v>
      </c>
      <c r="BD37" s="5"/>
      <c r="BE37" s="5">
        <v>45945</v>
      </c>
      <c r="BF37" s="5">
        <v>100543</v>
      </c>
      <c r="BG37" s="5">
        <v>180</v>
      </c>
      <c r="BH37" s="5">
        <v>0</v>
      </c>
      <c r="BI37" s="5">
        <v>0</v>
      </c>
      <c r="BJ37" s="5">
        <v>2768</v>
      </c>
      <c r="BK37" s="5">
        <v>172</v>
      </c>
      <c r="BL37" s="5">
        <v>2700</v>
      </c>
      <c r="BM37" s="5"/>
      <c r="BN37" s="5">
        <v>677</v>
      </c>
      <c r="BO37" s="5">
        <v>205</v>
      </c>
      <c r="BP37" s="5">
        <v>0</v>
      </c>
      <c r="BQ37" s="5">
        <v>3948</v>
      </c>
      <c r="BR37" s="5">
        <v>9488</v>
      </c>
      <c r="BS37" s="5">
        <v>28</v>
      </c>
      <c r="BT37" s="5">
        <v>0</v>
      </c>
      <c r="BU37" s="5">
        <v>0</v>
      </c>
      <c r="BV37" s="5"/>
      <c r="BW37" s="5">
        <v>13</v>
      </c>
      <c r="BX37" s="5">
        <v>315</v>
      </c>
      <c r="BY37" s="5"/>
      <c r="BZ37" s="5">
        <v>5527</v>
      </c>
      <c r="CA37" s="5">
        <v>0</v>
      </c>
      <c r="CB37" s="5">
        <v>0</v>
      </c>
      <c r="CC37" s="5">
        <v>8974</v>
      </c>
      <c r="CD37" s="5">
        <v>13305</v>
      </c>
      <c r="CE37" s="5">
        <v>1704</v>
      </c>
      <c r="CF37" s="5">
        <v>2933</v>
      </c>
      <c r="CG37" s="5">
        <v>0</v>
      </c>
      <c r="CH37" s="5">
        <v>0</v>
      </c>
      <c r="CI37" s="5">
        <v>137</v>
      </c>
      <c r="CJ37" s="5">
        <v>950</v>
      </c>
      <c r="CK37" s="5">
        <v>198</v>
      </c>
      <c r="CL37" s="5"/>
      <c r="CM37" s="5"/>
      <c r="CN37" s="5"/>
      <c r="CO37" s="5"/>
      <c r="CP37" s="5"/>
      <c r="CQ37" s="5"/>
      <c r="CR37" s="5"/>
      <c r="CS37" s="5"/>
      <c r="CT37" s="5" t="s">
        <v>82</v>
      </c>
      <c r="CU37" s="5" t="s">
        <v>82</v>
      </c>
      <c r="CV37" s="5" t="s">
        <v>82</v>
      </c>
      <c r="CW37" s="5">
        <v>0</v>
      </c>
      <c r="CX37" s="5">
        <v>0</v>
      </c>
      <c r="CY37" s="5">
        <v>0</v>
      </c>
      <c r="DA37" s="6"/>
      <c r="DD37" s="6">
        <f t="shared" si="1"/>
        <v>200710</v>
      </c>
      <c r="DE37" s="6">
        <f t="shared" si="2"/>
        <v>113763</v>
      </c>
      <c r="DF37" s="16">
        <f t="shared" si="3"/>
        <v>314473</v>
      </c>
      <c r="DK37" s="6">
        <f t="shared" si="4"/>
        <v>54475</v>
      </c>
      <c r="DL37" s="6">
        <f t="shared" si="5"/>
        <v>52977</v>
      </c>
      <c r="DM37" s="6">
        <f t="shared" si="17"/>
        <v>4584</v>
      </c>
      <c r="DN37" s="6">
        <f t="shared" si="18"/>
        <v>1727</v>
      </c>
      <c r="DO37" s="6">
        <f t="shared" si="6"/>
        <v>135066</v>
      </c>
      <c r="DP37" s="6">
        <f t="shared" si="16"/>
        <v>50570</v>
      </c>
      <c r="DQ37" s="6"/>
      <c r="DR37" s="6">
        <f t="shared" si="7"/>
        <v>9111</v>
      </c>
      <c r="DS37" s="6">
        <f t="shared" si="8"/>
        <v>0</v>
      </c>
      <c r="DT37" s="6">
        <f t="shared" si="9"/>
        <v>5963</v>
      </c>
      <c r="DU37" s="6"/>
      <c r="DV37" s="6"/>
      <c r="DW37" s="6">
        <f t="shared" si="10"/>
        <v>314473</v>
      </c>
      <c r="DY37" s="6">
        <f t="shared" si="11"/>
        <v>141029</v>
      </c>
      <c r="DZ37" s="6">
        <f t="shared" si="12"/>
        <v>0</v>
      </c>
      <c r="EB37" s="6">
        <f t="shared" si="13"/>
        <v>314473</v>
      </c>
      <c r="EC37" s="6"/>
      <c r="ED37" s="6"/>
      <c r="EF37" s="6"/>
      <c r="EG37" s="6"/>
    </row>
    <row r="38" spans="2:137" ht="14">
      <c r="B38" s="4">
        <v>33117</v>
      </c>
      <c r="C38" s="5">
        <v>0</v>
      </c>
      <c r="D38" s="5">
        <v>0</v>
      </c>
      <c r="E38" s="5">
        <v>0</v>
      </c>
      <c r="F38" s="5" t="s">
        <v>82</v>
      </c>
      <c r="G38" s="5" t="s">
        <v>82</v>
      </c>
      <c r="H38" s="5">
        <v>0</v>
      </c>
      <c r="I38" s="5">
        <v>0</v>
      </c>
      <c r="J38" s="5">
        <v>0</v>
      </c>
      <c r="K38" s="5">
        <v>0</v>
      </c>
      <c r="L38" s="5"/>
      <c r="M38" s="5">
        <v>33513</v>
      </c>
      <c r="N38" s="5">
        <v>2583</v>
      </c>
      <c r="O38" s="5"/>
      <c r="P38" s="5">
        <v>5949</v>
      </c>
      <c r="Q38" s="5">
        <v>1039</v>
      </c>
      <c r="R38" s="5">
        <v>1219</v>
      </c>
      <c r="S38" s="5">
        <v>1050</v>
      </c>
      <c r="T38" s="5">
        <v>4705</v>
      </c>
      <c r="U38" s="5"/>
      <c r="V38" s="5"/>
      <c r="W38" s="5">
        <v>9308</v>
      </c>
      <c r="X38" s="5">
        <v>0</v>
      </c>
      <c r="Y38" s="5">
        <v>895</v>
      </c>
      <c r="Z38" s="5">
        <v>41</v>
      </c>
      <c r="AA38" s="155"/>
      <c r="AB38" s="5">
        <v>18</v>
      </c>
      <c r="AC38" s="5">
        <v>0</v>
      </c>
      <c r="AD38" s="5">
        <v>7</v>
      </c>
      <c r="AE38" s="5">
        <v>16</v>
      </c>
      <c r="AF38" s="5">
        <v>9</v>
      </c>
      <c r="AG38" s="5">
        <v>32</v>
      </c>
      <c r="AH38" s="5"/>
      <c r="AI38" s="5"/>
      <c r="AJ38" s="5">
        <v>60</v>
      </c>
      <c r="AK38" s="5">
        <v>0</v>
      </c>
      <c r="AL38" s="5">
        <v>44419</v>
      </c>
      <c r="AM38" s="5">
        <v>2606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1028</v>
      </c>
      <c r="AT38" s="5" t="s">
        <v>82</v>
      </c>
      <c r="AU38" s="5">
        <v>643</v>
      </c>
      <c r="AV38" s="5">
        <v>722</v>
      </c>
      <c r="AW38" s="5">
        <v>1289</v>
      </c>
      <c r="AX38" s="5">
        <v>1765</v>
      </c>
      <c r="AY38" s="155"/>
      <c r="AZ38" s="155"/>
      <c r="BA38" s="155">
        <v>0</v>
      </c>
      <c r="BB38" s="155"/>
      <c r="BC38" s="5">
        <v>1862</v>
      </c>
      <c r="BD38" s="5"/>
      <c r="BE38" s="5">
        <v>46423</v>
      </c>
      <c r="BF38" s="5">
        <v>101337</v>
      </c>
      <c r="BG38" s="5">
        <v>180</v>
      </c>
      <c r="BH38" s="5">
        <v>0</v>
      </c>
      <c r="BI38" s="5">
        <v>0</v>
      </c>
      <c r="BJ38" s="5">
        <v>2804</v>
      </c>
      <c r="BK38" s="5">
        <v>182</v>
      </c>
      <c r="BL38" s="5">
        <v>2748</v>
      </c>
      <c r="BM38" s="5"/>
      <c r="BN38" s="5">
        <v>622</v>
      </c>
      <c r="BO38" s="5">
        <v>223</v>
      </c>
      <c r="BP38" s="5">
        <v>0</v>
      </c>
      <c r="BQ38" s="5">
        <v>4323</v>
      </c>
      <c r="BR38" s="5">
        <v>10169</v>
      </c>
      <c r="BS38" s="5">
        <v>29</v>
      </c>
      <c r="BT38" s="5">
        <v>0</v>
      </c>
      <c r="BU38" s="5">
        <v>0</v>
      </c>
      <c r="BV38" s="5"/>
      <c r="BW38" s="5">
        <v>12</v>
      </c>
      <c r="BX38" s="5">
        <v>306</v>
      </c>
      <c r="BY38" s="5"/>
      <c r="BZ38" s="5">
        <v>5524</v>
      </c>
      <c r="CA38" s="5">
        <v>0</v>
      </c>
      <c r="CB38" s="5">
        <v>0</v>
      </c>
      <c r="CC38" s="5">
        <v>9430</v>
      </c>
      <c r="CD38" s="5">
        <v>15267</v>
      </c>
      <c r="CE38" s="5">
        <v>1622</v>
      </c>
      <c r="CF38" s="5">
        <v>3039</v>
      </c>
      <c r="CG38" s="5">
        <v>0</v>
      </c>
      <c r="CH38" s="5">
        <v>0</v>
      </c>
      <c r="CI38" s="5">
        <v>128</v>
      </c>
      <c r="CJ38" s="5">
        <v>894</v>
      </c>
      <c r="CK38" s="5">
        <v>211</v>
      </c>
      <c r="CL38" s="5"/>
      <c r="CM38" s="5"/>
      <c r="CN38" s="5"/>
      <c r="CO38" s="5"/>
      <c r="CP38" s="5"/>
      <c r="CQ38" s="5"/>
      <c r="CR38" s="5"/>
      <c r="CS38" s="5"/>
      <c r="CT38" s="5" t="s">
        <v>82</v>
      </c>
      <c r="CU38" s="5" t="s">
        <v>82</v>
      </c>
      <c r="CV38" s="5" t="s">
        <v>82</v>
      </c>
      <c r="CW38" s="5">
        <v>0</v>
      </c>
      <c r="CX38" s="5">
        <v>0</v>
      </c>
      <c r="CY38" s="5">
        <v>0</v>
      </c>
      <c r="DA38" s="6"/>
      <c r="DD38" s="6">
        <f t="shared" si="1"/>
        <v>205473</v>
      </c>
      <c r="DE38" s="6">
        <f t="shared" si="2"/>
        <v>114778</v>
      </c>
      <c r="DF38" s="16">
        <f t="shared" si="3"/>
        <v>320251</v>
      </c>
      <c r="DK38" s="6">
        <f t="shared" si="4"/>
        <v>54661</v>
      </c>
      <c r="DL38" s="6">
        <f t="shared" si="5"/>
        <v>53615</v>
      </c>
      <c r="DM38" s="6">
        <f t="shared" si="17"/>
        <v>4705</v>
      </c>
      <c r="DN38" s="6">
        <f t="shared" si="18"/>
        <v>1797</v>
      </c>
      <c r="DO38" s="6">
        <f t="shared" si="6"/>
        <v>138509</v>
      </c>
      <c r="DP38" s="6">
        <f t="shared" si="16"/>
        <v>51368</v>
      </c>
      <c r="DQ38" s="6"/>
      <c r="DR38" s="6">
        <f t="shared" si="7"/>
        <v>9558</v>
      </c>
      <c r="DS38" s="6">
        <f t="shared" si="8"/>
        <v>0</v>
      </c>
      <c r="DT38" s="6">
        <f t="shared" si="9"/>
        <v>6038</v>
      </c>
      <c r="DU38" s="6"/>
      <c r="DV38" s="6"/>
      <c r="DW38" s="6">
        <f t="shared" si="10"/>
        <v>320251</v>
      </c>
      <c r="DY38" s="6">
        <f t="shared" si="11"/>
        <v>144547</v>
      </c>
      <c r="DZ38" s="6">
        <f t="shared" si="12"/>
        <v>0</v>
      </c>
      <c r="EB38" s="6">
        <f t="shared" si="13"/>
        <v>320251</v>
      </c>
      <c r="EC38" s="6"/>
      <c r="ED38" s="6"/>
      <c r="EF38" s="6"/>
      <c r="EG38" s="6"/>
    </row>
    <row r="39" spans="2:137" ht="14">
      <c r="B39" s="4">
        <v>33147</v>
      </c>
      <c r="C39" s="5">
        <v>0</v>
      </c>
      <c r="D39" s="5">
        <v>0</v>
      </c>
      <c r="E39" s="5">
        <v>0</v>
      </c>
      <c r="F39" s="5" t="s">
        <v>82</v>
      </c>
      <c r="G39" s="5" t="s">
        <v>82</v>
      </c>
      <c r="H39" s="5">
        <v>0</v>
      </c>
      <c r="I39" s="5">
        <v>0</v>
      </c>
      <c r="J39" s="5">
        <v>0</v>
      </c>
      <c r="K39" s="5">
        <v>0</v>
      </c>
      <c r="L39" s="5"/>
      <c r="M39" s="5">
        <v>33476</v>
      </c>
      <c r="N39" s="5">
        <v>2598</v>
      </c>
      <c r="O39" s="5"/>
      <c r="P39" s="5">
        <v>6033</v>
      </c>
      <c r="Q39" s="5">
        <v>1025</v>
      </c>
      <c r="R39" s="5">
        <v>1240</v>
      </c>
      <c r="S39" s="5">
        <v>1066</v>
      </c>
      <c r="T39" s="5">
        <v>4762</v>
      </c>
      <c r="U39" s="5"/>
      <c r="V39" s="5"/>
      <c r="W39" s="5">
        <v>9325</v>
      </c>
      <c r="X39" s="5">
        <v>0</v>
      </c>
      <c r="Y39" s="5">
        <v>886</v>
      </c>
      <c r="Z39" s="5">
        <v>42</v>
      </c>
      <c r="AA39" s="155"/>
      <c r="AB39" s="5">
        <v>19</v>
      </c>
      <c r="AC39" s="5">
        <v>0</v>
      </c>
      <c r="AD39" s="5">
        <v>6</v>
      </c>
      <c r="AE39" s="5">
        <v>16</v>
      </c>
      <c r="AF39" s="5">
        <v>9</v>
      </c>
      <c r="AG39" s="5">
        <v>34</v>
      </c>
      <c r="AH39" s="5"/>
      <c r="AI39" s="5"/>
      <c r="AJ39" s="5">
        <v>62</v>
      </c>
      <c r="AK39" s="5">
        <v>0</v>
      </c>
      <c r="AL39" s="5">
        <v>44692</v>
      </c>
      <c r="AM39" s="5">
        <v>2612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1095</v>
      </c>
      <c r="AT39" s="5" t="s">
        <v>82</v>
      </c>
      <c r="AU39" s="5">
        <v>640</v>
      </c>
      <c r="AV39" s="5">
        <v>727</v>
      </c>
      <c r="AW39" s="5">
        <v>1299</v>
      </c>
      <c r="AX39" s="5">
        <v>1840</v>
      </c>
      <c r="AY39" s="155"/>
      <c r="AZ39" s="155"/>
      <c r="BA39" s="155">
        <v>0</v>
      </c>
      <c r="BB39" s="155"/>
      <c r="BC39" s="5">
        <v>1837</v>
      </c>
      <c r="BD39" s="5"/>
      <c r="BE39" s="5">
        <v>46533</v>
      </c>
      <c r="BF39" s="5">
        <v>101586</v>
      </c>
      <c r="BG39" s="5">
        <v>181</v>
      </c>
      <c r="BH39" s="5">
        <v>0</v>
      </c>
      <c r="BI39" s="5">
        <v>0</v>
      </c>
      <c r="BJ39" s="5">
        <v>2812</v>
      </c>
      <c r="BK39" s="5">
        <v>172</v>
      </c>
      <c r="BL39" s="5">
        <v>2761</v>
      </c>
      <c r="BM39" s="5"/>
      <c r="BN39" s="5">
        <v>681</v>
      </c>
      <c r="BO39" s="5">
        <v>216</v>
      </c>
      <c r="BP39" s="5">
        <v>0</v>
      </c>
      <c r="BQ39" s="5">
        <v>4419</v>
      </c>
      <c r="BR39" s="5">
        <v>10270</v>
      </c>
      <c r="BS39" s="5">
        <v>29</v>
      </c>
      <c r="BT39" s="5">
        <v>0</v>
      </c>
      <c r="BU39" s="5">
        <v>0</v>
      </c>
      <c r="BV39" s="5"/>
      <c r="BW39" s="5">
        <v>11</v>
      </c>
      <c r="BX39" s="5">
        <v>309</v>
      </c>
      <c r="BY39" s="5"/>
      <c r="BZ39" s="5">
        <v>5464</v>
      </c>
      <c r="CA39" s="5">
        <v>0</v>
      </c>
      <c r="CB39" s="5">
        <v>0</v>
      </c>
      <c r="CC39" s="5">
        <v>9336</v>
      </c>
      <c r="CD39" s="5">
        <v>16579</v>
      </c>
      <c r="CE39" s="5">
        <v>1591</v>
      </c>
      <c r="CF39" s="5">
        <v>3085</v>
      </c>
      <c r="CG39" s="5">
        <v>0</v>
      </c>
      <c r="CH39" s="5">
        <v>0</v>
      </c>
      <c r="CI39" s="5">
        <v>140</v>
      </c>
      <c r="CJ39" s="5">
        <v>851</v>
      </c>
      <c r="CK39" s="5">
        <v>194</v>
      </c>
      <c r="CL39" s="5"/>
      <c r="CM39" s="5"/>
      <c r="CN39" s="5"/>
      <c r="CO39" s="5"/>
      <c r="CP39" s="5"/>
      <c r="CQ39" s="5"/>
      <c r="CR39" s="5"/>
      <c r="CS39" s="5"/>
      <c r="CT39" s="5" t="s">
        <v>82</v>
      </c>
      <c r="CU39" s="5" t="s">
        <v>82</v>
      </c>
      <c r="CV39" s="5" t="s">
        <v>82</v>
      </c>
      <c r="CW39" s="5">
        <v>0</v>
      </c>
      <c r="CX39" s="5">
        <v>0</v>
      </c>
      <c r="CY39" s="5">
        <v>0</v>
      </c>
      <c r="DA39" s="6"/>
      <c r="DD39" s="6">
        <f t="shared" si="1"/>
        <v>207220</v>
      </c>
      <c r="DE39" s="6">
        <f t="shared" si="2"/>
        <v>115341</v>
      </c>
      <c r="DF39" s="16">
        <f t="shared" si="3"/>
        <v>322561</v>
      </c>
      <c r="DK39" s="6">
        <f t="shared" si="4"/>
        <v>54763</v>
      </c>
      <c r="DL39" s="6">
        <f t="shared" si="5"/>
        <v>53942</v>
      </c>
      <c r="DM39" s="6">
        <f t="shared" si="17"/>
        <v>4762</v>
      </c>
      <c r="DN39" s="6">
        <f t="shared" si="18"/>
        <v>1874</v>
      </c>
      <c r="DO39" s="6">
        <f t="shared" si="6"/>
        <v>140048</v>
      </c>
      <c r="DP39" s="6">
        <f t="shared" si="16"/>
        <v>51633</v>
      </c>
      <c r="DQ39" s="6"/>
      <c r="DR39" s="6">
        <f t="shared" si="7"/>
        <v>9476</v>
      </c>
      <c r="DS39" s="6">
        <f t="shared" si="8"/>
        <v>0</v>
      </c>
      <c r="DT39" s="6">
        <f t="shared" si="9"/>
        <v>6063</v>
      </c>
      <c r="DU39" s="6"/>
      <c r="DV39" s="6"/>
      <c r="DW39" s="6">
        <f t="shared" si="10"/>
        <v>322561</v>
      </c>
      <c r="DY39" s="6">
        <f t="shared" si="11"/>
        <v>146111</v>
      </c>
      <c r="DZ39" s="6">
        <f t="shared" si="12"/>
        <v>0</v>
      </c>
      <c r="EB39" s="6">
        <f t="shared" si="13"/>
        <v>322561</v>
      </c>
      <c r="EC39" s="6"/>
      <c r="ED39" s="6"/>
      <c r="EF39" s="6"/>
      <c r="EG39" s="6"/>
    </row>
    <row r="40" spans="2:137" ht="14">
      <c r="B40" s="4">
        <v>33178</v>
      </c>
      <c r="C40" s="5">
        <v>0</v>
      </c>
      <c r="D40" s="5">
        <v>0</v>
      </c>
      <c r="E40" s="5">
        <v>0</v>
      </c>
      <c r="F40" s="5" t="s">
        <v>82</v>
      </c>
      <c r="G40" s="5" t="s">
        <v>82</v>
      </c>
      <c r="H40" s="5">
        <v>0</v>
      </c>
      <c r="I40" s="5">
        <v>0</v>
      </c>
      <c r="J40" s="5">
        <v>0</v>
      </c>
      <c r="K40" s="5">
        <v>0</v>
      </c>
      <c r="L40" s="5"/>
      <c r="M40" s="5">
        <v>33599</v>
      </c>
      <c r="N40" s="5">
        <v>2673</v>
      </c>
      <c r="O40" s="5"/>
      <c r="P40" s="5">
        <v>6127</v>
      </c>
      <c r="Q40" s="5">
        <v>1023</v>
      </c>
      <c r="R40" s="5">
        <v>1234</v>
      </c>
      <c r="S40" s="5">
        <v>1080</v>
      </c>
      <c r="T40" s="5">
        <v>4884</v>
      </c>
      <c r="U40" s="5"/>
      <c r="V40" s="5"/>
      <c r="W40" s="5">
        <v>9305</v>
      </c>
      <c r="X40" s="5">
        <v>0</v>
      </c>
      <c r="Y40" s="5">
        <v>878</v>
      </c>
      <c r="Z40" s="5">
        <v>45</v>
      </c>
      <c r="AA40" s="155"/>
      <c r="AB40" s="5">
        <v>21</v>
      </c>
      <c r="AC40" s="5">
        <v>0</v>
      </c>
      <c r="AD40" s="5">
        <v>6</v>
      </c>
      <c r="AE40" s="5">
        <v>16</v>
      </c>
      <c r="AF40" s="5">
        <v>8</v>
      </c>
      <c r="AG40" s="5">
        <v>34</v>
      </c>
      <c r="AH40" s="5"/>
      <c r="AI40" s="5"/>
      <c r="AJ40" s="5">
        <v>58</v>
      </c>
      <c r="AK40" s="5">
        <v>0</v>
      </c>
      <c r="AL40" s="5">
        <v>45111</v>
      </c>
      <c r="AM40" s="5">
        <v>2640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1107</v>
      </c>
      <c r="AT40" s="5" t="s">
        <v>82</v>
      </c>
      <c r="AU40" s="5">
        <v>637</v>
      </c>
      <c r="AV40" s="5">
        <v>735</v>
      </c>
      <c r="AW40" s="5">
        <v>1283</v>
      </c>
      <c r="AX40" s="5">
        <v>1939</v>
      </c>
      <c r="AY40" s="155"/>
      <c r="AZ40" s="155"/>
      <c r="BA40" s="155">
        <v>0</v>
      </c>
      <c r="BB40" s="155"/>
      <c r="BC40" s="5">
        <v>1863</v>
      </c>
      <c r="BD40" s="5"/>
      <c r="BE40" s="5">
        <v>46827</v>
      </c>
      <c r="BF40" s="5">
        <v>102128</v>
      </c>
      <c r="BG40" s="5">
        <v>184</v>
      </c>
      <c r="BH40" s="5">
        <v>0</v>
      </c>
      <c r="BI40" s="5">
        <v>0</v>
      </c>
      <c r="BJ40" s="5">
        <v>2847</v>
      </c>
      <c r="BK40" s="5">
        <v>172</v>
      </c>
      <c r="BL40" s="5">
        <v>2769</v>
      </c>
      <c r="BM40" s="5"/>
      <c r="BN40" s="5">
        <v>693</v>
      </c>
      <c r="BO40" s="5">
        <v>214</v>
      </c>
      <c r="BP40" s="5">
        <v>0</v>
      </c>
      <c r="BQ40" s="5">
        <v>4588</v>
      </c>
      <c r="BR40" s="5">
        <v>10600</v>
      </c>
      <c r="BS40" s="5">
        <v>30</v>
      </c>
      <c r="BT40" s="5">
        <v>0</v>
      </c>
      <c r="BU40" s="5">
        <v>0</v>
      </c>
      <c r="BV40" s="5"/>
      <c r="BW40" s="5">
        <v>10</v>
      </c>
      <c r="BX40" s="5">
        <v>295</v>
      </c>
      <c r="BY40" s="5"/>
      <c r="BZ40" s="5">
        <v>5523</v>
      </c>
      <c r="CA40" s="5">
        <v>0</v>
      </c>
      <c r="CB40" s="5">
        <v>0</v>
      </c>
      <c r="CC40" s="5">
        <v>9448</v>
      </c>
      <c r="CD40" s="5">
        <v>18147</v>
      </c>
      <c r="CE40" s="5">
        <v>1565</v>
      </c>
      <c r="CF40" s="5">
        <v>3074</v>
      </c>
      <c r="CG40" s="5">
        <v>0</v>
      </c>
      <c r="CH40" s="5">
        <v>0</v>
      </c>
      <c r="CI40" s="5">
        <v>130</v>
      </c>
      <c r="CJ40" s="5">
        <v>804</v>
      </c>
      <c r="CK40" s="5">
        <v>173</v>
      </c>
      <c r="CL40" s="5"/>
      <c r="CM40" s="5"/>
      <c r="CN40" s="5"/>
      <c r="CO40" s="5"/>
      <c r="CP40" s="5"/>
      <c r="CQ40" s="5"/>
      <c r="CR40" s="5"/>
      <c r="CS40" s="5"/>
      <c r="CT40" s="5" t="s">
        <v>82</v>
      </c>
      <c r="CU40" s="5" t="s">
        <v>82</v>
      </c>
      <c r="CV40" s="5" t="s">
        <v>82</v>
      </c>
      <c r="CW40" s="5">
        <v>0</v>
      </c>
      <c r="CX40" s="5">
        <v>0</v>
      </c>
      <c r="CY40" s="5">
        <v>0</v>
      </c>
      <c r="DA40" s="6"/>
      <c r="DD40" s="6">
        <f t="shared" si="1"/>
        <v>210221</v>
      </c>
      <c r="DE40" s="6">
        <f t="shared" si="2"/>
        <v>116306</v>
      </c>
      <c r="DF40" s="16">
        <f t="shared" si="3"/>
        <v>326527</v>
      </c>
      <c r="DK40" s="6">
        <f t="shared" si="4"/>
        <v>55041</v>
      </c>
      <c r="DL40" s="6">
        <f t="shared" si="5"/>
        <v>54408</v>
      </c>
      <c r="DM40" s="6">
        <f t="shared" si="17"/>
        <v>4884</v>
      </c>
      <c r="DN40" s="6">
        <f t="shared" si="18"/>
        <v>1973</v>
      </c>
      <c r="DO40" s="6">
        <f t="shared" si="6"/>
        <v>142440</v>
      </c>
      <c r="DP40" s="6">
        <f t="shared" si="16"/>
        <v>52108</v>
      </c>
      <c r="DQ40" s="6"/>
      <c r="DR40" s="6">
        <f t="shared" si="7"/>
        <v>9578</v>
      </c>
      <c r="DS40" s="6">
        <f t="shared" si="8"/>
        <v>0</v>
      </c>
      <c r="DT40" s="6">
        <f t="shared" si="9"/>
        <v>6095</v>
      </c>
      <c r="DU40" s="6"/>
      <c r="DV40" s="6"/>
      <c r="DW40" s="6">
        <f t="shared" si="10"/>
        <v>326527</v>
      </c>
      <c r="DY40" s="6">
        <f t="shared" si="11"/>
        <v>148535</v>
      </c>
      <c r="DZ40" s="6">
        <f t="shared" si="12"/>
        <v>0</v>
      </c>
      <c r="EB40" s="6">
        <f t="shared" si="13"/>
        <v>326527</v>
      </c>
      <c r="EC40" s="6"/>
      <c r="ED40" s="6"/>
      <c r="EF40" s="6"/>
      <c r="EG40" s="6"/>
    </row>
    <row r="41" spans="2:137" ht="14">
      <c r="B41" s="4">
        <v>33208</v>
      </c>
      <c r="C41" s="5">
        <v>0</v>
      </c>
      <c r="D41" s="5">
        <v>0</v>
      </c>
      <c r="E41" s="5">
        <v>0</v>
      </c>
      <c r="F41" s="5" t="s">
        <v>82</v>
      </c>
      <c r="G41" s="5" t="s">
        <v>82</v>
      </c>
      <c r="H41" s="5">
        <v>0</v>
      </c>
      <c r="I41" s="5">
        <v>0</v>
      </c>
      <c r="J41" s="5">
        <v>0</v>
      </c>
      <c r="K41" s="5">
        <v>0</v>
      </c>
      <c r="L41" s="5"/>
      <c r="M41" s="5">
        <v>33651</v>
      </c>
      <c r="N41" s="5">
        <v>2688</v>
      </c>
      <c r="O41" s="5"/>
      <c r="P41" s="5">
        <v>6205</v>
      </c>
      <c r="Q41" s="5">
        <v>1048</v>
      </c>
      <c r="R41" s="5">
        <v>1236</v>
      </c>
      <c r="S41" s="5">
        <v>1108</v>
      </c>
      <c r="T41" s="5">
        <v>5001</v>
      </c>
      <c r="U41" s="5"/>
      <c r="V41" s="5"/>
      <c r="W41" s="5">
        <v>9295</v>
      </c>
      <c r="X41" s="5">
        <v>0</v>
      </c>
      <c r="Y41" s="5">
        <v>874</v>
      </c>
      <c r="Z41" s="5">
        <v>44</v>
      </c>
      <c r="AA41" s="155"/>
      <c r="AB41" s="5">
        <v>23</v>
      </c>
      <c r="AC41" s="5">
        <v>0</v>
      </c>
      <c r="AD41" s="5">
        <v>6</v>
      </c>
      <c r="AE41" s="5">
        <v>15</v>
      </c>
      <c r="AF41" s="5">
        <v>8</v>
      </c>
      <c r="AG41" s="5">
        <v>33</v>
      </c>
      <c r="AH41" s="5"/>
      <c r="AI41" s="5"/>
      <c r="AJ41" s="5">
        <v>56</v>
      </c>
      <c r="AK41" s="5">
        <v>0</v>
      </c>
      <c r="AL41" s="5">
        <v>45414</v>
      </c>
      <c r="AM41" s="5">
        <v>2643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1154</v>
      </c>
      <c r="AT41" s="5" t="s">
        <v>82</v>
      </c>
      <c r="AU41" s="5">
        <v>646</v>
      </c>
      <c r="AV41" s="5">
        <v>752</v>
      </c>
      <c r="AW41" s="5">
        <v>1290</v>
      </c>
      <c r="AX41" s="5">
        <v>1997</v>
      </c>
      <c r="AY41" s="155"/>
      <c r="AZ41" s="155"/>
      <c r="BA41" s="155">
        <v>0</v>
      </c>
      <c r="BB41" s="155"/>
      <c r="BC41" s="5">
        <v>1855</v>
      </c>
      <c r="BD41" s="5"/>
      <c r="BE41" s="5">
        <v>47880</v>
      </c>
      <c r="BF41" s="5">
        <v>103809</v>
      </c>
      <c r="BG41" s="5">
        <v>186</v>
      </c>
      <c r="BH41" s="5">
        <v>0</v>
      </c>
      <c r="BI41" s="5">
        <v>0</v>
      </c>
      <c r="BJ41" s="5">
        <v>2893</v>
      </c>
      <c r="BK41" s="5">
        <v>192</v>
      </c>
      <c r="BL41" s="5">
        <v>2764</v>
      </c>
      <c r="BM41" s="5"/>
      <c r="BN41" s="5">
        <v>693</v>
      </c>
      <c r="BO41" s="5">
        <v>199</v>
      </c>
      <c r="BP41" s="5">
        <v>0</v>
      </c>
      <c r="BQ41" s="5">
        <v>4565</v>
      </c>
      <c r="BR41" s="5">
        <v>10595</v>
      </c>
      <c r="BS41" s="5">
        <v>30</v>
      </c>
      <c r="BT41" s="5">
        <v>0</v>
      </c>
      <c r="BU41" s="5">
        <v>0</v>
      </c>
      <c r="BV41" s="5"/>
      <c r="BW41" s="5">
        <v>10</v>
      </c>
      <c r="BX41" s="5">
        <v>305</v>
      </c>
      <c r="BY41" s="5"/>
      <c r="BZ41" s="5">
        <v>5600</v>
      </c>
      <c r="CA41" s="5">
        <v>0</v>
      </c>
      <c r="CB41" s="5">
        <v>0</v>
      </c>
      <c r="CC41" s="5">
        <v>9666</v>
      </c>
      <c r="CD41" s="5">
        <v>19679</v>
      </c>
      <c r="CE41" s="5">
        <v>1533</v>
      </c>
      <c r="CF41" s="5">
        <v>3179</v>
      </c>
      <c r="CG41" s="5">
        <v>0</v>
      </c>
      <c r="CH41" s="5">
        <v>0</v>
      </c>
      <c r="CI41" s="5">
        <v>122</v>
      </c>
      <c r="CJ41" s="5">
        <v>814</v>
      </c>
      <c r="CK41" s="5">
        <v>170</v>
      </c>
      <c r="CL41" s="5"/>
      <c r="CM41" s="5"/>
      <c r="CN41" s="5"/>
      <c r="CO41" s="5"/>
      <c r="CP41" s="5"/>
      <c r="CQ41" s="5"/>
      <c r="CR41" s="5"/>
      <c r="CS41" s="5"/>
      <c r="CT41" s="5" t="s">
        <v>82</v>
      </c>
      <c r="CU41" s="5" t="s">
        <v>82</v>
      </c>
      <c r="CV41" s="5" t="s">
        <v>82</v>
      </c>
      <c r="CW41" s="5">
        <v>0</v>
      </c>
      <c r="CX41" s="5">
        <v>0</v>
      </c>
      <c r="CY41" s="5">
        <v>0</v>
      </c>
      <c r="DA41" s="6"/>
      <c r="DD41" s="6">
        <f t="shared" si="1"/>
        <v>214884</v>
      </c>
      <c r="DE41" s="6">
        <f t="shared" si="2"/>
        <v>117042</v>
      </c>
      <c r="DF41" s="16">
        <f t="shared" si="3"/>
        <v>331926</v>
      </c>
      <c r="DK41" s="6">
        <f t="shared" si="4"/>
        <v>55231</v>
      </c>
      <c r="DL41" s="6">
        <f t="shared" si="5"/>
        <v>54780</v>
      </c>
      <c r="DM41" s="6">
        <f t="shared" si="17"/>
        <v>5001</v>
      </c>
      <c r="DN41" s="6">
        <f t="shared" si="18"/>
        <v>2030</v>
      </c>
      <c r="DO41" s="6">
        <f t="shared" si="6"/>
        <v>145810</v>
      </c>
      <c r="DP41" s="6">
        <f t="shared" si="16"/>
        <v>53138</v>
      </c>
      <c r="DQ41" s="6"/>
      <c r="DR41" s="6">
        <f t="shared" si="7"/>
        <v>9788</v>
      </c>
      <c r="DS41" s="6">
        <f t="shared" si="8"/>
        <v>0</v>
      </c>
      <c r="DT41" s="6">
        <f t="shared" si="9"/>
        <v>6148</v>
      </c>
      <c r="DU41" s="6"/>
      <c r="DV41" s="6"/>
      <c r="DW41" s="6">
        <f t="shared" si="10"/>
        <v>331926</v>
      </c>
      <c r="DY41" s="6">
        <f t="shared" si="11"/>
        <v>151958</v>
      </c>
      <c r="DZ41" s="6">
        <f t="shared" si="12"/>
        <v>0</v>
      </c>
      <c r="EB41" s="6">
        <f t="shared" si="13"/>
        <v>331926</v>
      </c>
      <c r="EC41" s="6"/>
      <c r="ED41" s="6"/>
      <c r="EF41" s="6"/>
      <c r="EG41" s="6"/>
    </row>
    <row r="42" spans="2:137" ht="14">
      <c r="B42" s="4">
        <v>33239</v>
      </c>
      <c r="C42" s="5">
        <v>0</v>
      </c>
      <c r="D42" s="5">
        <v>0</v>
      </c>
      <c r="E42" s="5">
        <v>0</v>
      </c>
      <c r="F42" s="5" t="s">
        <v>82</v>
      </c>
      <c r="G42" s="5" t="s">
        <v>82</v>
      </c>
      <c r="H42" s="5">
        <v>0</v>
      </c>
      <c r="I42" s="5">
        <v>0</v>
      </c>
      <c r="J42" s="5">
        <v>0</v>
      </c>
      <c r="K42" s="5">
        <v>0</v>
      </c>
      <c r="L42" s="5"/>
      <c r="M42" s="5">
        <v>33629</v>
      </c>
      <c r="N42" s="5">
        <v>2720</v>
      </c>
      <c r="O42" s="5"/>
      <c r="P42" s="5">
        <v>6219</v>
      </c>
      <c r="Q42" s="5">
        <v>1035</v>
      </c>
      <c r="R42" s="5">
        <v>1248</v>
      </c>
      <c r="S42" s="5">
        <v>1140</v>
      </c>
      <c r="T42" s="5">
        <v>5056</v>
      </c>
      <c r="U42" s="5"/>
      <c r="V42" s="5"/>
      <c r="W42" s="5">
        <v>9219</v>
      </c>
      <c r="X42" s="5">
        <v>0</v>
      </c>
      <c r="Y42" s="5">
        <v>863</v>
      </c>
      <c r="Z42" s="5">
        <v>44</v>
      </c>
      <c r="AA42" s="155"/>
      <c r="AB42" s="5">
        <v>21</v>
      </c>
      <c r="AC42" s="5">
        <v>0</v>
      </c>
      <c r="AD42" s="5">
        <v>6</v>
      </c>
      <c r="AE42" s="5">
        <v>15</v>
      </c>
      <c r="AF42" s="5">
        <v>8</v>
      </c>
      <c r="AG42" s="5">
        <v>31</v>
      </c>
      <c r="AH42" s="5"/>
      <c r="AI42" s="5"/>
      <c r="AJ42" s="5">
        <v>59</v>
      </c>
      <c r="AK42" s="5">
        <v>0</v>
      </c>
      <c r="AL42" s="5">
        <v>45688</v>
      </c>
      <c r="AM42" s="5">
        <v>2665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1175</v>
      </c>
      <c r="AT42" s="5" t="s">
        <v>82</v>
      </c>
      <c r="AU42" s="5">
        <v>640</v>
      </c>
      <c r="AV42" s="5">
        <v>757</v>
      </c>
      <c r="AW42" s="5">
        <v>1295</v>
      </c>
      <c r="AX42" s="5">
        <v>2031</v>
      </c>
      <c r="AY42" s="155"/>
      <c r="AZ42" s="155"/>
      <c r="BA42" s="155">
        <v>0</v>
      </c>
      <c r="BB42" s="155"/>
      <c r="BC42" s="5">
        <v>1811</v>
      </c>
      <c r="BD42" s="5"/>
      <c r="BE42" s="5">
        <v>48730</v>
      </c>
      <c r="BF42" s="5">
        <v>105426</v>
      </c>
      <c r="BG42" s="5">
        <v>189</v>
      </c>
      <c r="BH42" s="5">
        <v>0</v>
      </c>
      <c r="BI42" s="5">
        <v>0</v>
      </c>
      <c r="BJ42" s="5">
        <v>2899</v>
      </c>
      <c r="BK42" s="5">
        <v>195</v>
      </c>
      <c r="BL42" s="5">
        <v>2758</v>
      </c>
      <c r="BM42" s="5"/>
      <c r="BN42" s="5">
        <v>724</v>
      </c>
      <c r="BO42" s="5">
        <v>181</v>
      </c>
      <c r="BP42" s="5">
        <v>0</v>
      </c>
      <c r="BQ42" s="5">
        <v>4469</v>
      </c>
      <c r="BR42" s="5">
        <v>10464</v>
      </c>
      <c r="BS42" s="5">
        <v>29</v>
      </c>
      <c r="BT42" s="5">
        <v>0</v>
      </c>
      <c r="BU42" s="5">
        <v>0</v>
      </c>
      <c r="BV42" s="5"/>
      <c r="BW42" s="5">
        <v>12</v>
      </c>
      <c r="BX42" s="5">
        <v>310</v>
      </c>
      <c r="BY42" s="5"/>
      <c r="BZ42" s="5">
        <v>5632</v>
      </c>
      <c r="CA42" s="5">
        <v>0</v>
      </c>
      <c r="CB42" s="5">
        <v>0</v>
      </c>
      <c r="CC42" s="5">
        <v>9566</v>
      </c>
      <c r="CD42" s="5">
        <v>20766</v>
      </c>
      <c r="CE42" s="5">
        <v>1481</v>
      </c>
      <c r="CF42" s="5">
        <v>3174</v>
      </c>
      <c r="CG42" s="5">
        <v>0</v>
      </c>
      <c r="CH42" s="5">
        <v>0</v>
      </c>
      <c r="CI42" s="5">
        <v>99</v>
      </c>
      <c r="CJ42" s="5">
        <v>789</v>
      </c>
      <c r="CK42" s="5">
        <v>185</v>
      </c>
      <c r="CL42" s="5"/>
      <c r="CM42" s="5"/>
      <c r="CN42" s="5"/>
      <c r="CO42" s="5"/>
      <c r="CP42" s="5"/>
      <c r="CQ42" s="5"/>
      <c r="CR42" s="5"/>
      <c r="CS42" s="5"/>
      <c r="CT42" s="5" t="s">
        <v>82</v>
      </c>
      <c r="CU42" s="5" t="s">
        <v>82</v>
      </c>
      <c r="CV42" s="5" t="s">
        <v>82</v>
      </c>
      <c r="CW42" s="5">
        <v>0</v>
      </c>
      <c r="CX42" s="5">
        <v>0</v>
      </c>
      <c r="CY42" s="5">
        <v>0</v>
      </c>
      <c r="DA42" s="6"/>
      <c r="DD42" s="6">
        <f t="shared" si="1"/>
        <v>218078</v>
      </c>
      <c r="DE42" s="6">
        <f t="shared" si="2"/>
        <v>117375</v>
      </c>
      <c r="DF42" s="16">
        <f t="shared" si="3"/>
        <v>335453</v>
      </c>
      <c r="DK42" s="6">
        <f t="shared" si="4"/>
        <v>55210</v>
      </c>
      <c r="DL42" s="6">
        <f t="shared" si="5"/>
        <v>55047</v>
      </c>
      <c r="DM42" s="6">
        <f t="shared" si="17"/>
        <v>5056</v>
      </c>
      <c r="DN42" s="6">
        <f t="shared" si="18"/>
        <v>2062</v>
      </c>
      <c r="DO42" s="6">
        <f t="shared" si="6"/>
        <v>148334</v>
      </c>
      <c r="DP42" s="6">
        <f t="shared" si="16"/>
        <v>53923</v>
      </c>
      <c r="DQ42" s="6"/>
      <c r="DR42" s="6">
        <f t="shared" si="7"/>
        <v>9665</v>
      </c>
      <c r="DS42" s="6">
        <f t="shared" si="8"/>
        <v>0</v>
      </c>
      <c r="DT42" s="6">
        <f t="shared" si="9"/>
        <v>6156</v>
      </c>
      <c r="DU42" s="6"/>
      <c r="DV42" s="6"/>
      <c r="DW42" s="6">
        <f t="shared" si="10"/>
        <v>335453</v>
      </c>
      <c r="DY42" s="6">
        <f t="shared" si="11"/>
        <v>154490</v>
      </c>
      <c r="DZ42" s="6">
        <f t="shared" si="12"/>
        <v>0</v>
      </c>
      <c r="EB42" s="6">
        <f t="shared" si="13"/>
        <v>335453</v>
      </c>
      <c r="EC42" s="6"/>
      <c r="ED42" s="6"/>
      <c r="EF42" s="6"/>
      <c r="EG42" s="6"/>
    </row>
    <row r="43" spans="2:137" ht="14">
      <c r="B43" s="4">
        <v>33270</v>
      </c>
      <c r="C43" s="5">
        <v>0</v>
      </c>
      <c r="D43" s="5">
        <v>0</v>
      </c>
      <c r="E43" s="5">
        <v>0</v>
      </c>
      <c r="F43" s="5" t="s">
        <v>82</v>
      </c>
      <c r="G43" s="5" t="s">
        <v>82</v>
      </c>
      <c r="H43" s="5">
        <v>0</v>
      </c>
      <c r="I43" s="5">
        <v>0</v>
      </c>
      <c r="J43" s="5">
        <v>0</v>
      </c>
      <c r="K43" s="5">
        <v>0</v>
      </c>
      <c r="L43" s="5"/>
      <c r="M43" s="5">
        <v>33618</v>
      </c>
      <c r="N43" s="5">
        <v>2708</v>
      </c>
      <c r="O43" s="5"/>
      <c r="P43" s="5">
        <v>6142</v>
      </c>
      <c r="Q43" s="5">
        <v>1096</v>
      </c>
      <c r="R43" s="5">
        <v>1242</v>
      </c>
      <c r="S43" s="5">
        <v>1388</v>
      </c>
      <c r="T43" s="5">
        <v>5164</v>
      </c>
      <c r="U43" s="5"/>
      <c r="V43" s="5"/>
      <c r="W43" s="5">
        <v>9130</v>
      </c>
      <c r="X43" s="5">
        <v>0</v>
      </c>
      <c r="Y43" s="5">
        <v>872</v>
      </c>
      <c r="Z43" s="5">
        <v>41</v>
      </c>
      <c r="AA43" s="155"/>
      <c r="AB43" s="5">
        <v>19</v>
      </c>
      <c r="AC43" s="5">
        <v>0</v>
      </c>
      <c r="AD43" s="5">
        <v>5</v>
      </c>
      <c r="AE43" s="5">
        <v>15</v>
      </c>
      <c r="AF43" s="5">
        <v>8</v>
      </c>
      <c r="AG43" s="5">
        <v>31</v>
      </c>
      <c r="AH43" s="5"/>
      <c r="AI43" s="5"/>
      <c r="AJ43" s="5">
        <v>59</v>
      </c>
      <c r="AK43" s="5">
        <v>0</v>
      </c>
      <c r="AL43" s="5">
        <v>46182</v>
      </c>
      <c r="AM43" s="5">
        <v>2680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1172</v>
      </c>
      <c r="AT43" s="5" t="s">
        <v>82</v>
      </c>
      <c r="AU43" s="5">
        <v>630</v>
      </c>
      <c r="AV43" s="5">
        <v>764</v>
      </c>
      <c r="AW43" s="5">
        <v>1322</v>
      </c>
      <c r="AX43" s="5">
        <v>2114</v>
      </c>
      <c r="AY43" s="155"/>
      <c r="AZ43" s="155"/>
      <c r="BA43" s="155">
        <v>0</v>
      </c>
      <c r="BB43" s="155"/>
      <c r="BC43" s="5">
        <v>1780</v>
      </c>
      <c r="BD43" s="5"/>
      <c r="BE43" s="5">
        <v>49920</v>
      </c>
      <c r="BF43" s="5">
        <v>107610</v>
      </c>
      <c r="BG43" s="5">
        <v>195</v>
      </c>
      <c r="BH43" s="5">
        <v>501</v>
      </c>
      <c r="BI43" s="5">
        <v>517</v>
      </c>
      <c r="BJ43" s="5">
        <v>2966</v>
      </c>
      <c r="BK43" s="5">
        <v>195</v>
      </c>
      <c r="BL43" s="5">
        <v>2778</v>
      </c>
      <c r="BM43" s="5"/>
      <c r="BN43" s="5">
        <v>869</v>
      </c>
      <c r="BO43" s="5">
        <v>195</v>
      </c>
      <c r="BP43" s="5">
        <v>0</v>
      </c>
      <c r="BQ43" s="5">
        <v>4496</v>
      </c>
      <c r="BR43" s="5">
        <v>10534</v>
      </c>
      <c r="BS43" s="5">
        <v>28</v>
      </c>
      <c r="BT43" s="5">
        <v>12</v>
      </c>
      <c r="BU43" s="5">
        <v>8</v>
      </c>
      <c r="BV43" s="5"/>
      <c r="BW43" s="5">
        <v>12</v>
      </c>
      <c r="BX43" s="5">
        <v>297</v>
      </c>
      <c r="BY43" s="5"/>
      <c r="BZ43" s="5">
        <v>5659</v>
      </c>
      <c r="CA43" s="5">
        <v>1</v>
      </c>
      <c r="CB43" s="5">
        <v>0</v>
      </c>
      <c r="CC43" s="5">
        <v>10044</v>
      </c>
      <c r="CD43" s="5">
        <v>22878</v>
      </c>
      <c r="CE43" s="5">
        <v>1423</v>
      </c>
      <c r="CF43" s="5">
        <v>3453</v>
      </c>
      <c r="CG43" s="5">
        <v>0</v>
      </c>
      <c r="CH43" s="5">
        <v>0</v>
      </c>
      <c r="CI43" s="5">
        <v>92</v>
      </c>
      <c r="CJ43" s="5">
        <v>797</v>
      </c>
      <c r="CK43" s="5">
        <v>184</v>
      </c>
      <c r="CL43" s="5"/>
      <c r="CM43" s="5"/>
      <c r="CN43" s="5"/>
      <c r="CO43" s="5"/>
      <c r="CP43" s="5"/>
      <c r="CQ43" s="5"/>
      <c r="CR43" s="5"/>
      <c r="CS43" s="5"/>
      <c r="CT43" s="5" t="s">
        <v>82</v>
      </c>
      <c r="CU43" s="5" t="s">
        <v>82</v>
      </c>
      <c r="CV43" s="5" t="s">
        <v>82</v>
      </c>
      <c r="CW43" s="5">
        <v>0</v>
      </c>
      <c r="CX43" s="5">
        <v>0</v>
      </c>
      <c r="CY43" s="5">
        <v>0</v>
      </c>
      <c r="DA43" s="6"/>
      <c r="DD43" s="6">
        <f t="shared" si="1"/>
        <v>225664</v>
      </c>
      <c r="DE43" s="6">
        <f t="shared" si="2"/>
        <v>118182</v>
      </c>
      <c r="DF43" s="16">
        <f t="shared" si="3"/>
        <v>343846</v>
      </c>
      <c r="DK43" s="6">
        <f t="shared" si="4"/>
        <v>55324</v>
      </c>
      <c r="DL43" s="6">
        <f t="shared" si="5"/>
        <v>55549</v>
      </c>
      <c r="DM43" s="6">
        <f t="shared" si="17"/>
        <v>5164</v>
      </c>
      <c r="DN43" s="6">
        <f t="shared" si="18"/>
        <v>2145</v>
      </c>
      <c r="DO43" s="6">
        <f t="shared" si="6"/>
        <v>153494</v>
      </c>
      <c r="DP43" s="6">
        <f t="shared" si="16"/>
        <v>55798</v>
      </c>
      <c r="DQ43" s="6"/>
      <c r="DR43" s="6">
        <f t="shared" si="7"/>
        <v>10136</v>
      </c>
      <c r="DS43" s="6">
        <f t="shared" si="8"/>
        <v>0</v>
      </c>
      <c r="DT43" s="6">
        <f t="shared" si="9"/>
        <v>6236</v>
      </c>
      <c r="DU43" s="6"/>
      <c r="DV43" s="6"/>
      <c r="DW43" s="6">
        <f t="shared" si="10"/>
        <v>343846</v>
      </c>
      <c r="DY43" s="6">
        <f t="shared" si="11"/>
        <v>159730</v>
      </c>
      <c r="DZ43" s="6">
        <f t="shared" si="12"/>
        <v>0</v>
      </c>
      <c r="EB43" s="6">
        <f t="shared" si="13"/>
        <v>343846</v>
      </c>
      <c r="EC43" s="6"/>
      <c r="ED43" s="6"/>
      <c r="EF43" s="6"/>
      <c r="EG43" s="6"/>
    </row>
    <row r="44" spans="2:137" ht="14">
      <c r="B44" s="4">
        <v>33298</v>
      </c>
      <c r="C44" s="5">
        <v>0</v>
      </c>
      <c r="D44" s="5">
        <v>0</v>
      </c>
      <c r="E44" s="5">
        <v>0</v>
      </c>
      <c r="F44" s="5" t="s">
        <v>82</v>
      </c>
      <c r="G44" s="5" t="s">
        <v>82</v>
      </c>
      <c r="H44" s="5">
        <v>0</v>
      </c>
      <c r="I44" s="5">
        <v>0</v>
      </c>
      <c r="J44" s="5">
        <v>0</v>
      </c>
      <c r="K44" s="5">
        <v>0</v>
      </c>
      <c r="L44" s="5"/>
      <c r="M44" s="5">
        <v>33523</v>
      </c>
      <c r="N44" s="5">
        <v>2704</v>
      </c>
      <c r="O44" s="5"/>
      <c r="P44" s="5">
        <v>6151</v>
      </c>
      <c r="Q44" s="5">
        <v>1085</v>
      </c>
      <c r="R44" s="5">
        <v>1231</v>
      </c>
      <c r="S44" s="5">
        <v>1443</v>
      </c>
      <c r="T44" s="5">
        <v>5316</v>
      </c>
      <c r="U44" s="5"/>
      <c r="V44" s="5"/>
      <c r="W44" s="5">
        <v>9134</v>
      </c>
      <c r="X44" s="5">
        <v>0</v>
      </c>
      <c r="Y44" s="5">
        <v>879</v>
      </c>
      <c r="Z44" s="5">
        <v>40</v>
      </c>
      <c r="AA44" s="155"/>
      <c r="AB44" s="5">
        <v>20</v>
      </c>
      <c r="AC44" s="5">
        <v>0</v>
      </c>
      <c r="AD44" s="5">
        <v>4</v>
      </c>
      <c r="AE44" s="5">
        <v>15</v>
      </c>
      <c r="AF44" s="5">
        <v>9</v>
      </c>
      <c r="AG44" s="5">
        <v>29</v>
      </c>
      <c r="AH44" s="5"/>
      <c r="AI44" s="5"/>
      <c r="AJ44" s="5">
        <v>59</v>
      </c>
      <c r="AK44" s="5">
        <v>0</v>
      </c>
      <c r="AL44" s="5">
        <v>46450</v>
      </c>
      <c r="AM44" s="5">
        <v>2705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1186</v>
      </c>
      <c r="AT44" s="5" t="s">
        <v>82</v>
      </c>
      <c r="AU44" s="5">
        <v>610</v>
      </c>
      <c r="AV44" s="5">
        <v>761</v>
      </c>
      <c r="AW44" s="5">
        <v>1348</v>
      </c>
      <c r="AX44" s="5">
        <v>2213</v>
      </c>
      <c r="AY44" s="155"/>
      <c r="AZ44" s="155"/>
      <c r="BA44" s="155">
        <v>0</v>
      </c>
      <c r="BB44" s="155"/>
      <c r="BC44" s="5">
        <v>1749</v>
      </c>
      <c r="BD44" s="5"/>
      <c r="BE44" s="5">
        <v>50547</v>
      </c>
      <c r="BF44" s="5">
        <v>108839</v>
      </c>
      <c r="BG44" s="5">
        <v>196</v>
      </c>
      <c r="BH44" s="5">
        <v>661</v>
      </c>
      <c r="BI44" s="5">
        <v>695</v>
      </c>
      <c r="BJ44" s="5">
        <v>3014</v>
      </c>
      <c r="BK44" s="5">
        <v>197</v>
      </c>
      <c r="BL44" s="5">
        <v>2732</v>
      </c>
      <c r="BM44" s="5"/>
      <c r="BN44" s="5">
        <v>899</v>
      </c>
      <c r="BO44" s="5">
        <v>183</v>
      </c>
      <c r="BP44" s="5">
        <v>0</v>
      </c>
      <c r="BQ44" s="5">
        <v>4436</v>
      </c>
      <c r="BR44" s="5">
        <v>10359</v>
      </c>
      <c r="BS44" s="5">
        <v>31</v>
      </c>
      <c r="BT44" s="5">
        <v>16</v>
      </c>
      <c r="BU44" s="5">
        <v>13</v>
      </c>
      <c r="BV44" s="5"/>
      <c r="BW44" s="5">
        <v>11</v>
      </c>
      <c r="BX44" s="5">
        <v>277</v>
      </c>
      <c r="BY44" s="5"/>
      <c r="BZ44" s="5">
        <v>5664</v>
      </c>
      <c r="CA44" s="5">
        <v>3</v>
      </c>
      <c r="CB44" s="5">
        <v>0</v>
      </c>
      <c r="CC44" s="5">
        <v>10352</v>
      </c>
      <c r="CD44" s="5">
        <v>24454</v>
      </c>
      <c r="CE44" s="5">
        <v>1406</v>
      </c>
      <c r="CF44" s="5">
        <v>3537</v>
      </c>
      <c r="CG44" s="5">
        <v>0</v>
      </c>
      <c r="CH44" s="5">
        <v>0</v>
      </c>
      <c r="CI44" s="5">
        <v>80</v>
      </c>
      <c r="CJ44" s="5">
        <v>761</v>
      </c>
      <c r="CK44" s="5">
        <v>168</v>
      </c>
      <c r="CL44" s="5"/>
      <c r="CM44" s="5"/>
      <c r="CN44" s="5"/>
      <c r="CO44" s="5"/>
      <c r="CP44" s="5"/>
      <c r="CQ44" s="5"/>
      <c r="CR44" s="5"/>
      <c r="CS44" s="5"/>
      <c r="CT44" s="5" t="s">
        <v>82</v>
      </c>
      <c r="CU44" s="5" t="s">
        <v>82</v>
      </c>
      <c r="CV44" s="5" t="s">
        <v>82</v>
      </c>
      <c r="CW44" s="5">
        <v>0</v>
      </c>
      <c r="CX44" s="5">
        <v>0</v>
      </c>
      <c r="CY44" s="5">
        <v>0</v>
      </c>
      <c r="DA44" s="6"/>
      <c r="DD44" s="6">
        <f t="shared" si="1"/>
        <v>229531</v>
      </c>
      <c r="DE44" s="6">
        <f t="shared" si="2"/>
        <v>118664</v>
      </c>
      <c r="DF44" s="16">
        <f t="shared" si="3"/>
        <v>348195</v>
      </c>
      <c r="DK44" s="6">
        <f t="shared" si="4"/>
        <v>55271</v>
      </c>
      <c r="DL44" s="6">
        <f t="shared" si="5"/>
        <v>55835</v>
      </c>
      <c r="DM44" s="6">
        <f t="shared" si="17"/>
        <v>5316</v>
      </c>
      <c r="DN44" s="6">
        <f t="shared" si="18"/>
        <v>2242</v>
      </c>
      <c r="DO44" s="6">
        <f t="shared" si="6"/>
        <v>156321</v>
      </c>
      <c r="DP44" s="6">
        <f t="shared" si="16"/>
        <v>56559</v>
      </c>
      <c r="DQ44" s="6"/>
      <c r="DR44" s="6">
        <f t="shared" si="7"/>
        <v>10432</v>
      </c>
      <c r="DS44" s="6">
        <f t="shared" si="8"/>
        <v>0</v>
      </c>
      <c r="DT44" s="6">
        <f t="shared" si="9"/>
        <v>6219</v>
      </c>
      <c r="DU44" s="6"/>
      <c r="DV44" s="6"/>
      <c r="DW44" s="6">
        <f t="shared" si="10"/>
        <v>348195</v>
      </c>
      <c r="DY44" s="6">
        <f t="shared" si="11"/>
        <v>162540</v>
      </c>
      <c r="DZ44" s="6">
        <f t="shared" si="12"/>
        <v>0</v>
      </c>
      <c r="EB44" s="6">
        <f t="shared" si="13"/>
        <v>348195</v>
      </c>
      <c r="EC44" s="6"/>
      <c r="ED44" s="6"/>
      <c r="EF44" s="6"/>
      <c r="EG44" s="6"/>
    </row>
    <row r="45" spans="2:137" ht="14">
      <c r="B45" s="4">
        <v>33329</v>
      </c>
      <c r="C45" s="5">
        <v>0</v>
      </c>
      <c r="D45" s="5">
        <v>0</v>
      </c>
      <c r="E45" s="5">
        <v>0</v>
      </c>
      <c r="F45" s="5" t="s">
        <v>82</v>
      </c>
      <c r="G45" s="5" t="s">
        <v>82</v>
      </c>
      <c r="H45" s="5">
        <v>0</v>
      </c>
      <c r="I45" s="5">
        <v>0</v>
      </c>
      <c r="J45" s="5">
        <v>0</v>
      </c>
      <c r="K45" s="5">
        <v>0</v>
      </c>
      <c r="L45" s="5"/>
      <c r="M45" s="5">
        <v>33525</v>
      </c>
      <c r="N45" s="5">
        <v>2714</v>
      </c>
      <c r="O45" s="5"/>
      <c r="P45" s="5">
        <v>6166</v>
      </c>
      <c r="Q45" s="5">
        <v>1106</v>
      </c>
      <c r="R45" s="5">
        <v>1237</v>
      </c>
      <c r="S45" s="5">
        <v>1513</v>
      </c>
      <c r="T45" s="5">
        <v>5538</v>
      </c>
      <c r="U45" s="5"/>
      <c r="V45" s="5"/>
      <c r="W45" s="5">
        <v>9081</v>
      </c>
      <c r="X45" s="5">
        <v>0</v>
      </c>
      <c r="Y45" s="5">
        <v>876</v>
      </c>
      <c r="Z45" s="5">
        <v>43</v>
      </c>
      <c r="AA45" s="155"/>
      <c r="AB45" s="5">
        <v>18</v>
      </c>
      <c r="AC45" s="5">
        <v>0</v>
      </c>
      <c r="AD45" s="5">
        <v>5</v>
      </c>
      <c r="AE45" s="5">
        <v>17</v>
      </c>
      <c r="AF45" s="5">
        <v>10</v>
      </c>
      <c r="AG45" s="5">
        <v>31</v>
      </c>
      <c r="AH45" s="5"/>
      <c r="AI45" s="5"/>
      <c r="AJ45" s="5">
        <v>56</v>
      </c>
      <c r="AK45" s="5">
        <v>0</v>
      </c>
      <c r="AL45" s="5">
        <v>46851</v>
      </c>
      <c r="AM45" s="5">
        <v>2731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1199</v>
      </c>
      <c r="AT45" s="5" t="s">
        <v>82</v>
      </c>
      <c r="AU45" s="5">
        <v>612</v>
      </c>
      <c r="AV45" s="5">
        <v>783</v>
      </c>
      <c r="AW45" s="5">
        <v>1364</v>
      </c>
      <c r="AX45" s="5">
        <v>2301</v>
      </c>
      <c r="AY45" s="155"/>
      <c r="AZ45" s="155"/>
      <c r="BA45" s="155">
        <v>0</v>
      </c>
      <c r="BB45" s="155"/>
      <c r="BC45" s="5">
        <v>1743</v>
      </c>
      <c r="BD45" s="5"/>
      <c r="BE45" s="5">
        <v>51535</v>
      </c>
      <c r="BF45" s="5">
        <v>110794</v>
      </c>
      <c r="BG45" s="5">
        <v>195</v>
      </c>
      <c r="BH45" s="5">
        <v>846</v>
      </c>
      <c r="BI45" s="5">
        <v>912</v>
      </c>
      <c r="BJ45" s="5">
        <v>3050</v>
      </c>
      <c r="BK45" s="5">
        <v>193</v>
      </c>
      <c r="BL45" s="5">
        <v>2772</v>
      </c>
      <c r="BM45" s="5"/>
      <c r="BN45" s="5">
        <v>382</v>
      </c>
      <c r="BO45" s="5">
        <v>181</v>
      </c>
      <c r="BP45" s="5">
        <v>0</v>
      </c>
      <c r="BQ45" s="5">
        <v>4400</v>
      </c>
      <c r="BR45" s="5">
        <v>10326</v>
      </c>
      <c r="BS45" s="5">
        <v>33</v>
      </c>
      <c r="BT45" s="5">
        <v>50</v>
      </c>
      <c r="BU45" s="5">
        <v>50</v>
      </c>
      <c r="BV45" s="5"/>
      <c r="BW45" s="5">
        <v>15</v>
      </c>
      <c r="BX45" s="5">
        <v>288</v>
      </c>
      <c r="BY45" s="5"/>
      <c r="BZ45" s="5">
        <v>5763</v>
      </c>
      <c r="CA45" s="5">
        <v>8</v>
      </c>
      <c r="CB45" s="5">
        <v>0</v>
      </c>
      <c r="CC45" s="5">
        <v>10827</v>
      </c>
      <c r="CD45" s="5">
        <v>26440</v>
      </c>
      <c r="CE45" s="5">
        <v>1396</v>
      </c>
      <c r="CF45" s="5">
        <v>3897</v>
      </c>
      <c r="CG45" s="5">
        <v>0</v>
      </c>
      <c r="CH45" s="5">
        <v>0</v>
      </c>
      <c r="CI45" s="5">
        <v>89</v>
      </c>
      <c r="CJ45" s="5">
        <v>771</v>
      </c>
      <c r="CK45" s="5">
        <v>177</v>
      </c>
      <c r="CL45" s="5"/>
      <c r="CM45" s="5"/>
      <c r="CN45" s="5"/>
      <c r="CO45" s="5"/>
      <c r="CP45" s="5"/>
      <c r="CQ45" s="5"/>
      <c r="CR45" s="5"/>
      <c r="CS45" s="5"/>
      <c r="CT45" s="5" t="s">
        <v>82</v>
      </c>
      <c r="CU45" s="5" t="s">
        <v>82</v>
      </c>
      <c r="CV45" s="5" t="s">
        <v>82</v>
      </c>
      <c r="CW45" s="5">
        <v>0</v>
      </c>
      <c r="CX45" s="5">
        <v>0</v>
      </c>
      <c r="CY45" s="5">
        <v>0</v>
      </c>
      <c r="DA45" s="6"/>
      <c r="DD45" s="6">
        <f t="shared" si="1"/>
        <v>235390</v>
      </c>
      <c r="DE45" s="6">
        <f t="shared" si="2"/>
        <v>119520</v>
      </c>
      <c r="DF45" s="16">
        <f t="shared" si="3"/>
        <v>354910</v>
      </c>
      <c r="DK45" s="6">
        <f t="shared" si="4"/>
        <v>55342</v>
      </c>
      <c r="DL45" s="6">
        <f t="shared" si="5"/>
        <v>56308</v>
      </c>
      <c r="DM45" s="6">
        <f t="shared" si="17"/>
        <v>5538</v>
      </c>
      <c r="DN45" s="6">
        <f t="shared" si="18"/>
        <v>2332</v>
      </c>
      <c r="DO45" s="6">
        <f t="shared" si="6"/>
        <v>160956</v>
      </c>
      <c r="DP45" s="6">
        <f t="shared" si="16"/>
        <v>57213</v>
      </c>
      <c r="DQ45" s="6"/>
      <c r="DR45" s="6">
        <f t="shared" si="7"/>
        <v>10916</v>
      </c>
      <c r="DS45" s="6">
        <f t="shared" si="8"/>
        <v>0</v>
      </c>
      <c r="DT45" s="6">
        <f t="shared" si="9"/>
        <v>6305</v>
      </c>
      <c r="DU45" s="6"/>
      <c r="DV45" s="6"/>
      <c r="DW45" s="6">
        <f t="shared" si="10"/>
        <v>354910</v>
      </c>
      <c r="DY45" s="6">
        <f t="shared" si="11"/>
        <v>167261</v>
      </c>
      <c r="DZ45" s="6">
        <f t="shared" si="12"/>
        <v>0</v>
      </c>
      <c r="EB45" s="6">
        <f t="shared" si="13"/>
        <v>354910</v>
      </c>
      <c r="EC45" s="6"/>
      <c r="ED45" s="6"/>
      <c r="EF45" s="6"/>
      <c r="EG45" s="6"/>
    </row>
    <row r="46" spans="2:137" ht="14">
      <c r="B46" s="4">
        <v>33359</v>
      </c>
      <c r="C46" s="5">
        <v>0</v>
      </c>
      <c r="D46" s="5">
        <v>0</v>
      </c>
      <c r="E46" s="5">
        <v>0</v>
      </c>
      <c r="F46" s="5" t="s">
        <v>82</v>
      </c>
      <c r="G46" s="5" t="s">
        <v>82</v>
      </c>
      <c r="H46" s="5">
        <v>0</v>
      </c>
      <c r="I46" s="5">
        <v>0</v>
      </c>
      <c r="J46" s="5">
        <v>0</v>
      </c>
      <c r="K46" s="5">
        <v>0</v>
      </c>
      <c r="L46" s="5"/>
      <c r="M46" s="5">
        <v>33608</v>
      </c>
      <c r="N46" s="5">
        <v>2746</v>
      </c>
      <c r="O46" s="5"/>
      <c r="P46" s="5">
        <v>6217</v>
      </c>
      <c r="Q46" s="5">
        <v>1104</v>
      </c>
      <c r="R46" s="5">
        <v>1252</v>
      </c>
      <c r="S46" s="5">
        <v>1527</v>
      </c>
      <c r="T46" s="5">
        <v>5732</v>
      </c>
      <c r="U46" s="5"/>
      <c r="V46" s="5"/>
      <c r="W46" s="5">
        <v>9167</v>
      </c>
      <c r="X46" s="5">
        <v>0</v>
      </c>
      <c r="Y46" s="5">
        <v>886</v>
      </c>
      <c r="Z46" s="5">
        <v>41</v>
      </c>
      <c r="AA46" s="155"/>
      <c r="AB46" s="5">
        <v>20</v>
      </c>
      <c r="AC46" s="5">
        <v>0</v>
      </c>
      <c r="AD46" s="5">
        <v>4</v>
      </c>
      <c r="AE46" s="5">
        <v>17</v>
      </c>
      <c r="AF46" s="5">
        <v>9</v>
      </c>
      <c r="AG46" s="5">
        <v>31</v>
      </c>
      <c r="AH46" s="5"/>
      <c r="AI46" s="5"/>
      <c r="AJ46" s="5">
        <v>57</v>
      </c>
      <c r="AK46" s="5">
        <v>0</v>
      </c>
      <c r="AL46" s="5">
        <v>47339</v>
      </c>
      <c r="AM46" s="5">
        <v>2741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1262</v>
      </c>
      <c r="AT46" s="5" t="s">
        <v>82</v>
      </c>
      <c r="AU46" s="5">
        <v>604</v>
      </c>
      <c r="AV46" s="5">
        <v>804</v>
      </c>
      <c r="AW46" s="5">
        <v>1366</v>
      </c>
      <c r="AX46" s="5">
        <v>2429</v>
      </c>
      <c r="AY46" s="155"/>
      <c r="AZ46" s="155"/>
      <c r="BA46" s="155">
        <v>0</v>
      </c>
      <c r="BB46" s="155"/>
      <c r="BC46" s="5">
        <v>1717</v>
      </c>
      <c r="BD46" s="5"/>
      <c r="BE46" s="5">
        <v>52181</v>
      </c>
      <c r="BF46" s="5">
        <v>112348</v>
      </c>
      <c r="BG46" s="5">
        <v>200</v>
      </c>
      <c r="BH46" s="5">
        <v>862</v>
      </c>
      <c r="BI46" s="5">
        <v>952</v>
      </c>
      <c r="BJ46" s="5">
        <v>3109</v>
      </c>
      <c r="BK46" s="5">
        <v>222</v>
      </c>
      <c r="BL46" s="5">
        <v>2743</v>
      </c>
      <c r="BM46" s="5"/>
      <c r="BN46" s="5">
        <v>364</v>
      </c>
      <c r="BO46" s="5">
        <v>190</v>
      </c>
      <c r="BP46" s="5">
        <v>0</v>
      </c>
      <c r="BQ46" s="5">
        <v>4597</v>
      </c>
      <c r="BR46" s="5">
        <v>10693</v>
      </c>
      <c r="BS46" s="5">
        <v>33</v>
      </c>
      <c r="BT46" s="5">
        <v>155</v>
      </c>
      <c r="BU46" s="5">
        <v>174</v>
      </c>
      <c r="BV46" s="5"/>
      <c r="BW46" s="5">
        <v>16</v>
      </c>
      <c r="BX46" s="5">
        <v>294</v>
      </c>
      <c r="BY46" s="5"/>
      <c r="BZ46" s="5">
        <v>5773</v>
      </c>
      <c r="CA46" s="5">
        <v>15</v>
      </c>
      <c r="CB46" s="5">
        <v>0</v>
      </c>
      <c r="CC46" s="5">
        <v>11175</v>
      </c>
      <c r="CD46" s="5">
        <v>28257</v>
      </c>
      <c r="CE46" s="5">
        <v>1369</v>
      </c>
      <c r="CF46" s="5">
        <v>4255</v>
      </c>
      <c r="CG46" s="5">
        <v>0</v>
      </c>
      <c r="CH46" s="5">
        <v>0</v>
      </c>
      <c r="CI46" s="5">
        <v>72</v>
      </c>
      <c r="CJ46" s="5">
        <v>775</v>
      </c>
      <c r="CK46" s="5">
        <v>173</v>
      </c>
      <c r="CL46" s="5"/>
      <c r="CM46" s="5"/>
      <c r="CN46" s="5"/>
      <c r="CO46" s="5"/>
      <c r="CP46" s="5"/>
      <c r="CQ46" s="5"/>
      <c r="CR46" s="5"/>
      <c r="CS46" s="5"/>
      <c r="CT46" s="5" t="s">
        <v>82</v>
      </c>
      <c r="CU46" s="5" t="s">
        <v>82</v>
      </c>
      <c r="CV46" s="5" t="s">
        <v>82</v>
      </c>
      <c r="CW46" s="5">
        <v>0</v>
      </c>
      <c r="CX46" s="5">
        <v>0</v>
      </c>
      <c r="CY46" s="5">
        <v>0</v>
      </c>
      <c r="DA46" s="6"/>
      <c r="DD46" s="6">
        <f t="shared" si="1"/>
        <v>240997</v>
      </c>
      <c r="DE46" s="6">
        <f t="shared" si="2"/>
        <v>120680</v>
      </c>
      <c r="DF46" s="16">
        <f t="shared" si="3"/>
        <v>361677</v>
      </c>
      <c r="DK46" s="6">
        <f t="shared" si="4"/>
        <v>55621</v>
      </c>
      <c r="DL46" s="6">
        <f t="shared" si="5"/>
        <v>56867</v>
      </c>
      <c r="DM46" s="6">
        <f t="shared" si="17"/>
        <v>5732</v>
      </c>
      <c r="DN46" s="6">
        <f t="shared" si="18"/>
        <v>2460</v>
      </c>
      <c r="DO46" s="6">
        <f t="shared" si="6"/>
        <v>165245</v>
      </c>
      <c r="DP46" s="6">
        <f t="shared" si="16"/>
        <v>58159</v>
      </c>
      <c r="DQ46" s="6"/>
      <c r="DR46" s="6">
        <f t="shared" si="7"/>
        <v>11247</v>
      </c>
      <c r="DS46" s="6">
        <f t="shared" si="8"/>
        <v>0</v>
      </c>
      <c r="DT46" s="6">
        <f t="shared" si="9"/>
        <v>6346</v>
      </c>
      <c r="DU46" s="6"/>
      <c r="DV46" s="6"/>
      <c r="DW46" s="6">
        <f t="shared" si="10"/>
        <v>361677</v>
      </c>
      <c r="DY46" s="6">
        <f t="shared" si="11"/>
        <v>171591</v>
      </c>
      <c r="DZ46" s="6">
        <f t="shared" si="12"/>
        <v>0</v>
      </c>
      <c r="EB46" s="6">
        <f t="shared" si="13"/>
        <v>361677</v>
      </c>
      <c r="EC46" s="6"/>
      <c r="ED46" s="6"/>
      <c r="EF46" s="6"/>
      <c r="EG46" s="6"/>
    </row>
    <row r="47" spans="2:137" ht="14">
      <c r="B47" s="4">
        <v>33390</v>
      </c>
      <c r="C47" s="5">
        <v>0</v>
      </c>
      <c r="D47" s="5">
        <v>0</v>
      </c>
      <c r="E47" s="5">
        <v>0</v>
      </c>
      <c r="F47" s="5" t="s">
        <v>82</v>
      </c>
      <c r="G47" s="5" t="s">
        <v>82</v>
      </c>
      <c r="H47" s="5">
        <v>0</v>
      </c>
      <c r="I47" s="5">
        <v>0</v>
      </c>
      <c r="J47" s="5">
        <v>0</v>
      </c>
      <c r="K47" s="5">
        <v>0</v>
      </c>
      <c r="L47" s="5"/>
      <c r="M47" s="5">
        <v>33762</v>
      </c>
      <c r="N47" s="5">
        <v>2766</v>
      </c>
      <c r="O47" s="5"/>
      <c r="P47" s="5">
        <v>6350</v>
      </c>
      <c r="Q47" s="5">
        <v>1104</v>
      </c>
      <c r="R47" s="5">
        <v>1262</v>
      </c>
      <c r="S47" s="5">
        <v>1603</v>
      </c>
      <c r="T47" s="5">
        <v>5982</v>
      </c>
      <c r="U47" s="5"/>
      <c r="V47" s="5"/>
      <c r="W47" s="5">
        <v>9143</v>
      </c>
      <c r="X47" s="5">
        <v>0</v>
      </c>
      <c r="Y47" s="5">
        <v>889</v>
      </c>
      <c r="Z47" s="5">
        <v>40</v>
      </c>
      <c r="AA47" s="155"/>
      <c r="AB47" s="5">
        <v>19</v>
      </c>
      <c r="AC47" s="5">
        <v>0</v>
      </c>
      <c r="AD47" s="5">
        <v>5</v>
      </c>
      <c r="AE47" s="5">
        <v>19</v>
      </c>
      <c r="AF47" s="5">
        <v>8</v>
      </c>
      <c r="AG47" s="5">
        <v>34</v>
      </c>
      <c r="AH47" s="5"/>
      <c r="AI47" s="5"/>
      <c r="AJ47" s="5">
        <v>56</v>
      </c>
      <c r="AK47" s="5">
        <v>0</v>
      </c>
      <c r="AL47" s="5">
        <v>47766</v>
      </c>
      <c r="AM47" s="5">
        <v>2766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1343</v>
      </c>
      <c r="AT47" s="5" t="s">
        <v>82</v>
      </c>
      <c r="AU47" s="5">
        <v>601</v>
      </c>
      <c r="AV47" s="5">
        <v>808</v>
      </c>
      <c r="AW47" s="5">
        <v>1383</v>
      </c>
      <c r="AX47" s="5">
        <v>2539</v>
      </c>
      <c r="AY47" s="155"/>
      <c r="AZ47" s="155"/>
      <c r="BA47" s="155">
        <v>0</v>
      </c>
      <c r="BB47" s="155"/>
      <c r="BC47" s="5">
        <v>1740</v>
      </c>
      <c r="BD47" s="5"/>
      <c r="BE47" s="5">
        <v>52690</v>
      </c>
      <c r="BF47" s="5">
        <v>113405</v>
      </c>
      <c r="BG47" s="5">
        <v>196</v>
      </c>
      <c r="BH47" s="5">
        <v>853</v>
      </c>
      <c r="BI47" s="5">
        <v>959</v>
      </c>
      <c r="BJ47" s="5">
        <v>3112</v>
      </c>
      <c r="BK47" s="5">
        <v>220</v>
      </c>
      <c r="BL47" s="5">
        <v>2793</v>
      </c>
      <c r="BM47" s="5"/>
      <c r="BN47" s="5">
        <v>278</v>
      </c>
      <c r="BO47" s="5">
        <v>200</v>
      </c>
      <c r="BP47" s="5">
        <v>0</v>
      </c>
      <c r="BQ47" s="5">
        <v>4936</v>
      </c>
      <c r="BR47" s="5">
        <v>11296</v>
      </c>
      <c r="BS47" s="5">
        <v>32</v>
      </c>
      <c r="BT47" s="5">
        <v>230</v>
      </c>
      <c r="BU47" s="5">
        <v>246</v>
      </c>
      <c r="BV47" s="5"/>
      <c r="BW47" s="5">
        <v>15</v>
      </c>
      <c r="BX47" s="5">
        <v>296</v>
      </c>
      <c r="BY47" s="5"/>
      <c r="BZ47" s="5">
        <v>5779</v>
      </c>
      <c r="CA47" s="5">
        <v>16</v>
      </c>
      <c r="CB47" s="5">
        <v>0</v>
      </c>
      <c r="CC47" s="5">
        <v>11418</v>
      </c>
      <c r="CD47" s="5">
        <v>29862</v>
      </c>
      <c r="CE47" s="5">
        <v>1358</v>
      </c>
      <c r="CF47" s="5">
        <v>4686</v>
      </c>
      <c r="CG47" s="5">
        <v>0</v>
      </c>
      <c r="CH47" s="5">
        <v>0</v>
      </c>
      <c r="CI47" s="5">
        <v>71</v>
      </c>
      <c r="CJ47" s="5">
        <v>793</v>
      </c>
      <c r="CK47" s="5">
        <v>173</v>
      </c>
      <c r="CL47" s="5"/>
      <c r="CM47" s="5"/>
      <c r="CN47" s="5"/>
      <c r="CO47" s="5"/>
      <c r="CP47" s="5"/>
      <c r="CQ47" s="5"/>
      <c r="CR47" s="5"/>
      <c r="CS47" s="5"/>
      <c r="CT47" s="5" t="s">
        <v>82</v>
      </c>
      <c r="CU47" s="5" t="s">
        <v>82</v>
      </c>
      <c r="CV47" s="5" t="s">
        <v>82</v>
      </c>
      <c r="CW47" s="5">
        <v>0</v>
      </c>
      <c r="CX47" s="5">
        <v>0</v>
      </c>
      <c r="CY47" s="5">
        <v>0</v>
      </c>
      <c r="DA47" s="6"/>
      <c r="DD47" s="6">
        <f t="shared" si="1"/>
        <v>245913</v>
      </c>
      <c r="DE47" s="6">
        <f t="shared" si="2"/>
        <v>121988</v>
      </c>
      <c r="DF47" s="16">
        <f t="shared" si="3"/>
        <v>367901</v>
      </c>
      <c r="DK47" s="6">
        <f t="shared" si="4"/>
        <v>55990</v>
      </c>
      <c r="DL47" s="6">
        <f t="shared" si="5"/>
        <v>57443</v>
      </c>
      <c r="DM47" s="6">
        <f t="shared" si="17"/>
        <v>5982</v>
      </c>
      <c r="DN47" s="6">
        <f t="shared" si="18"/>
        <v>2573</v>
      </c>
      <c r="DO47" s="6">
        <f t="shared" si="6"/>
        <v>169040</v>
      </c>
      <c r="DP47" s="6">
        <f t="shared" si="16"/>
        <v>58987</v>
      </c>
      <c r="DQ47" s="6"/>
      <c r="DR47" s="6">
        <f t="shared" si="7"/>
        <v>11489</v>
      </c>
      <c r="DS47" s="6">
        <f t="shared" si="8"/>
        <v>0</v>
      </c>
      <c r="DT47" s="6">
        <f t="shared" si="9"/>
        <v>6397</v>
      </c>
      <c r="DU47" s="6"/>
      <c r="DV47" s="6"/>
      <c r="DW47" s="6">
        <f t="shared" si="10"/>
        <v>367901</v>
      </c>
      <c r="DY47" s="6">
        <f t="shared" si="11"/>
        <v>175437</v>
      </c>
      <c r="DZ47" s="6">
        <f t="shared" si="12"/>
        <v>0</v>
      </c>
      <c r="EB47" s="6">
        <f t="shared" si="13"/>
        <v>367901</v>
      </c>
      <c r="EC47" s="6"/>
      <c r="ED47" s="6"/>
      <c r="EF47" s="6"/>
      <c r="EG47" s="6"/>
    </row>
    <row r="48" spans="2:137" ht="14">
      <c r="B48" s="4">
        <v>33420</v>
      </c>
      <c r="C48" s="5">
        <v>0</v>
      </c>
      <c r="D48" s="5">
        <v>0</v>
      </c>
      <c r="E48" s="5">
        <v>0</v>
      </c>
      <c r="F48" s="5" t="s">
        <v>82</v>
      </c>
      <c r="G48" s="5" t="s">
        <v>82</v>
      </c>
      <c r="H48" s="5">
        <v>0</v>
      </c>
      <c r="I48" s="5">
        <v>0</v>
      </c>
      <c r="J48" s="5">
        <v>0</v>
      </c>
      <c r="K48" s="5">
        <v>0</v>
      </c>
      <c r="L48" s="5"/>
      <c r="M48" s="5">
        <v>33797</v>
      </c>
      <c r="N48" s="5">
        <v>2819</v>
      </c>
      <c r="O48" s="5"/>
      <c r="P48" s="5">
        <v>6404</v>
      </c>
      <c r="Q48" s="5">
        <v>1104</v>
      </c>
      <c r="R48" s="5">
        <v>1271</v>
      </c>
      <c r="S48" s="5">
        <v>1624</v>
      </c>
      <c r="T48" s="5">
        <v>9219</v>
      </c>
      <c r="U48" s="5"/>
      <c r="V48" s="5"/>
      <c r="W48" s="5">
        <v>6145</v>
      </c>
      <c r="X48" s="5">
        <v>0</v>
      </c>
      <c r="Y48" s="5">
        <v>888</v>
      </c>
      <c r="Z48" s="5">
        <v>40</v>
      </c>
      <c r="AA48" s="155"/>
      <c r="AB48" s="5">
        <v>21</v>
      </c>
      <c r="AC48" s="5">
        <v>0</v>
      </c>
      <c r="AD48" s="5">
        <v>6</v>
      </c>
      <c r="AE48" s="5">
        <v>19</v>
      </c>
      <c r="AF48" s="5">
        <v>7</v>
      </c>
      <c r="AG48" s="5">
        <v>36</v>
      </c>
      <c r="AH48" s="5"/>
      <c r="AI48" s="5"/>
      <c r="AJ48" s="5">
        <v>53</v>
      </c>
      <c r="AK48" s="5">
        <v>0</v>
      </c>
      <c r="AL48" s="5">
        <v>48119</v>
      </c>
      <c r="AM48" s="5">
        <v>2773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1343</v>
      </c>
      <c r="AT48" s="5" t="s">
        <v>82</v>
      </c>
      <c r="AU48" s="5">
        <v>584</v>
      </c>
      <c r="AV48" s="5">
        <v>832</v>
      </c>
      <c r="AW48" s="5">
        <v>1396</v>
      </c>
      <c r="AX48" s="5">
        <v>2632</v>
      </c>
      <c r="AY48" s="155"/>
      <c r="AZ48" s="155"/>
      <c r="BA48" s="155">
        <v>0</v>
      </c>
      <c r="BB48" s="155"/>
      <c r="BC48" s="5">
        <v>1748</v>
      </c>
      <c r="BD48" s="5"/>
      <c r="BE48" s="5">
        <v>52512</v>
      </c>
      <c r="BF48" s="5">
        <v>113225</v>
      </c>
      <c r="BG48" s="5">
        <v>195</v>
      </c>
      <c r="BH48" s="5">
        <v>894</v>
      </c>
      <c r="BI48" s="5">
        <v>988</v>
      </c>
      <c r="BJ48" s="5">
        <v>3120</v>
      </c>
      <c r="BK48" s="5">
        <v>212</v>
      </c>
      <c r="BL48" s="5">
        <v>2776</v>
      </c>
      <c r="BM48" s="5"/>
      <c r="BN48" s="5">
        <v>297</v>
      </c>
      <c r="BO48" s="5">
        <v>192</v>
      </c>
      <c r="BP48" s="5">
        <v>0</v>
      </c>
      <c r="BQ48" s="5">
        <v>5019</v>
      </c>
      <c r="BR48" s="5">
        <v>11549</v>
      </c>
      <c r="BS48" s="5">
        <v>33</v>
      </c>
      <c r="BT48" s="5">
        <v>291</v>
      </c>
      <c r="BU48" s="5">
        <v>313</v>
      </c>
      <c r="BV48" s="5"/>
      <c r="BW48" s="5">
        <v>15</v>
      </c>
      <c r="BX48" s="5">
        <v>298</v>
      </c>
      <c r="BY48" s="5"/>
      <c r="BZ48" s="5">
        <v>5681</v>
      </c>
      <c r="CA48" s="5">
        <v>12</v>
      </c>
      <c r="CB48" s="5">
        <v>0</v>
      </c>
      <c r="CC48" s="5">
        <v>11376</v>
      </c>
      <c r="CD48" s="5">
        <v>30639</v>
      </c>
      <c r="CE48" s="5">
        <v>1442</v>
      </c>
      <c r="CF48" s="5">
        <v>5123</v>
      </c>
      <c r="CG48" s="5">
        <v>0</v>
      </c>
      <c r="CH48" s="5">
        <v>0</v>
      </c>
      <c r="CI48" s="5">
        <v>76</v>
      </c>
      <c r="CJ48" s="5">
        <v>769</v>
      </c>
      <c r="CK48" s="5">
        <v>172</v>
      </c>
      <c r="CL48" s="5"/>
      <c r="CM48" s="5"/>
      <c r="CN48" s="5"/>
      <c r="CO48" s="5"/>
      <c r="CP48" s="5"/>
      <c r="CQ48" s="5"/>
      <c r="CR48" s="5"/>
      <c r="CS48" s="5"/>
      <c r="CT48" s="5" t="s">
        <v>82</v>
      </c>
      <c r="CU48" s="5" t="s">
        <v>82</v>
      </c>
      <c r="CV48" s="5" t="s">
        <v>82</v>
      </c>
      <c r="CW48" s="5">
        <v>0</v>
      </c>
      <c r="CX48" s="5">
        <v>0</v>
      </c>
      <c r="CY48" s="5">
        <v>0</v>
      </c>
      <c r="DA48" s="6"/>
      <c r="DD48" s="6">
        <f t="shared" si="1"/>
        <v>247219</v>
      </c>
      <c r="DE48" s="6">
        <f t="shared" si="2"/>
        <v>122880</v>
      </c>
      <c r="DF48" s="16">
        <f t="shared" si="3"/>
        <v>370099</v>
      </c>
      <c r="DK48" s="6">
        <f t="shared" si="4"/>
        <v>53164</v>
      </c>
      <c r="DL48" s="6">
        <f t="shared" si="5"/>
        <v>57829</v>
      </c>
      <c r="DM48" s="6">
        <f t="shared" si="17"/>
        <v>9219</v>
      </c>
      <c r="DN48" s="6">
        <f t="shared" si="18"/>
        <v>2668</v>
      </c>
      <c r="DO48" s="6">
        <f t="shared" si="6"/>
        <v>170365</v>
      </c>
      <c r="DP48" s="6">
        <f t="shared" si="16"/>
        <v>59013</v>
      </c>
      <c r="DQ48" s="6"/>
      <c r="DR48" s="6">
        <f t="shared" si="7"/>
        <v>11452</v>
      </c>
      <c r="DS48" s="6">
        <f t="shared" si="8"/>
        <v>0</v>
      </c>
      <c r="DT48" s="6">
        <f t="shared" si="9"/>
        <v>6389</v>
      </c>
      <c r="DU48" s="6"/>
      <c r="DV48" s="6"/>
      <c r="DW48" s="6">
        <f t="shared" si="10"/>
        <v>370099</v>
      </c>
      <c r="DY48" s="6">
        <f t="shared" si="11"/>
        <v>176754</v>
      </c>
      <c r="DZ48" s="6">
        <f t="shared" si="12"/>
        <v>0</v>
      </c>
      <c r="EB48" s="6">
        <f t="shared" si="13"/>
        <v>370099</v>
      </c>
      <c r="EC48" s="6"/>
      <c r="ED48" s="6"/>
      <c r="EF48" s="6"/>
      <c r="EG48" s="6"/>
    </row>
    <row r="49" spans="2:137" ht="14">
      <c r="B49" s="4">
        <v>33451</v>
      </c>
      <c r="C49" s="5">
        <v>0</v>
      </c>
      <c r="D49" s="5">
        <v>0</v>
      </c>
      <c r="E49" s="5">
        <v>0</v>
      </c>
      <c r="F49" s="5" t="s">
        <v>82</v>
      </c>
      <c r="G49" s="5" t="s">
        <v>82</v>
      </c>
      <c r="H49" s="5">
        <v>0</v>
      </c>
      <c r="I49" s="5">
        <v>0</v>
      </c>
      <c r="J49" s="5">
        <v>0</v>
      </c>
      <c r="K49" s="5">
        <v>0</v>
      </c>
      <c r="L49" s="5"/>
      <c r="M49" s="5">
        <v>33893</v>
      </c>
      <c r="N49" s="5">
        <v>2852</v>
      </c>
      <c r="O49" s="5"/>
      <c r="P49" s="5">
        <v>6494</v>
      </c>
      <c r="Q49" s="5">
        <v>1124</v>
      </c>
      <c r="R49" s="5">
        <v>1260</v>
      </c>
      <c r="S49" s="5">
        <v>1671</v>
      </c>
      <c r="T49" s="5">
        <v>6444</v>
      </c>
      <c r="U49" s="5"/>
      <c r="V49" s="5"/>
      <c r="W49" s="5">
        <v>9263</v>
      </c>
      <c r="X49" s="5">
        <v>0</v>
      </c>
      <c r="Y49" s="5">
        <v>892</v>
      </c>
      <c r="Z49" s="5">
        <v>40</v>
      </c>
      <c r="AA49" s="155"/>
      <c r="AB49" s="5">
        <v>23</v>
      </c>
      <c r="AC49" s="5">
        <v>0</v>
      </c>
      <c r="AD49" s="5">
        <v>6</v>
      </c>
      <c r="AE49" s="5">
        <v>19</v>
      </c>
      <c r="AF49" s="5">
        <v>7</v>
      </c>
      <c r="AG49" s="5">
        <v>36</v>
      </c>
      <c r="AH49" s="5"/>
      <c r="AI49" s="5"/>
      <c r="AJ49" s="5">
        <v>55</v>
      </c>
      <c r="AK49" s="5">
        <v>0</v>
      </c>
      <c r="AL49" s="5">
        <v>48455</v>
      </c>
      <c r="AM49" s="5">
        <v>2800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1401</v>
      </c>
      <c r="AT49" s="5" t="s">
        <v>82</v>
      </c>
      <c r="AU49" s="5">
        <v>592</v>
      </c>
      <c r="AV49" s="5">
        <v>842</v>
      </c>
      <c r="AW49" s="5">
        <v>1416</v>
      </c>
      <c r="AX49" s="5">
        <v>2744</v>
      </c>
      <c r="AY49" s="155"/>
      <c r="AZ49" s="155"/>
      <c r="BA49" s="155">
        <v>0</v>
      </c>
      <c r="BB49" s="155"/>
      <c r="BC49" s="5">
        <v>1727</v>
      </c>
      <c r="BD49" s="5"/>
      <c r="BE49" s="5">
        <v>53073</v>
      </c>
      <c r="BF49" s="5">
        <v>114432</v>
      </c>
      <c r="BG49" s="5">
        <v>189</v>
      </c>
      <c r="BH49" s="5">
        <v>900</v>
      </c>
      <c r="BI49" s="5">
        <v>1005</v>
      </c>
      <c r="BJ49" s="5">
        <v>3087</v>
      </c>
      <c r="BK49" s="5">
        <v>216</v>
      </c>
      <c r="BL49" s="5">
        <v>2760</v>
      </c>
      <c r="BM49" s="5"/>
      <c r="BN49" s="5">
        <v>401</v>
      </c>
      <c r="BO49" s="5">
        <v>182</v>
      </c>
      <c r="BP49" s="5">
        <v>0</v>
      </c>
      <c r="BQ49" s="5">
        <v>5342</v>
      </c>
      <c r="BR49" s="5">
        <v>11909</v>
      </c>
      <c r="BS49" s="5">
        <v>36</v>
      </c>
      <c r="BT49" s="5">
        <v>342</v>
      </c>
      <c r="BU49" s="5">
        <v>358</v>
      </c>
      <c r="BV49" s="5"/>
      <c r="BW49" s="5">
        <v>12</v>
      </c>
      <c r="BX49" s="5">
        <v>289</v>
      </c>
      <c r="BY49" s="5"/>
      <c r="BZ49" s="5">
        <v>5695</v>
      </c>
      <c r="CA49" s="5">
        <v>8</v>
      </c>
      <c r="CB49" s="5">
        <v>0</v>
      </c>
      <c r="CC49" s="5">
        <v>11638</v>
      </c>
      <c r="CD49" s="5">
        <v>32037</v>
      </c>
      <c r="CE49" s="5">
        <v>1977</v>
      </c>
      <c r="CF49" s="5">
        <v>4983</v>
      </c>
      <c r="CG49" s="5">
        <v>0</v>
      </c>
      <c r="CH49" s="5">
        <v>0</v>
      </c>
      <c r="CI49" s="5">
        <v>71</v>
      </c>
      <c r="CJ49" s="5">
        <v>744</v>
      </c>
      <c r="CK49" s="5">
        <v>133</v>
      </c>
      <c r="CL49" s="5"/>
      <c r="CM49" s="5"/>
      <c r="CN49" s="5"/>
      <c r="CO49" s="5"/>
      <c r="CP49" s="5"/>
      <c r="CQ49" s="5"/>
      <c r="CR49" s="5"/>
      <c r="CS49" s="5"/>
      <c r="CT49" s="5" t="s">
        <v>82</v>
      </c>
      <c r="CU49" s="5" t="s">
        <v>82</v>
      </c>
      <c r="CV49" s="5" t="s">
        <v>82</v>
      </c>
      <c r="CW49" s="5">
        <v>0</v>
      </c>
      <c r="CX49" s="5">
        <v>0</v>
      </c>
      <c r="CY49" s="5">
        <v>0</v>
      </c>
      <c r="DA49" s="6"/>
      <c r="DD49" s="6">
        <f t="shared" si="1"/>
        <v>251819</v>
      </c>
      <c r="DE49" s="6">
        <f t="shared" si="2"/>
        <v>124056</v>
      </c>
      <c r="DF49" s="16">
        <f t="shared" si="3"/>
        <v>375875</v>
      </c>
      <c r="DK49" s="6">
        <f t="shared" si="4"/>
        <v>56557</v>
      </c>
      <c r="DL49" s="6">
        <f t="shared" si="5"/>
        <v>58275</v>
      </c>
      <c r="DM49" s="6">
        <f t="shared" si="17"/>
        <v>6444</v>
      </c>
      <c r="DN49" s="6">
        <f t="shared" si="18"/>
        <v>2780</v>
      </c>
      <c r="DO49" s="6">
        <f t="shared" si="6"/>
        <v>173727</v>
      </c>
      <c r="DP49" s="6">
        <f t="shared" si="16"/>
        <v>60058</v>
      </c>
      <c r="DQ49" s="6"/>
      <c r="DR49" s="6">
        <f t="shared" si="7"/>
        <v>11709</v>
      </c>
      <c r="DS49" s="6">
        <f t="shared" si="8"/>
        <v>0</v>
      </c>
      <c r="DT49" s="6">
        <f t="shared" si="9"/>
        <v>6325</v>
      </c>
      <c r="DU49" s="6"/>
      <c r="DV49" s="6"/>
      <c r="DW49" s="6">
        <f t="shared" si="10"/>
        <v>375875</v>
      </c>
      <c r="DY49" s="6">
        <f t="shared" si="11"/>
        <v>180052</v>
      </c>
      <c r="DZ49" s="6">
        <f t="shared" si="12"/>
        <v>0</v>
      </c>
      <c r="EB49" s="6">
        <f t="shared" si="13"/>
        <v>375875</v>
      </c>
      <c r="EC49" s="6"/>
      <c r="ED49" s="6"/>
      <c r="EF49" s="6"/>
      <c r="EG49" s="6"/>
    </row>
    <row r="50" spans="2:137" ht="14">
      <c r="B50" s="4">
        <v>33482</v>
      </c>
      <c r="C50" s="5">
        <v>0</v>
      </c>
      <c r="D50" s="5">
        <v>0</v>
      </c>
      <c r="E50" s="5">
        <v>0</v>
      </c>
      <c r="F50" s="5" t="s">
        <v>82</v>
      </c>
      <c r="G50" s="5" t="s">
        <v>82</v>
      </c>
      <c r="H50" s="5">
        <v>0</v>
      </c>
      <c r="I50" s="5">
        <v>0</v>
      </c>
      <c r="J50" s="5">
        <v>0</v>
      </c>
      <c r="K50" s="5">
        <v>0</v>
      </c>
      <c r="L50" s="5"/>
      <c r="M50" s="5">
        <v>33920</v>
      </c>
      <c r="N50" s="5">
        <v>2884</v>
      </c>
      <c r="O50" s="5"/>
      <c r="P50" s="5">
        <v>6554</v>
      </c>
      <c r="Q50" s="5">
        <v>1115</v>
      </c>
      <c r="R50" s="5">
        <v>1286</v>
      </c>
      <c r="S50" s="5">
        <v>1761</v>
      </c>
      <c r="T50" s="5">
        <v>6822</v>
      </c>
      <c r="U50" s="5"/>
      <c r="V50" s="5"/>
      <c r="W50" s="5">
        <v>9266</v>
      </c>
      <c r="X50" s="5">
        <v>0</v>
      </c>
      <c r="Y50" s="5">
        <v>897</v>
      </c>
      <c r="Z50" s="5">
        <v>40</v>
      </c>
      <c r="AA50" s="155"/>
      <c r="AB50" s="5">
        <v>24</v>
      </c>
      <c r="AC50" s="5">
        <v>0</v>
      </c>
      <c r="AD50" s="5">
        <v>6</v>
      </c>
      <c r="AE50" s="5">
        <v>19</v>
      </c>
      <c r="AF50" s="5">
        <v>9</v>
      </c>
      <c r="AG50" s="5">
        <v>35</v>
      </c>
      <c r="AH50" s="5"/>
      <c r="AI50" s="5"/>
      <c r="AJ50" s="5">
        <v>54</v>
      </c>
      <c r="AK50" s="5">
        <v>0</v>
      </c>
      <c r="AL50" s="5">
        <v>48839</v>
      </c>
      <c r="AM50" s="5">
        <v>2856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1403</v>
      </c>
      <c r="AT50" s="5" t="s">
        <v>82</v>
      </c>
      <c r="AU50" s="5">
        <v>593</v>
      </c>
      <c r="AV50" s="5">
        <v>855</v>
      </c>
      <c r="AW50" s="5">
        <v>1434</v>
      </c>
      <c r="AX50" s="5">
        <v>2871</v>
      </c>
      <c r="AY50" s="155"/>
      <c r="AZ50" s="155"/>
      <c r="BA50" s="155">
        <v>0</v>
      </c>
      <c r="BB50" s="155"/>
      <c r="BC50" s="5">
        <v>1735</v>
      </c>
      <c r="BD50" s="5"/>
      <c r="BE50" s="5">
        <v>53514</v>
      </c>
      <c r="BF50" s="5">
        <v>115634</v>
      </c>
      <c r="BG50" s="5">
        <v>194</v>
      </c>
      <c r="BH50" s="5">
        <v>920</v>
      </c>
      <c r="BI50" s="5">
        <v>1049</v>
      </c>
      <c r="BJ50" s="5">
        <v>3083</v>
      </c>
      <c r="BK50" s="5">
        <v>207</v>
      </c>
      <c r="BL50" s="5">
        <v>2734</v>
      </c>
      <c r="BM50" s="5"/>
      <c r="BN50" s="5">
        <v>589</v>
      </c>
      <c r="BO50" s="5">
        <v>182</v>
      </c>
      <c r="BP50" s="5">
        <v>0</v>
      </c>
      <c r="BQ50" s="5">
        <v>5603</v>
      </c>
      <c r="BR50" s="5">
        <v>12264</v>
      </c>
      <c r="BS50" s="5">
        <v>35</v>
      </c>
      <c r="BT50" s="5">
        <v>379</v>
      </c>
      <c r="BU50" s="5">
        <v>397</v>
      </c>
      <c r="BV50" s="5"/>
      <c r="BW50" s="5">
        <v>10</v>
      </c>
      <c r="BX50" s="5">
        <v>284</v>
      </c>
      <c r="BY50" s="5"/>
      <c r="BZ50" s="5">
        <v>5665</v>
      </c>
      <c r="CA50" s="5">
        <v>7</v>
      </c>
      <c r="CB50" s="5">
        <v>0</v>
      </c>
      <c r="CC50" s="5">
        <v>11772</v>
      </c>
      <c r="CD50" s="5">
        <v>33445</v>
      </c>
      <c r="CE50" s="5">
        <v>2580</v>
      </c>
      <c r="CF50" s="5">
        <v>5474</v>
      </c>
      <c r="CG50" s="5">
        <v>0</v>
      </c>
      <c r="CH50" s="5">
        <v>0</v>
      </c>
      <c r="CI50" s="5">
        <v>69</v>
      </c>
      <c r="CJ50" s="5">
        <v>700</v>
      </c>
      <c r="CK50" s="5">
        <v>128</v>
      </c>
      <c r="CL50" s="5"/>
      <c r="CM50" s="5"/>
      <c r="CN50" s="5"/>
      <c r="CO50" s="5"/>
      <c r="CP50" s="5"/>
      <c r="CQ50" s="5"/>
      <c r="CR50" s="5"/>
      <c r="CS50" s="5"/>
      <c r="CT50" s="5" t="s">
        <v>82</v>
      </c>
      <c r="CU50" s="5" t="s">
        <v>82</v>
      </c>
      <c r="CV50" s="5" t="s">
        <v>82</v>
      </c>
      <c r="CW50" s="5">
        <v>0</v>
      </c>
      <c r="CX50" s="5">
        <v>0</v>
      </c>
      <c r="CY50" s="5">
        <v>0</v>
      </c>
      <c r="DA50" s="6"/>
      <c r="DD50" s="6">
        <f t="shared" si="1"/>
        <v>256918</v>
      </c>
      <c r="DE50" s="6">
        <f t="shared" si="2"/>
        <v>125278</v>
      </c>
      <c r="DF50" s="16">
        <f t="shared" si="3"/>
        <v>382196</v>
      </c>
      <c r="DK50" s="6">
        <f t="shared" si="4"/>
        <v>56786</v>
      </c>
      <c r="DL50" s="6">
        <f t="shared" si="5"/>
        <v>58764</v>
      </c>
      <c r="DM50" s="6">
        <f t="shared" si="17"/>
        <v>6822</v>
      </c>
      <c r="DN50" s="6">
        <f t="shared" si="18"/>
        <v>2906</v>
      </c>
      <c r="DO50" s="6">
        <f t="shared" si="6"/>
        <v>177777</v>
      </c>
      <c r="DP50" s="6">
        <f t="shared" si="16"/>
        <v>61005</v>
      </c>
      <c r="DQ50" s="6"/>
      <c r="DR50" s="6">
        <f t="shared" si="7"/>
        <v>11841</v>
      </c>
      <c r="DS50" s="6">
        <f t="shared" si="8"/>
        <v>0</v>
      </c>
      <c r="DT50" s="6">
        <f t="shared" si="9"/>
        <v>6295</v>
      </c>
      <c r="DU50" s="6"/>
      <c r="DV50" s="6"/>
      <c r="DW50" s="6">
        <f t="shared" si="10"/>
        <v>382196</v>
      </c>
      <c r="DY50" s="6">
        <f t="shared" si="11"/>
        <v>184072</v>
      </c>
      <c r="DZ50" s="6">
        <f t="shared" si="12"/>
        <v>0</v>
      </c>
      <c r="EB50" s="6">
        <f t="shared" si="13"/>
        <v>382196</v>
      </c>
      <c r="EC50" s="6"/>
      <c r="ED50" s="6"/>
      <c r="EF50" s="6"/>
      <c r="EG50" s="6"/>
    </row>
    <row r="51" spans="2:137" ht="14">
      <c r="B51" s="4">
        <v>33512</v>
      </c>
      <c r="C51" s="5">
        <v>0</v>
      </c>
      <c r="D51" s="5">
        <v>0</v>
      </c>
      <c r="E51" s="5">
        <v>0</v>
      </c>
      <c r="F51" s="5" t="s">
        <v>82</v>
      </c>
      <c r="G51" s="5" t="s">
        <v>82</v>
      </c>
      <c r="H51" s="5">
        <v>0</v>
      </c>
      <c r="I51" s="5">
        <v>0</v>
      </c>
      <c r="J51" s="5">
        <v>0</v>
      </c>
      <c r="K51" s="5">
        <v>0</v>
      </c>
      <c r="L51" s="5"/>
      <c r="M51" s="5">
        <v>34097</v>
      </c>
      <c r="N51" s="5">
        <v>2888</v>
      </c>
      <c r="O51" s="5"/>
      <c r="P51" s="5">
        <v>6597</v>
      </c>
      <c r="Q51" s="5">
        <v>1141</v>
      </c>
      <c r="R51" s="5">
        <v>1309</v>
      </c>
      <c r="S51" s="5">
        <v>1812</v>
      </c>
      <c r="T51" s="5">
        <v>7247</v>
      </c>
      <c r="U51" s="5"/>
      <c r="V51" s="5"/>
      <c r="W51" s="5">
        <v>9326</v>
      </c>
      <c r="X51" s="5">
        <v>0</v>
      </c>
      <c r="Y51" s="5">
        <v>898</v>
      </c>
      <c r="Z51" s="5">
        <v>40</v>
      </c>
      <c r="AA51" s="155"/>
      <c r="AB51" s="5">
        <v>23</v>
      </c>
      <c r="AC51" s="5">
        <v>0</v>
      </c>
      <c r="AD51" s="5">
        <v>6</v>
      </c>
      <c r="AE51" s="5">
        <v>18</v>
      </c>
      <c r="AF51" s="5">
        <v>8</v>
      </c>
      <c r="AG51" s="5">
        <v>36</v>
      </c>
      <c r="AH51" s="5"/>
      <c r="AI51" s="5"/>
      <c r="AJ51" s="5">
        <v>52</v>
      </c>
      <c r="AK51" s="5">
        <v>0</v>
      </c>
      <c r="AL51" s="5">
        <v>49289</v>
      </c>
      <c r="AM51" s="5">
        <v>2863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1445</v>
      </c>
      <c r="AT51" s="5" t="s">
        <v>82</v>
      </c>
      <c r="AU51" s="5">
        <v>601</v>
      </c>
      <c r="AV51" s="5">
        <v>867</v>
      </c>
      <c r="AW51" s="5">
        <v>1444</v>
      </c>
      <c r="AX51" s="5">
        <v>3060</v>
      </c>
      <c r="AY51" s="155"/>
      <c r="AZ51" s="155"/>
      <c r="BA51" s="155">
        <v>0</v>
      </c>
      <c r="BB51" s="155"/>
      <c r="BC51" s="5">
        <v>1710</v>
      </c>
      <c r="BD51" s="5"/>
      <c r="BE51" s="5">
        <v>53633</v>
      </c>
      <c r="BF51" s="5">
        <v>115887</v>
      </c>
      <c r="BG51" s="5">
        <v>195</v>
      </c>
      <c r="BH51" s="5">
        <v>860</v>
      </c>
      <c r="BI51" s="5">
        <v>952</v>
      </c>
      <c r="BJ51" s="5">
        <v>3082</v>
      </c>
      <c r="BK51" s="5">
        <v>204</v>
      </c>
      <c r="BL51" s="5">
        <v>2744</v>
      </c>
      <c r="BM51" s="5"/>
      <c r="BN51" s="5">
        <v>673</v>
      </c>
      <c r="BO51" s="5">
        <v>179</v>
      </c>
      <c r="BP51" s="5">
        <v>0</v>
      </c>
      <c r="BQ51" s="5">
        <v>5780</v>
      </c>
      <c r="BR51" s="5">
        <v>12567</v>
      </c>
      <c r="BS51" s="5">
        <v>36</v>
      </c>
      <c r="BT51" s="5">
        <v>412</v>
      </c>
      <c r="BU51" s="5">
        <v>452</v>
      </c>
      <c r="BV51" s="5"/>
      <c r="BW51" s="5">
        <v>7</v>
      </c>
      <c r="BX51" s="5">
        <v>277</v>
      </c>
      <c r="BY51" s="5"/>
      <c r="BZ51" s="5">
        <v>5593</v>
      </c>
      <c r="CA51" s="5">
        <v>9</v>
      </c>
      <c r="CB51" s="5">
        <v>0</v>
      </c>
      <c r="CC51" s="5">
        <v>11721</v>
      </c>
      <c r="CD51" s="5">
        <v>34577</v>
      </c>
      <c r="CE51" s="5">
        <v>3211</v>
      </c>
      <c r="CF51" s="5">
        <v>5977</v>
      </c>
      <c r="CG51" s="5">
        <v>0</v>
      </c>
      <c r="CH51" s="5">
        <v>0</v>
      </c>
      <c r="CI51" s="5">
        <v>74</v>
      </c>
      <c r="CJ51" s="5">
        <v>676</v>
      </c>
      <c r="CK51" s="5">
        <v>135</v>
      </c>
      <c r="CL51" s="5"/>
      <c r="CM51" s="5"/>
      <c r="CN51" s="5"/>
      <c r="CO51" s="5"/>
      <c r="CP51" s="5"/>
      <c r="CQ51" s="5"/>
      <c r="CR51" s="5"/>
      <c r="CS51" s="5"/>
      <c r="CT51" s="5" t="s">
        <v>82</v>
      </c>
      <c r="CU51" s="5" t="s">
        <v>82</v>
      </c>
      <c r="CV51" s="5" t="s">
        <v>82</v>
      </c>
      <c r="CW51" s="5">
        <v>0</v>
      </c>
      <c r="CX51" s="5">
        <v>0</v>
      </c>
      <c r="CY51" s="5">
        <v>0</v>
      </c>
      <c r="DA51" s="6"/>
      <c r="DD51" s="6">
        <f t="shared" si="1"/>
        <v>259913</v>
      </c>
      <c r="DE51" s="6">
        <f t="shared" si="2"/>
        <v>126777</v>
      </c>
      <c r="DF51" s="16">
        <f t="shared" si="3"/>
        <v>386690</v>
      </c>
      <c r="DK51" s="6">
        <f t="shared" si="4"/>
        <v>57170</v>
      </c>
      <c r="DL51" s="6">
        <f t="shared" si="5"/>
        <v>59264</v>
      </c>
      <c r="DM51" s="6">
        <f t="shared" si="17"/>
        <v>7247</v>
      </c>
      <c r="DN51" s="6">
        <f t="shared" si="18"/>
        <v>3096</v>
      </c>
      <c r="DO51" s="6">
        <f t="shared" si="6"/>
        <v>180462</v>
      </c>
      <c r="DP51" s="6">
        <f t="shared" si="16"/>
        <v>61358</v>
      </c>
      <c r="DQ51" s="6"/>
      <c r="DR51" s="6">
        <f t="shared" si="7"/>
        <v>11795</v>
      </c>
      <c r="DS51" s="6">
        <f t="shared" si="8"/>
        <v>0</v>
      </c>
      <c r="DT51" s="6">
        <f t="shared" si="9"/>
        <v>6298</v>
      </c>
      <c r="DU51" s="6"/>
      <c r="DV51" s="6"/>
      <c r="DW51" s="6">
        <f t="shared" si="10"/>
        <v>386690</v>
      </c>
      <c r="DY51" s="6">
        <f t="shared" si="11"/>
        <v>186760</v>
      </c>
      <c r="DZ51" s="6">
        <f t="shared" si="12"/>
        <v>0</v>
      </c>
      <c r="EB51" s="6">
        <f t="shared" si="13"/>
        <v>386690</v>
      </c>
      <c r="EC51" s="6"/>
      <c r="ED51" s="6"/>
      <c r="EF51" s="6"/>
      <c r="EG51" s="6"/>
    </row>
    <row r="52" spans="2:137" ht="14">
      <c r="B52" s="4">
        <v>33543</v>
      </c>
      <c r="C52" s="5">
        <v>0</v>
      </c>
      <c r="D52" s="5">
        <v>0</v>
      </c>
      <c r="E52" s="5">
        <v>0</v>
      </c>
      <c r="F52" s="5" t="s">
        <v>82</v>
      </c>
      <c r="G52" s="5" t="s">
        <v>82</v>
      </c>
      <c r="H52" s="5">
        <v>0</v>
      </c>
      <c r="I52" s="5">
        <v>0</v>
      </c>
      <c r="J52" s="5">
        <v>0</v>
      </c>
      <c r="K52" s="5">
        <v>0</v>
      </c>
      <c r="L52" s="5"/>
      <c r="M52" s="5">
        <v>34183</v>
      </c>
      <c r="N52" s="5">
        <v>2929</v>
      </c>
      <c r="O52" s="5"/>
      <c r="P52" s="5">
        <v>6611</v>
      </c>
      <c r="Q52" s="5">
        <v>1177</v>
      </c>
      <c r="R52" s="5">
        <v>1313</v>
      </c>
      <c r="S52" s="5">
        <v>1884</v>
      </c>
      <c r="T52" s="5">
        <v>7634</v>
      </c>
      <c r="U52" s="5"/>
      <c r="V52" s="5"/>
      <c r="W52" s="5">
        <v>9357</v>
      </c>
      <c r="X52" s="5">
        <v>0</v>
      </c>
      <c r="Y52" s="5">
        <v>913</v>
      </c>
      <c r="Z52" s="5">
        <v>41</v>
      </c>
      <c r="AA52" s="155"/>
      <c r="AB52" s="5">
        <v>23</v>
      </c>
      <c r="AC52" s="5">
        <v>0</v>
      </c>
      <c r="AD52" s="5">
        <v>6</v>
      </c>
      <c r="AE52" s="5">
        <v>17</v>
      </c>
      <c r="AF52" s="5">
        <v>7</v>
      </c>
      <c r="AG52" s="5">
        <v>38</v>
      </c>
      <c r="AH52" s="5"/>
      <c r="AI52" s="5"/>
      <c r="AJ52" s="5">
        <v>52</v>
      </c>
      <c r="AK52" s="5">
        <v>0</v>
      </c>
      <c r="AL52" s="5">
        <v>49919</v>
      </c>
      <c r="AM52" s="5">
        <v>2892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1472</v>
      </c>
      <c r="AT52" s="5" t="s">
        <v>82</v>
      </c>
      <c r="AU52" s="5">
        <v>614</v>
      </c>
      <c r="AV52" s="5">
        <v>860</v>
      </c>
      <c r="AW52" s="5">
        <v>1459</v>
      </c>
      <c r="AX52" s="5">
        <v>3205</v>
      </c>
      <c r="AY52" s="155"/>
      <c r="AZ52" s="155"/>
      <c r="BA52" s="155">
        <v>0</v>
      </c>
      <c r="BB52" s="155"/>
      <c r="BC52" s="5">
        <v>1703</v>
      </c>
      <c r="BD52" s="5"/>
      <c r="BE52" s="5">
        <v>54754</v>
      </c>
      <c r="BF52" s="5">
        <v>118014</v>
      </c>
      <c r="BG52" s="5">
        <v>201</v>
      </c>
      <c r="BH52" s="5">
        <v>895</v>
      </c>
      <c r="BI52" s="5">
        <v>1006</v>
      </c>
      <c r="BJ52" s="5">
        <v>3112</v>
      </c>
      <c r="BK52" s="5">
        <v>203</v>
      </c>
      <c r="BL52" s="5">
        <v>2709</v>
      </c>
      <c r="BM52" s="5"/>
      <c r="BN52" s="5">
        <v>769</v>
      </c>
      <c r="BO52" s="5">
        <v>175</v>
      </c>
      <c r="BP52" s="5">
        <v>0</v>
      </c>
      <c r="BQ52" s="5">
        <v>5981</v>
      </c>
      <c r="BR52" s="5">
        <v>12933</v>
      </c>
      <c r="BS52" s="5">
        <v>36</v>
      </c>
      <c r="BT52" s="5">
        <v>418</v>
      </c>
      <c r="BU52" s="5">
        <v>470</v>
      </c>
      <c r="BV52" s="5"/>
      <c r="BW52" s="5">
        <v>8</v>
      </c>
      <c r="BX52" s="5">
        <v>266</v>
      </c>
      <c r="BY52" s="5"/>
      <c r="BZ52" s="5">
        <v>5613</v>
      </c>
      <c r="CA52" s="5">
        <v>11</v>
      </c>
      <c r="CB52" s="5">
        <v>0</v>
      </c>
      <c r="CC52" s="5">
        <v>11822</v>
      </c>
      <c r="CD52" s="5">
        <v>35783</v>
      </c>
      <c r="CE52" s="5">
        <v>3838</v>
      </c>
      <c r="CF52" s="5">
        <v>6545</v>
      </c>
      <c r="CG52" s="5">
        <v>0</v>
      </c>
      <c r="CH52" s="5">
        <v>0</v>
      </c>
      <c r="CI52" s="5">
        <v>65</v>
      </c>
      <c r="CJ52" s="5">
        <v>637</v>
      </c>
      <c r="CK52" s="5">
        <v>137</v>
      </c>
      <c r="CL52" s="5"/>
      <c r="CM52" s="5"/>
      <c r="CN52" s="5"/>
      <c r="CO52" s="5"/>
      <c r="CP52" s="5"/>
      <c r="CQ52" s="5"/>
      <c r="CR52" s="5"/>
      <c r="CS52" s="5"/>
      <c r="CT52" s="5" t="s">
        <v>82</v>
      </c>
      <c r="CU52" s="5" t="s">
        <v>82</v>
      </c>
      <c r="CV52" s="5" t="s">
        <v>82</v>
      </c>
      <c r="CW52" s="5">
        <v>0</v>
      </c>
      <c r="CX52" s="5">
        <v>0</v>
      </c>
      <c r="CY52" s="5">
        <v>0</v>
      </c>
      <c r="DA52" s="6"/>
      <c r="DD52" s="6">
        <f t="shared" si="1"/>
        <v>266401</v>
      </c>
      <c r="DE52" s="6">
        <f t="shared" si="2"/>
        <v>128309</v>
      </c>
      <c r="DF52" s="16">
        <f t="shared" si="3"/>
        <v>394710</v>
      </c>
      <c r="DK52" s="6">
        <f t="shared" si="4"/>
        <v>57454</v>
      </c>
      <c r="DL52" s="6">
        <f t="shared" si="5"/>
        <v>59978</v>
      </c>
      <c r="DM52" s="6">
        <f t="shared" si="17"/>
        <v>7634</v>
      </c>
      <c r="DN52" s="6">
        <f t="shared" si="18"/>
        <v>3243</v>
      </c>
      <c r="DO52" s="6">
        <f t="shared" si="6"/>
        <v>185409</v>
      </c>
      <c r="DP52" s="6">
        <f t="shared" si="16"/>
        <v>62817</v>
      </c>
      <c r="DQ52" s="6"/>
      <c r="DR52" s="6">
        <f t="shared" si="7"/>
        <v>11887</v>
      </c>
      <c r="DS52" s="6">
        <f t="shared" si="8"/>
        <v>0</v>
      </c>
      <c r="DT52" s="6">
        <f t="shared" si="9"/>
        <v>6288</v>
      </c>
      <c r="DU52" s="6"/>
      <c r="DV52" s="6"/>
      <c r="DW52" s="6">
        <f t="shared" si="10"/>
        <v>394710</v>
      </c>
      <c r="DY52" s="6">
        <f t="shared" si="11"/>
        <v>191697</v>
      </c>
      <c r="DZ52" s="6">
        <f t="shared" si="12"/>
        <v>0</v>
      </c>
      <c r="EB52" s="6">
        <f t="shared" si="13"/>
        <v>394710</v>
      </c>
      <c r="EC52" s="6"/>
      <c r="ED52" s="6"/>
      <c r="EF52" s="6"/>
      <c r="EG52" s="6"/>
    </row>
    <row r="53" spans="2:137" ht="14">
      <c r="B53" s="4">
        <v>33573</v>
      </c>
      <c r="C53" s="5">
        <v>0</v>
      </c>
      <c r="D53" s="5">
        <v>0</v>
      </c>
      <c r="E53" s="5">
        <v>0</v>
      </c>
      <c r="F53" s="5" t="s">
        <v>82</v>
      </c>
      <c r="G53" s="5" t="s">
        <v>82</v>
      </c>
      <c r="H53" s="5">
        <v>0</v>
      </c>
      <c r="I53" s="5">
        <v>0</v>
      </c>
      <c r="J53" s="5">
        <v>0</v>
      </c>
      <c r="K53" s="5">
        <v>0</v>
      </c>
      <c r="L53" s="5"/>
      <c r="M53" s="5">
        <v>34195</v>
      </c>
      <c r="N53" s="5">
        <v>2930</v>
      </c>
      <c r="O53" s="5"/>
      <c r="P53" s="5">
        <v>6667</v>
      </c>
      <c r="Q53" s="5">
        <v>1181</v>
      </c>
      <c r="R53" s="5">
        <v>1307</v>
      </c>
      <c r="S53" s="5">
        <v>1937</v>
      </c>
      <c r="T53" s="5">
        <v>7911</v>
      </c>
      <c r="U53" s="5"/>
      <c r="V53" s="5"/>
      <c r="W53" s="5">
        <v>9373</v>
      </c>
      <c r="X53" s="5">
        <v>0</v>
      </c>
      <c r="Y53" s="5">
        <v>909</v>
      </c>
      <c r="Z53" s="5">
        <v>40</v>
      </c>
      <c r="AA53" s="155"/>
      <c r="AB53" s="5">
        <v>23</v>
      </c>
      <c r="AC53" s="5">
        <v>0</v>
      </c>
      <c r="AD53" s="5">
        <v>6</v>
      </c>
      <c r="AE53" s="5">
        <v>17</v>
      </c>
      <c r="AF53" s="5">
        <v>6</v>
      </c>
      <c r="AG53" s="5">
        <v>38</v>
      </c>
      <c r="AH53" s="5"/>
      <c r="AI53" s="5"/>
      <c r="AJ53" s="5">
        <v>49</v>
      </c>
      <c r="AK53" s="5">
        <v>0</v>
      </c>
      <c r="AL53" s="5">
        <v>50251</v>
      </c>
      <c r="AM53" s="5">
        <v>2920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1460</v>
      </c>
      <c r="AT53" s="5" t="s">
        <v>82</v>
      </c>
      <c r="AU53" s="5">
        <v>603</v>
      </c>
      <c r="AV53" s="5">
        <v>882</v>
      </c>
      <c r="AW53" s="5">
        <v>1476</v>
      </c>
      <c r="AX53" s="5">
        <v>3310</v>
      </c>
      <c r="AY53" s="155"/>
      <c r="AZ53" s="155"/>
      <c r="BA53" s="155">
        <v>0</v>
      </c>
      <c r="BB53" s="155"/>
      <c r="BC53" s="5">
        <v>1667</v>
      </c>
      <c r="BD53" s="5"/>
      <c r="BE53" s="5">
        <v>55217</v>
      </c>
      <c r="BF53" s="5">
        <v>118998</v>
      </c>
      <c r="BG53" s="5">
        <v>200</v>
      </c>
      <c r="BH53" s="5">
        <v>988</v>
      </c>
      <c r="BI53" s="5">
        <v>1086</v>
      </c>
      <c r="BJ53" s="5">
        <v>3097</v>
      </c>
      <c r="BK53" s="5">
        <v>192</v>
      </c>
      <c r="BL53" s="5">
        <v>2700</v>
      </c>
      <c r="BM53" s="5"/>
      <c r="BN53" s="5">
        <v>688</v>
      </c>
      <c r="BO53" s="5">
        <v>172</v>
      </c>
      <c r="BP53" s="5">
        <v>0</v>
      </c>
      <c r="BQ53" s="5">
        <v>5973</v>
      </c>
      <c r="BR53" s="5">
        <v>12948</v>
      </c>
      <c r="BS53" s="5">
        <v>35</v>
      </c>
      <c r="BT53" s="5">
        <v>442</v>
      </c>
      <c r="BU53" s="5">
        <v>484</v>
      </c>
      <c r="BV53" s="5"/>
      <c r="BW53" s="5">
        <v>9</v>
      </c>
      <c r="BX53" s="5">
        <v>267</v>
      </c>
      <c r="BY53" s="5"/>
      <c r="BZ53" s="5">
        <v>5584</v>
      </c>
      <c r="CA53" s="5">
        <v>13</v>
      </c>
      <c r="CB53" s="5">
        <v>0</v>
      </c>
      <c r="CC53" s="5">
        <v>11591</v>
      </c>
      <c r="CD53" s="5">
        <v>36484</v>
      </c>
      <c r="CE53" s="5">
        <v>4341</v>
      </c>
      <c r="CF53" s="5">
        <v>6843</v>
      </c>
      <c r="CG53" s="5">
        <v>0</v>
      </c>
      <c r="CH53" s="5">
        <v>0</v>
      </c>
      <c r="CI53" s="5">
        <v>55</v>
      </c>
      <c r="CJ53" s="5">
        <v>600</v>
      </c>
      <c r="CK53" s="5">
        <v>153</v>
      </c>
      <c r="CL53" s="5"/>
      <c r="CM53" s="5"/>
      <c r="CN53" s="5"/>
      <c r="CO53" s="5"/>
      <c r="CP53" s="5"/>
      <c r="CQ53" s="5"/>
      <c r="CR53" s="5"/>
      <c r="CS53" s="5"/>
      <c r="CT53" s="5" t="s">
        <v>82</v>
      </c>
      <c r="CU53" s="5" t="s">
        <v>82</v>
      </c>
      <c r="CV53" s="5" t="s">
        <v>82</v>
      </c>
      <c r="CW53" s="5">
        <v>0</v>
      </c>
      <c r="CX53" s="5">
        <v>0</v>
      </c>
      <c r="CY53" s="5">
        <v>0</v>
      </c>
      <c r="DA53" s="6"/>
      <c r="DD53" s="6">
        <f t="shared" si="1"/>
        <v>269160</v>
      </c>
      <c r="DE53" s="6">
        <f t="shared" si="2"/>
        <v>129158</v>
      </c>
      <c r="DF53" s="16">
        <f t="shared" si="3"/>
        <v>398318</v>
      </c>
      <c r="DK53" s="6">
        <f t="shared" si="4"/>
        <v>57590</v>
      </c>
      <c r="DL53" s="6">
        <f t="shared" si="5"/>
        <v>60309</v>
      </c>
      <c r="DM53" s="6">
        <f t="shared" si="17"/>
        <v>7911</v>
      </c>
      <c r="DN53" s="6">
        <f t="shared" si="18"/>
        <v>3348</v>
      </c>
      <c r="DO53" s="6">
        <f t="shared" si="6"/>
        <v>187942</v>
      </c>
      <c r="DP53" s="6">
        <f t="shared" si="16"/>
        <v>63308</v>
      </c>
      <c r="DQ53" s="6"/>
      <c r="DR53" s="6">
        <f t="shared" si="7"/>
        <v>11646</v>
      </c>
      <c r="DS53" s="6">
        <f t="shared" si="8"/>
        <v>0</v>
      </c>
      <c r="DT53" s="6">
        <f t="shared" si="9"/>
        <v>6264</v>
      </c>
      <c r="DU53" s="6"/>
      <c r="DV53" s="6"/>
      <c r="DW53" s="6">
        <f t="shared" si="10"/>
        <v>398318</v>
      </c>
      <c r="DY53" s="6">
        <f t="shared" si="11"/>
        <v>194206</v>
      </c>
      <c r="DZ53" s="6">
        <f t="shared" si="12"/>
        <v>0</v>
      </c>
      <c r="EB53" s="6">
        <f t="shared" si="13"/>
        <v>398318</v>
      </c>
      <c r="EC53" s="6"/>
      <c r="ED53" s="6"/>
      <c r="EF53" s="6"/>
      <c r="EG53" s="6"/>
    </row>
    <row r="54" spans="2:137" ht="14">
      <c r="B54" s="4">
        <v>33604</v>
      </c>
      <c r="C54" s="5">
        <v>0</v>
      </c>
      <c r="D54" s="5">
        <v>0</v>
      </c>
      <c r="E54" s="5">
        <v>0</v>
      </c>
      <c r="F54" s="5" t="s">
        <v>82</v>
      </c>
      <c r="G54" s="5" t="s">
        <v>82</v>
      </c>
      <c r="H54" s="5">
        <v>0</v>
      </c>
      <c r="I54" s="5">
        <v>0</v>
      </c>
      <c r="J54" s="5">
        <v>0</v>
      </c>
      <c r="K54" s="5">
        <v>0</v>
      </c>
      <c r="L54" s="5"/>
      <c r="M54" s="5">
        <v>34192</v>
      </c>
      <c r="N54" s="5">
        <v>2947</v>
      </c>
      <c r="O54" s="5"/>
      <c r="P54" s="5">
        <v>6697</v>
      </c>
      <c r="Q54" s="5">
        <v>1196</v>
      </c>
      <c r="R54" s="5">
        <v>1316</v>
      </c>
      <c r="S54" s="5">
        <v>2014</v>
      </c>
      <c r="T54" s="5">
        <v>8184</v>
      </c>
      <c r="U54" s="5"/>
      <c r="V54" s="5"/>
      <c r="W54" s="5">
        <v>9311</v>
      </c>
      <c r="X54" s="5">
        <v>0</v>
      </c>
      <c r="Y54" s="5">
        <v>905</v>
      </c>
      <c r="Z54" s="5">
        <v>38</v>
      </c>
      <c r="AA54" s="155"/>
      <c r="AB54" s="5">
        <v>23</v>
      </c>
      <c r="AC54" s="5">
        <v>0</v>
      </c>
      <c r="AD54" s="5">
        <v>6</v>
      </c>
      <c r="AE54" s="5">
        <v>18</v>
      </c>
      <c r="AF54" s="5">
        <v>7</v>
      </c>
      <c r="AG54" s="5">
        <v>40</v>
      </c>
      <c r="AH54" s="5"/>
      <c r="AI54" s="5"/>
      <c r="AJ54" s="5">
        <v>49</v>
      </c>
      <c r="AK54" s="5">
        <v>0</v>
      </c>
      <c r="AL54" s="5">
        <v>50695</v>
      </c>
      <c r="AM54" s="5">
        <v>2939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1461</v>
      </c>
      <c r="AT54" s="5" t="s">
        <v>82</v>
      </c>
      <c r="AU54" s="5">
        <v>609</v>
      </c>
      <c r="AV54" s="5">
        <v>904</v>
      </c>
      <c r="AW54" s="5">
        <v>1486</v>
      </c>
      <c r="AX54" s="5">
        <v>3430</v>
      </c>
      <c r="AY54" s="155"/>
      <c r="AZ54" s="155"/>
      <c r="BA54" s="155">
        <v>0</v>
      </c>
      <c r="BB54" s="155"/>
      <c r="BC54" s="5">
        <v>1644</v>
      </c>
      <c r="BD54" s="5"/>
      <c r="BE54" s="5">
        <v>56441</v>
      </c>
      <c r="BF54" s="5">
        <v>121292</v>
      </c>
      <c r="BG54" s="5">
        <v>198</v>
      </c>
      <c r="BH54" s="5">
        <v>1085</v>
      </c>
      <c r="BI54" s="5">
        <v>1185</v>
      </c>
      <c r="BJ54" s="5">
        <v>3090</v>
      </c>
      <c r="BK54" s="5">
        <v>199</v>
      </c>
      <c r="BL54" s="5">
        <v>2694</v>
      </c>
      <c r="BM54" s="5"/>
      <c r="BN54" s="5">
        <v>707</v>
      </c>
      <c r="BO54" s="5">
        <v>171</v>
      </c>
      <c r="BP54" s="5">
        <v>0</v>
      </c>
      <c r="BQ54" s="5">
        <v>6036</v>
      </c>
      <c r="BR54" s="5">
        <v>13119</v>
      </c>
      <c r="BS54" s="5">
        <v>35</v>
      </c>
      <c r="BT54" s="5">
        <v>446</v>
      </c>
      <c r="BU54" s="5">
        <v>490</v>
      </c>
      <c r="BV54" s="5"/>
      <c r="BW54" s="5">
        <v>11</v>
      </c>
      <c r="BX54" s="5">
        <v>254</v>
      </c>
      <c r="BY54" s="5"/>
      <c r="BZ54" s="5">
        <v>5613</v>
      </c>
      <c r="CA54" s="5">
        <v>17</v>
      </c>
      <c r="CB54" s="5">
        <v>0</v>
      </c>
      <c r="CC54" s="5">
        <v>11530</v>
      </c>
      <c r="CD54" s="5">
        <v>37832</v>
      </c>
      <c r="CE54" s="5">
        <v>4923</v>
      </c>
      <c r="CF54" s="5">
        <v>7114</v>
      </c>
      <c r="CG54" s="5">
        <v>0</v>
      </c>
      <c r="CH54" s="5">
        <v>0</v>
      </c>
      <c r="CI54" s="5">
        <v>55</v>
      </c>
      <c r="CJ54" s="5">
        <v>602</v>
      </c>
      <c r="CK54" s="5">
        <v>165</v>
      </c>
      <c r="CL54" s="5"/>
      <c r="CM54" s="5"/>
      <c r="CN54" s="5"/>
      <c r="CO54" s="5"/>
      <c r="CP54" s="5"/>
      <c r="CQ54" s="5"/>
      <c r="CR54" s="5"/>
      <c r="CS54" s="5"/>
      <c r="CT54" s="5" t="s">
        <v>82</v>
      </c>
      <c r="CU54" s="5" t="s">
        <v>82</v>
      </c>
      <c r="CV54" s="5" t="s">
        <v>82</v>
      </c>
      <c r="CW54" s="5">
        <v>0</v>
      </c>
      <c r="CX54" s="5">
        <v>0</v>
      </c>
      <c r="CY54" s="5">
        <v>0</v>
      </c>
      <c r="DA54" s="6"/>
      <c r="DD54" s="6">
        <f t="shared" si="1"/>
        <v>275304</v>
      </c>
      <c r="DE54" s="6">
        <f t="shared" si="2"/>
        <v>130111</v>
      </c>
      <c r="DF54" s="16">
        <f t="shared" si="3"/>
        <v>405415</v>
      </c>
      <c r="DK54" s="6">
        <f t="shared" si="4"/>
        <v>57673</v>
      </c>
      <c r="DL54" s="6">
        <f t="shared" si="5"/>
        <v>60784</v>
      </c>
      <c r="DM54" s="6">
        <f t="shared" si="17"/>
        <v>8184</v>
      </c>
      <c r="DN54" s="6">
        <f t="shared" si="18"/>
        <v>3470</v>
      </c>
      <c r="DO54" s="6">
        <f t="shared" si="6"/>
        <v>192768</v>
      </c>
      <c r="DP54" s="6">
        <f t="shared" si="16"/>
        <v>64715</v>
      </c>
      <c r="DQ54" s="6"/>
      <c r="DR54" s="6">
        <f t="shared" si="7"/>
        <v>11585</v>
      </c>
      <c r="DS54" s="6">
        <f t="shared" si="8"/>
        <v>0</v>
      </c>
      <c r="DT54" s="6">
        <f t="shared" si="9"/>
        <v>6236</v>
      </c>
      <c r="DU54" s="6"/>
      <c r="DV54" s="6"/>
      <c r="DW54" s="6">
        <f t="shared" si="10"/>
        <v>405415</v>
      </c>
      <c r="DY54" s="6">
        <f t="shared" si="11"/>
        <v>199004</v>
      </c>
      <c r="DZ54" s="6">
        <f t="shared" si="12"/>
        <v>0</v>
      </c>
      <c r="EB54" s="6">
        <f t="shared" si="13"/>
        <v>405415</v>
      </c>
      <c r="EC54" s="6"/>
      <c r="ED54" s="6"/>
      <c r="EF54" s="6"/>
      <c r="EG54" s="6"/>
    </row>
    <row r="55" spans="2:137" ht="14">
      <c r="B55" s="4">
        <v>33635</v>
      </c>
      <c r="C55" s="5">
        <v>0</v>
      </c>
      <c r="D55" s="5">
        <v>0</v>
      </c>
      <c r="E55" s="5">
        <v>0</v>
      </c>
      <c r="F55" s="5" t="s">
        <v>82</v>
      </c>
      <c r="G55" s="5" t="s">
        <v>82</v>
      </c>
      <c r="H55" s="5">
        <v>0</v>
      </c>
      <c r="I55" s="5">
        <v>0</v>
      </c>
      <c r="J55" s="5">
        <v>0</v>
      </c>
      <c r="K55" s="5">
        <v>0</v>
      </c>
      <c r="L55" s="5"/>
      <c r="M55" s="5">
        <v>34173</v>
      </c>
      <c r="N55" s="5">
        <v>2922</v>
      </c>
      <c r="O55" s="5"/>
      <c r="P55" s="5">
        <v>6676</v>
      </c>
      <c r="Q55" s="5">
        <v>1182</v>
      </c>
      <c r="R55" s="5">
        <v>1328</v>
      </c>
      <c r="S55" s="5">
        <v>2067</v>
      </c>
      <c r="T55" s="5">
        <v>8416</v>
      </c>
      <c r="U55" s="5"/>
      <c r="V55" s="5"/>
      <c r="W55" s="5">
        <v>9251</v>
      </c>
      <c r="X55" s="5">
        <v>0</v>
      </c>
      <c r="Y55" s="5">
        <v>906</v>
      </c>
      <c r="Z55" s="5">
        <v>40</v>
      </c>
      <c r="AA55" s="155"/>
      <c r="AB55" s="5">
        <v>25</v>
      </c>
      <c r="AC55" s="5">
        <v>0</v>
      </c>
      <c r="AD55" s="5">
        <v>7</v>
      </c>
      <c r="AE55" s="5">
        <v>18</v>
      </c>
      <c r="AF55" s="5">
        <v>7</v>
      </c>
      <c r="AG55" s="5">
        <v>39</v>
      </c>
      <c r="AH55" s="5"/>
      <c r="AI55" s="5"/>
      <c r="AJ55" s="5">
        <v>48</v>
      </c>
      <c r="AK55" s="5">
        <v>0</v>
      </c>
      <c r="AL55" s="5">
        <v>51411</v>
      </c>
      <c r="AM55" s="5">
        <v>2946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1448</v>
      </c>
      <c r="AT55" s="5" t="s">
        <v>82</v>
      </c>
      <c r="AU55" s="5">
        <v>606</v>
      </c>
      <c r="AV55" s="5">
        <v>917</v>
      </c>
      <c r="AW55" s="5">
        <v>1516</v>
      </c>
      <c r="AX55" s="5">
        <v>3519</v>
      </c>
      <c r="AY55" s="155"/>
      <c r="AZ55" s="155"/>
      <c r="BA55" s="155">
        <v>0</v>
      </c>
      <c r="BB55" s="155"/>
      <c r="BC55" s="5">
        <v>1619</v>
      </c>
      <c r="BD55" s="5"/>
      <c r="BE55" s="5">
        <v>57256</v>
      </c>
      <c r="BF55" s="5">
        <v>122880</v>
      </c>
      <c r="BG55" s="5">
        <v>206</v>
      </c>
      <c r="BH55" s="5">
        <v>1138</v>
      </c>
      <c r="BI55" s="5">
        <v>1263</v>
      </c>
      <c r="BJ55" s="5">
        <v>3111</v>
      </c>
      <c r="BK55" s="5">
        <v>204</v>
      </c>
      <c r="BL55" s="5">
        <v>2739</v>
      </c>
      <c r="BM55" s="5"/>
      <c r="BN55" s="5">
        <v>702</v>
      </c>
      <c r="BO55" s="5">
        <v>172</v>
      </c>
      <c r="BP55" s="5">
        <v>0</v>
      </c>
      <c r="BQ55" s="5">
        <v>6013</v>
      </c>
      <c r="BR55" s="5">
        <v>12986</v>
      </c>
      <c r="BS55" s="5">
        <v>37</v>
      </c>
      <c r="BT55" s="5">
        <v>483</v>
      </c>
      <c r="BU55" s="5">
        <v>517</v>
      </c>
      <c r="BV55" s="5"/>
      <c r="BW55" s="5">
        <v>10</v>
      </c>
      <c r="BX55" s="5">
        <v>257</v>
      </c>
      <c r="BY55" s="5"/>
      <c r="BZ55" s="5">
        <v>5682</v>
      </c>
      <c r="CA55" s="5">
        <v>20</v>
      </c>
      <c r="CB55" s="5">
        <v>0</v>
      </c>
      <c r="CC55" s="5">
        <v>11851</v>
      </c>
      <c r="CD55" s="5">
        <v>39458</v>
      </c>
      <c r="CE55" s="5">
        <v>5572</v>
      </c>
      <c r="CF55" s="5">
        <v>7462</v>
      </c>
      <c r="CG55" s="5">
        <v>0</v>
      </c>
      <c r="CH55" s="5">
        <v>0</v>
      </c>
      <c r="CI55" s="5">
        <v>55</v>
      </c>
      <c r="CJ55" s="5">
        <v>598</v>
      </c>
      <c r="CK55" s="5">
        <v>183</v>
      </c>
      <c r="CL55" s="5"/>
      <c r="CM55" s="5"/>
      <c r="CN55" s="5"/>
      <c r="CO55" s="5"/>
      <c r="CP55" s="5"/>
      <c r="CQ55" s="5"/>
      <c r="CR55" s="5"/>
      <c r="CS55" s="5"/>
      <c r="CT55" s="5" t="s">
        <v>82</v>
      </c>
      <c r="CU55" s="5" t="s">
        <v>82</v>
      </c>
      <c r="CV55" s="5" t="s">
        <v>82</v>
      </c>
      <c r="CW55" s="5">
        <v>0</v>
      </c>
      <c r="CX55" s="5">
        <v>0</v>
      </c>
      <c r="CY55" s="5">
        <v>0</v>
      </c>
      <c r="DA55" s="6"/>
      <c r="DD55" s="6">
        <f t="shared" si="1"/>
        <v>280855</v>
      </c>
      <c r="DE55" s="6">
        <f t="shared" si="2"/>
        <v>131087</v>
      </c>
      <c r="DF55" s="16">
        <f t="shared" si="3"/>
        <v>411942</v>
      </c>
      <c r="DK55" s="6">
        <f t="shared" si="4"/>
        <v>57599</v>
      </c>
      <c r="DL55" s="6">
        <f t="shared" si="5"/>
        <v>61514</v>
      </c>
      <c r="DM55" s="6">
        <f t="shared" si="17"/>
        <v>8416</v>
      </c>
      <c r="DN55" s="6">
        <f t="shared" si="18"/>
        <v>3558</v>
      </c>
      <c r="DO55" s="6">
        <f t="shared" si="6"/>
        <v>197044</v>
      </c>
      <c r="DP55" s="6">
        <f t="shared" si="16"/>
        <v>65592</v>
      </c>
      <c r="DQ55" s="6"/>
      <c r="DR55" s="6">
        <f t="shared" si="7"/>
        <v>11906</v>
      </c>
      <c r="DS55" s="6">
        <f t="shared" si="8"/>
        <v>0</v>
      </c>
      <c r="DT55" s="6">
        <f t="shared" si="9"/>
        <v>6313</v>
      </c>
      <c r="DU55" s="6"/>
      <c r="DV55" s="6"/>
      <c r="DW55" s="6">
        <f t="shared" si="10"/>
        <v>411942</v>
      </c>
      <c r="DY55" s="6">
        <f t="shared" si="11"/>
        <v>203357</v>
      </c>
      <c r="DZ55" s="6">
        <f t="shared" si="12"/>
        <v>0</v>
      </c>
      <c r="EB55" s="6">
        <f t="shared" si="13"/>
        <v>411942</v>
      </c>
      <c r="EC55" s="6"/>
      <c r="ED55" s="6"/>
      <c r="EF55" s="6"/>
      <c r="EG55" s="6"/>
    </row>
    <row r="56" spans="2:137" ht="14">
      <c r="B56" s="4">
        <v>33664</v>
      </c>
      <c r="C56" s="5">
        <v>0</v>
      </c>
      <c r="D56" s="5">
        <v>0</v>
      </c>
      <c r="E56" s="5">
        <v>0</v>
      </c>
      <c r="F56" s="5" t="s">
        <v>82</v>
      </c>
      <c r="G56" s="5" t="s">
        <v>82</v>
      </c>
      <c r="H56" s="5">
        <v>0</v>
      </c>
      <c r="I56" s="5">
        <v>0</v>
      </c>
      <c r="J56" s="5">
        <v>0</v>
      </c>
      <c r="K56" s="5">
        <v>0</v>
      </c>
      <c r="L56" s="5"/>
      <c r="M56" s="5">
        <v>34182</v>
      </c>
      <c r="N56" s="5">
        <v>2935</v>
      </c>
      <c r="O56" s="5"/>
      <c r="P56" s="5">
        <v>6706</v>
      </c>
      <c r="Q56" s="5">
        <v>1222</v>
      </c>
      <c r="R56" s="5">
        <v>1329</v>
      </c>
      <c r="S56" s="5">
        <v>2162</v>
      </c>
      <c r="T56" s="5">
        <v>8717</v>
      </c>
      <c r="U56" s="5"/>
      <c r="V56" s="5"/>
      <c r="W56" s="5">
        <v>9143</v>
      </c>
      <c r="X56" s="5">
        <v>0</v>
      </c>
      <c r="Y56" s="5">
        <v>913</v>
      </c>
      <c r="Z56" s="5">
        <v>39</v>
      </c>
      <c r="AA56" s="155"/>
      <c r="AB56" s="5">
        <v>26</v>
      </c>
      <c r="AC56" s="5">
        <v>0</v>
      </c>
      <c r="AD56" s="5">
        <v>7</v>
      </c>
      <c r="AE56" s="5">
        <v>18</v>
      </c>
      <c r="AF56" s="5">
        <v>7</v>
      </c>
      <c r="AG56" s="5">
        <v>41</v>
      </c>
      <c r="AH56" s="5"/>
      <c r="AI56" s="5"/>
      <c r="AJ56" s="5">
        <v>44</v>
      </c>
      <c r="AK56" s="5">
        <v>0</v>
      </c>
      <c r="AL56" s="5">
        <v>51980</v>
      </c>
      <c r="AM56" s="5">
        <v>2942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1472</v>
      </c>
      <c r="AT56" s="5" t="s">
        <v>82</v>
      </c>
      <c r="AU56" s="5">
        <v>598</v>
      </c>
      <c r="AV56" s="5">
        <v>918</v>
      </c>
      <c r="AW56" s="5">
        <v>1529</v>
      </c>
      <c r="AX56" s="5">
        <v>3706</v>
      </c>
      <c r="AY56" s="155"/>
      <c r="AZ56" s="155"/>
      <c r="BA56" s="155">
        <v>0</v>
      </c>
      <c r="BB56" s="155"/>
      <c r="BC56" s="5">
        <v>1599</v>
      </c>
      <c r="BD56" s="5"/>
      <c r="BE56" s="5">
        <v>57525</v>
      </c>
      <c r="BF56" s="5">
        <v>123490</v>
      </c>
      <c r="BG56" s="5">
        <v>211</v>
      </c>
      <c r="BH56" s="5">
        <v>1180</v>
      </c>
      <c r="BI56" s="5">
        <v>1314</v>
      </c>
      <c r="BJ56" s="5">
        <v>3100</v>
      </c>
      <c r="BK56" s="5">
        <v>215</v>
      </c>
      <c r="BL56" s="5">
        <v>2734</v>
      </c>
      <c r="BM56" s="5"/>
      <c r="BN56" s="5">
        <v>703</v>
      </c>
      <c r="BO56" s="5">
        <v>168</v>
      </c>
      <c r="BP56" s="5">
        <v>0</v>
      </c>
      <c r="BQ56" s="5">
        <v>5944</v>
      </c>
      <c r="BR56" s="5">
        <v>12756</v>
      </c>
      <c r="BS56" s="5">
        <v>37</v>
      </c>
      <c r="BT56" s="5">
        <v>501</v>
      </c>
      <c r="BU56" s="5">
        <v>535</v>
      </c>
      <c r="BV56" s="5"/>
      <c r="BW56" s="5">
        <v>8</v>
      </c>
      <c r="BX56" s="5">
        <v>244</v>
      </c>
      <c r="BY56" s="5"/>
      <c r="BZ56" s="5">
        <v>5705</v>
      </c>
      <c r="CA56" s="5">
        <v>30</v>
      </c>
      <c r="CB56" s="5">
        <v>0</v>
      </c>
      <c r="CC56" s="5">
        <v>11995</v>
      </c>
      <c r="CD56" s="5">
        <v>40754</v>
      </c>
      <c r="CE56" s="5">
        <v>6227</v>
      </c>
      <c r="CF56" s="5">
        <v>7653</v>
      </c>
      <c r="CG56" s="5">
        <v>0</v>
      </c>
      <c r="CH56" s="5">
        <v>0</v>
      </c>
      <c r="CI56" s="5">
        <v>51</v>
      </c>
      <c r="CJ56" s="5">
        <v>572</v>
      </c>
      <c r="CK56" s="5">
        <v>178</v>
      </c>
      <c r="CL56" s="5"/>
      <c r="CM56" s="5"/>
      <c r="CN56" s="5"/>
      <c r="CO56" s="5"/>
      <c r="CP56" s="5"/>
      <c r="CQ56" s="5"/>
      <c r="CR56" s="5"/>
      <c r="CS56" s="5"/>
      <c r="CT56" s="5" t="s">
        <v>82</v>
      </c>
      <c r="CU56" s="5" t="s">
        <v>82</v>
      </c>
      <c r="CV56" s="5" t="s">
        <v>82</v>
      </c>
      <c r="CW56" s="5">
        <v>0</v>
      </c>
      <c r="CX56" s="5">
        <v>0</v>
      </c>
      <c r="CY56" s="5">
        <v>0</v>
      </c>
      <c r="DA56" s="6"/>
      <c r="DD56" s="6">
        <f t="shared" si="1"/>
        <v>283830</v>
      </c>
      <c r="DE56" s="6">
        <f t="shared" si="2"/>
        <v>132235</v>
      </c>
      <c r="DF56" s="16">
        <f t="shared" si="3"/>
        <v>416065</v>
      </c>
      <c r="DK56" s="6">
        <f t="shared" si="4"/>
        <v>57679</v>
      </c>
      <c r="DL56" s="6">
        <f t="shared" si="5"/>
        <v>62092</v>
      </c>
      <c r="DM56" s="6">
        <f t="shared" si="17"/>
        <v>8717</v>
      </c>
      <c r="DN56" s="6">
        <f t="shared" si="18"/>
        <v>3747</v>
      </c>
      <c r="DO56" s="6">
        <f t="shared" si="6"/>
        <v>199642</v>
      </c>
      <c r="DP56" s="6">
        <f t="shared" si="16"/>
        <v>65853</v>
      </c>
      <c r="DQ56" s="6"/>
      <c r="DR56" s="6">
        <f t="shared" si="7"/>
        <v>12046</v>
      </c>
      <c r="DS56" s="6">
        <f t="shared" si="8"/>
        <v>0</v>
      </c>
      <c r="DT56" s="6">
        <f t="shared" si="9"/>
        <v>6289</v>
      </c>
      <c r="DU56" s="6"/>
      <c r="DV56" s="6"/>
      <c r="DW56" s="6">
        <f t="shared" si="10"/>
        <v>416065</v>
      </c>
      <c r="DY56" s="6">
        <f t="shared" si="11"/>
        <v>205931</v>
      </c>
      <c r="DZ56" s="6">
        <f t="shared" si="12"/>
        <v>0</v>
      </c>
      <c r="EB56" s="6">
        <f t="shared" si="13"/>
        <v>416065</v>
      </c>
      <c r="EC56" s="6"/>
      <c r="ED56" s="6"/>
      <c r="EF56" s="6"/>
      <c r="EG56" s="6"/>
    </row>
    <row r="57" spans="2:137" ht="14">
      <c r="B57" s="4">
        <v>33695</v>
      </c>
      <c r="C57" s="5">
        <v>0</v>
      </c>
      <c r="D57" s="5">
        <v>0</v>
      </c>
      <c r="E57" s="5">
        <v>0</v>
      </c>
      <c r="F57" s="5" t="s">
        <v>82</v>
      </c>
      <c r="G57" s="5" t="s">
        <v>82</v>
      </c>
      <c r="H57" s="5">
        <v>0</v>
      </c>
      <c r="I57" s="5">
        <v>0</v>
      </c>
      <c r="J57" s="5">
        <v>0</v>
      </c>
      <c r="K57" s="5">
        <v>0</v>
      </c>
      <c r="L57" s="5"/>
      <c r="M57" s="5">
        <v>34307</v>
      </c>
      <c r="N57" s="5">
        <v>2983</v>
      </c>
      <c r="O57" s="5"/>
      <c r="P57" s="5">
        <v>6817</v>
      </c>
      <c r="Q57" s="5">
        <v>1227</v>
      </c>
      <c r="R57" s="5">
        <v>1321</v>
      </c>
      <c r="S57" s="5">
        <v>2275</v>
      </c>
      <c r="T57" s="5">
        <v>9032</v>
      </c>
      <c r="U57" s="5"/>
      <c r="V57" s="5"/>
      <c r="W57" s="5">
        <v>9116</v>
      </c>
      <c r="X57" s="5">
        <v>0</v>
      </c>
      <c r="Y57" s="5">
        <v>909</v>
      </c>
      <c r="Z57" s="5">
        <v>41</v>
      </c>
      <c r="AA57" s="155"/>
      <c r="AB57" s="5">
        <v>27</v>
      </c>
      <c r="AC57" s="5">
        <v>0</v>
      </c>
      <c r="AD57" s="5">
        <v>6</v>
      </c>
      <c r="AE57" s="5">
        <v>17</v>
      </c>
      <c r="AF57" s="5">
        <v>9</v>
      </c>
      <c r="AG57" s="5">
        <v>44</v>
      </c>
      <c r="AH57" s="5"/>
      <c r="AI57" s="5"/>
      <c r="AJ57" s="5">
        <v>46</v>
      </c>
      <c r="AK57" s="5">
        <v>0</v>
      </c>
      <c r="AL57" s="5">
        <v>52806</v>
      </c>
      <c r="AM57" s="5">
        <v>2966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1555</v>
      </c>
      <c r="AT57" s="5" t="s">
        <v>82</v>
      </c>
      <c r="AU57" s="5">
        <v>603</v>
      </c>
      <c r="AV57" s="5">
        <v>927</v>
      </c>
      <c r="AW57" s="5">
        <v>1532</v>
      </c>
      <c r="AX57" s="5">
        <v>3848</v>
      </c>
      <c r="AY57" s="155"/>
      <c r="AZ57" s="155"/>
      <c r="BA57" s="155">
        <v>0</v>
      </c>
      <c r="BB57" s="155"/>
      <c r="BC57" s="5">
        <v>1578</v>
      </c>
      <c r="BD57" s="5"/>
      <c r="BE57" s="5">
        <v>57810</v>
      </c>
      <c r="BF57" s="5">
        <v>124313</v>
      </c>
      <c r="BG57" s="5">
        <v>212</v>
      </c>
      <c r="BH57" s="5">
        <v>1230</v>
      </c>
      <c r="BI57" s="5">
        <v>1391</v>
      </c>
      <c r="BJ57" s="5">
        <v>3149</v>
      </c>
      <c r="BK57" s="5">
        <v>223</v>
      </c>
      <c r="BL57" s="5">
        <v>2682</v>
      </c>
      <c r="BM57" s="5"/>
      <c r="BN57" s="5">
        <v>703</v>
      </c>
      <c r="BO57" s="5">
        <v>169</v>
      </c>
      <c r="BP57" s="5">
        <v>0</v>
      </c>
      <c r="BQ57" s="5">
        <v>5996</v>
      </c>
      <c r="BR57" s="5">
        <v>12774</v>
      </c>
      <c r="BS57" s="5">
        <v>37</v>
      </c>
      <c r="BT57" s="5">
        <v>518</v>
      </c>
      <c r="BU57" s="5">
        <v>572</v>
      </c>
      <c r="BV57" s="5"/>
      <c r="BW57" s="5">
        <v>5</v>
      </c>
      <c r="BX57" s="5">
        <v>242</v>
      </c>
      <c r="BY57" s="5"/>
      <c r="BZ57" s="5">
        <v>5761</v>
      </c>
      <c r="CA57" s="5">
        <v>36</v>
      </c>
      <c r="CB57" s="5">
        <v>0</v>
      </c>
      <c r="CC57" s="5">
        <v>12449</v>
      </c>
      <c r="CD57" s="5">
        <v>42585</v>
      </c>
      <c r="CE57" s="5">
        <v>7046</v>
      </c>
      <c r="CF57" s="5">
        <v>7828</v>
      </c>
      <c r="CG57" s="5">
        <v>0</v>
      </c>
      <c r="CH57" s="5">
        <v>0</v>
      </c>
      <c r="CI57" s="5">
        <v>49</v>
      </c>
      <c r="CJ57" s="5">
        <v>557</v>
      </c>
      <c r="CK57" s="5">
        <v>168</v>
      </c>
      <c r="CL57" s="5"/>
      <c r="CM57" s="5"/>
      <c r="CN57" s="5"/>
      <c r="CO57" s="5"/>
      <c r="CP57" s="5"/>
      <c r="CQ57" s="5"/>
      <c r="CR57" s="5"/>
      <c r="CS57" s="5"/>
      <c r="CT57" s="5" t="s">
        <v>82</v>
      </c>
      <c r="CU57" s="5" t="s">
        <v>82</v>
      </c>
      <c r="CV57" s="5" t="s">
        <v>82</v>
      </c>
      <c r="CW57" s="5">
        <v>0</v>
      </c>
      <c r="CX57" s="5">
        <v>0</v>
      </c>
      <c r="CY57" s="5">
        <v>0</v>
      </c>
      <c r="DA57" s="6"/>
      <c r="DD57" s="6">
        <f t="shared" si="1"/>
        <v>288505</v>
      </c>
      <c r="DE57" s="6">
        <f t="shared" si="2"/>
        <v>133992</v>
      </c>
      <c r="DF57" s="16">
        <f t="shared" si="3"/>
        <v>422497</v>
      </c>
      <c r="DK57" s="6">
        <f t="shared" si="4"/>
        <v>58046</v>
      </c>
      <c r="DL57" s="6">
        <f t="shared" si="5"/>
        <v>63022</v>
      </c>
      <c r="DM57" s="6">
        <f t="shared" si="17"/>
        <v>9032</v>
      </c>
      <c r="DN57" s="6">
        <f t="shared" si="18"/>
        <v>3892</v>
      </c>
      <c r="DO57" s="6">
        <f t="shared" si="6"/>
        <v>203465</v>
      </c>
      <c r="DP57" s="6">
        <f t="shared" si="16"/>
        <v>66257</v>
      </c>
      <c r="DQ57" s="6"/>
      <c r="DR57" s="6">
        <f t="shared" si="7"/>
        <v>12498</v>
      </c>
      <c r="DS57" s="6">
        <f t="shared" si="8"/>
        <v>0</v>
      </c>
      <c r="DT57" s="6">
        <f t="shared" si="9"/>
        <v>6285</v>
      </c>
      <c r="DU57" s="6"/>
      <c r="DV57" s="6"/>
      <c r="DW57" s="6">
        <f t="shared" si="10"/>
        <v>422497</v>
      </c>
      <c r="DY57" s="6">
        <f t="shared" si="11"/>
        <v>209750</v>
      </c>
      <c r="DZ57" s="6">
        <f t="shared" si="12"/>
        <v>0</v>
      </c>
      <c r="EB57" s="6">
        <f t="shared" si="13"/>
        <v>422497</v>
      </c>
      <c r="EC57" s="6"/>
      <c r="ED57" s="6"/>
      <c r="EF57" s="6"/>
      <c r="EG57" s="6"/>
    </row>
    <row r="58" spans="2:137" ht="14">
      <c r="B58" s="4">
        <v>33725</v>
      </c>
      <c r="C58" s="5">
        <v>0</v>
      </c>
      <c r="D58" s="5">
        <v>0</v>
      </c>
      <c r="E58" s="5">
        <v>0</v>
      </c>
      <c r="F58" s="5" t="s">
        <v>82</v>
      </c>
      <c r="G58" s="5" t="s">
        <v>82</v>
      </c>
      <c r="H58" s="5">
        <v>0</v>
      </c>
      <c r="I58" s="5">
        <v>0</v>
      </c>
      <c r="J58" s="5">
        <v>0</v>
      </c>
      <c r="K58" s="5">
        <v>0</v>
      </c>
      <c r="L58" s="5"/>
      <c r="M58" s="5">
        <v>34329</v>
      </c>
      <c r="N58" s="5">
        <v>2980</v>
      </c>
      <c r="O58" s="5"/>
      <c r="P58" s="5">
        <v>6887</v>
      </c>
      <c r="Q58" s="5">
        <v>1219</v>
      </c>
      <c r="R58" s="5">
        <v>1325</v>
      </c>
      <c r="S58" s="5">
        <v>2294</v>
      </c>
      <c r="T58" s="5">
        <v>9267</v>
      </c>
      <c r="U58" s="5"/>
      <c r="V58" s="5"/>
      <c r="W58" s="5">
        <v>9203</v>
      </c>
      <c r="X58" s="5">
        <v>0</v>
      </c>
      <c r="Y58" s="5">
        <v>907</v>
      </c>
      <c r="Z58" s="5">
        <v>38</v>
      </c>
      <c r="AA58" s="155"/>
      <c r="AB58" s="5">
        <v>28</v>
      </c>
      <c r="AC58" s="5">
        <v>0</v>
      </c>
      <c r="AD58" s="5">
        <v>6</v>
      </c>
      <c r="AE58" s="5">
        <v>17</v>
      </c>
      <c r="AF58" s="5">
        <v>9</v>
      </c>
      <c r="AG58" s="5">
        <v>48</v>
      </c>
      <c r="AH58" s="5"/>
      <c r="AI58" s="5"/>
      <c r="AJ58" s="5">
        <v>49</v>
      </c>
      <c r="AK58" s="5">
        <v>0</v>
      </c>
      <c r="AL58" s="5">
        <v>53458</v>
      </c>
      <c r="AM58" s="5">
        <v>2997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1571</v>
      </c>
      <c r="AT58" s="5" t="s">
        <v>82</v>
      </c>
      <c r="AU58" s="5">
        <v>616</v>
      </c>
      <c r="AV58" s="5">
        <v>925</v>
      </c>
      <c r="AW58" s="5">
        <v>1548</v>
      </c>
      <c r="AX58" s="5">
        <v>3935</v>
      </c>
      <c r="AY58" s="155"/>
      <c r="AZ58" s="155"/>
      <c r="BA58" s="155">
        <v>0</v>
      </c>
      <c r="BB58" s="155"/>
      <c r="BC58" s="5">
        <v>1568</v>
      </c>
      <c r="BD58" s="5"/>
      <c r="BE58" s="5">
        <v>57956</v>
      </c>
      <c r="BF58" s="5">
        <v>124720</v>
      </c>
      <c r="BG58" s="5">
        <v>214</v>
      </c>
      <c r="BH58" s="5">
        <v>1181</v>
      </c>
      <c r="BI58" s="5">
        <v>1340</v>
      </c>
      <c r="BJ58" s="5">
        <v>3150</v>
      </c>
      <c r="BK58" s="5">
        <v>232</v>
      </c>
      <c r="BL58" s="5">
        <v>2724</v>
      </c>
      <c r="BM58" s="5"/>
      <c r="BN58" s="5">
        <v>655</v>
      </c>
      <c r="BO58" s="5">
        <v>162</v>
      </c>
      <c r="BP58" s="5">
        <v>0</v>
      </c>
      <c r="BQ58" s="5">
        <v>6202</v>
      </c>
      <c r="BR58" s="5">
        <v>13119</v>
      </c>
      <c r="BS58" s="5">
        <v>36</v>
      </c>
      <c r="BT58" s="5">
        <v>611</v>
      </c>
      <c r="BU58" s="5">
        <v>670</v>
      </c>
      <c r="BV58" s="5"/>
      <c r="BW58" s="5">
        <v>7</v>
      </c>
      <c r="BX58" s="5">
        <v>240</v>
      </c>
      <c r="BY58" s="5"/>
      <c r="BZ58" s="5">
        <v>5818</v>
      </c>
      <c r="CA58" s="5">
        <v>39</v>
      </c>
      <c r="CB58" s="5">
        <v>0</v>
      </c>
      <c r="CC58" s="5">
        <v>12676</v>
      </c>
      <c r="CD58" s="5">
        <v>43619</v>
      </c>
      <c r="CE58" s="5">
        <v>7762</v>
      </c>
      <c r="CF58" s="5">
        <v>8030</v>
      </c>
      <c r="CG58" s="5">
        <v>0</v>
      </c>
      <c r="CH58" s="5">
        <v>0</v>
      </c>
      <c r="CI58" s="5">
        <v>47</v>
      </c>
      <c r="CJ58" s="5">
        <v>541</v>
      </c>
      <c r="CK58" s="5">
        <v>158</v>
      </c>
      <c r="CL58" s="5"/>
      <c r="CM58" s="5"/>
      <c r="CN58" s="5"/>
      <c r="CO58" s="5"/>
      <c r="CP58" s="5"/>
      <c r="CQ58" s="5"/>
      <c r="CR58" s="5"/>
      <c r="CS58" s="5"/>
      <c r="CT58" s="5" t="s">
        <v>82</v>
      </c>
      <c r="CU58" s="5" t="s">
        <v>82</v>
      </c>
      <c r="CV58" s="5" t="s">
        <v>82</v>
      </c>
      <c r="CW58" s="5">
        <v>0</v>
      </c>
      <c r="CX58" s="5">
        <v>0</v>
      </c>
      <c r="CY58" s="5">
        <v>0</v>
      </c>
      <c r="DA58" s="6"/>
      <c r="DD58" s="6">
        <f t="shared" si="1"/>
        <v>291909</v>
      </c>
      <c r="DE58" s="6">
        <f t="shared" si="2"/>
        <v>135224</v>
      </c>
      <c r="DF58" s="16">
        <f t="shared" si="3"/>
        <v>427133</v>
      </c>
      <c r="DK58" s="6">
        <f t="shared" si="4"/>
        <v>58237</v>
      </c>
      <c r="DL58" s="6">
        <f t="shared" si="5"/>
        <v>63737</v>
      </c>
      <c r="DM58" s="6">
        <f t="shared" si="17"/>
        <v>9267</v>
      </c>
      <c r="DN58" s="6">
        <f t="shared" si="18"/>
        <v>3983</v>
      </c>
      <c r="DO58" s="6">
        <f t="shared" si="6"/>
        <v>206253</v>
      </c>
      <c r="DP58" s="6">
        <f t="shared" si="16"/>
        <v>66605</v>
      </c>
      <c r="DQ58" s="6"/>
      <c r="DR58" s="6">
        <f t="shared" si="7"/>
        <v>12723</v>
      </c>
      <c r="DS58" s="6">
        <f t="shared" si="8"/>
        <v>0</v>
      </c>
      <c r="DT58" s="6">
        <f t="shared" si="9"/>
        <v>6328</v>
      </c>
      <c r="DU58" s="6"/>
      <c r="DV58" s="6"/>
      <c r="DW58" s="6">
        <f t="shared" si="10"/>
        <v>427133</v>
      </c>
      <c r="DY58" s="6">
        <f t="shared" si="11"/>
        <v>212581</v>
      </c>
      <c r="DZ58" s="6">
        <f t="shared" si="12"/>
        <v>0</v>
      </c>
      <c r="EB58" s="6">
        <f t="shared" si="13"/>
        <v>427133</v>
      </c>
      <c r="EC58" s="6"/>
      <c r="ED58" s="6"/>
      <c r="EF58" s="6"/>
      <c r="EG58" s="6"/>
    </row>
    <row r="59" spans="2:137" ht="14">
      <c r="B59" s="4">
        <v>33756</v>
      </c>
      <c r="C59" s="5">
        <v>0</v>
      </c>
      <c r="D59" s="5">
        <v>0</v>
      </c>
      <c r="E59" s="5">
        <v>0</v>
      </c>
      <c r="F59" s="5" t="s">
        <v>82</v>
      </c>
      <c r="G59" s="5" t="s">
        <v>82</v>
      </c>
      <c r="H59" s="5">
        <v>0</v>
      </c>
      <c r="I59" s="5">
        <v>0</v>
      </c>
      <c r="J59" s="5">
        <v>0</v>
      </c>
      <c r="K59" s="5">
        <v>0</v>
      </c>
      <c r="L59" s="5"/>
      <c r="M59" s="5">
        <v>34435</v>
      </c>
      <c r="N59" s="5">
        <v>2967</v>
      </c>
      <c r="O59" s="5"/>
      <c r="P59" s="5">
        <v>6983</v>
      </c>
      <c r="Q59" s="5">
        <v>1231</v>
      </c>
      <c r="R59" s="5">
        <v>1331</v>
      </c>
      <c r="S59" s="5">
        <v>2370</v>
      </c>
      <c r="T59" s="5">
        <v>9482</v>
      </c>
      <c r="U59" s="5"/>
      <c r="V59" s="5"/>
      <c r="W59" s="5">
        <v>9266</v>
      </c>
      <c r="X59" s="5">
        <v>0</v>
      </c>
      <c r="Y59" s="5">
        <v>912</v>
      </c>
      <c r="Z59" s="5">
        <v>37</v>
      </c>
      <c r="AA59" s="155"/>
      <c r="AB59" s="5">
        <v>30</v>
      </c>
      <c r="AC59" s="5">
        <v>0</v>
      </c>
      <c r="AD59" s="5">
        <v>6</v>
      </c>
      <c r="AE59" s="5">
        <v>17</v>
      </c>
      <c r="AF59" s="5">
        <v>8</v>
      </c>
      <c r="AG59" s="5">
        <v>49</v>
      </c>
      <c r="AH59" s="5"/>
      <c r="AI59" s="5"/>
      <c r="AJ59" s="5">
        <v>46</v>
      </c>
      <c r="AK59" s="5">
        <v>0</v>
      </c>
      <c r="AL59" s="5">
        <v>54037</v>
      </c>
      <c r="AM59" s="5">
        <v>3041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1643</v>
      </c>
      <c r="AT59" s="5" t="s">
        <v>82</v>
      </c>
      <c r="AU59" s="5">
        <v>614</v>
      </c>
      <c r="AV59" s="5">
        <v>931</v>
      </c>
      <c r="AW59" s="5">
        <v>1558</v>
      </c>
      <c r="AX59" s="5">
        <v>4014</v>
      </c>
      <c r="AY59" s="155"/>
      <c r="AZ59" s="155"/>
      <c r="BA59" s="155">
        <v>0</v>
      </c>
      <c r="BB59" s="155"/>
      <c r="BC59" s="5">
        <v>1568</v>
      </c>
      <c r="BD59" s="5"/>
      <c r="BE59" s="5">
        <v>57858</v>
      </c>
      <c r="BF59" s="5">
        <v>124779</v>
      </c>
      <c r="BG59" s="5">
        <v>216</v>
      </c>
      <c r="BH59" s="5">
        <v>1122</v>
      </c>
      <c r="BI59" s="5">
        <v>1283</v>
      </c>
      <c r="BJ59" s="5">
        <v>3144</v>
      </c>
      <c r="BK59" s="5">
        <v>227</v>
      </c>
      <c r="BL59" s="5">
        <v>2740</v>
      </c>
      <c r="BM59" s="5"/>
      <c r="BN59" s="5">
        <v>685</v>
      </c>
      <c r="BO59" s="5">
        <v>161</v>
      </c>
      <c r="BP59" s="5">
        <v>0</v>
      </c>
      <c r="BQ59" s="5">
        <v>6454</v>
      </c>
      <c r="BR59" s="5">
        <v>13528</v>
      </c>
      <c r="BS59" s="5">
        <v>34</v>
      </c>
      <c r="BT59" s="5">
        <v>646</v>
      </c>
      <c r="BU59" s="5">
        <v>688</v>
      </c>
      <c r="BV59" s="5"/>
      <c r="BW59" s="5">
        <v>7</v>
      </c>
      <c r="BX59" s="5">
        <v>244</v>
      </c>
      <c r="BY59" s="5"/>
      <c r="BZ59" s="5">
        <v>5802</v>
      </c>
      <c r="CA59" s="5">
        <v>39</v>
      </c>
      <c r="CB59" s="5">
        <v>0</v>
      </c>
      <c r="CC59" s="5">
        <v>12725</v>
      </c>
      <c r="CD59" s="5">
        <v>44378</v>
      </c>
      <c r="CE59" s="5">
        <v>8446</v>
      </c>
      <c r="CF59" s="5">
        <v>8145</v>
      </c>
      <c r="CG59" s="5">
        <v>0</v>
      </c>
      <c r="CH59" s="5">
        <v>0</v>
      </c>
      <c r="CI59" s="5">
        <v>45</v>
      </c>
      <c r="CJ59" s="5">
        <v>523</v>
      </c>
      <c r="CK59" s="5">
        <v>153</v>
      </c>
      <c r="CL59" s="5"/>
      <c r="CM59" s="5"/>
      <c r="CN59" s="5"/>
      <c r="CO59" s="5"/>
      <c r="CP59" s="5"/>
      <c r="CQ59" s="5"/>
      <c r="CR59" s="5"/>
      <c r="CS59" s="5"/>
      <c r="CT59" s="5" t="s">
        <v>82</v>
      </c>
      <c r="CU59" s="5" t="s">
        <v>82</v>
      </c>
      <c r="CV59" s="5" t="s">
        <v>82</v>
      </c>
      <c r="CW59" s="5">
        <v>0</v>
      </c>
      <c r="CX59" s="5">
        <v>0</v>
      </c>
      <c r="CY59" s="5">
        <v>0</v>
      </c>
      <c r="DA59" s="6"/>
      <c r="DD59" s="6">
        <f t="shared" si="1"/>
        <v>294072</v>
      </c>
      <c r="DE59" s="6">
        <f t="shared" si="2"/>
        <v>136576</v>
      </c>
      <c r="DF59" s="16">
        <f t="shared" si="3"/>
        <v>430648</v>
      </c>
      <c r="DK59" s="6">
        <f t="shared" si="4"/>
        <v>58583</v>
      </c>
      <c r="DL59" s="6">
        <f t="shared" si="5"/>
        <v>64448</v>
      </c>
      <c r="DM59" s="6">
        <f t="shared" si="17"/>
        <v>9482</v>
      </c>
      <c r="DN59" s="6">
        <f t="shared" si="18"/>
        <v>4063</v>
      </c>
      <c r="DO59" s="6">
        <f t="shared" si="6"/>
        <v>208193</v>
      </c>
      <c r="DP59" s="6">
        <f t="shared" si="16"/>
        <v>66765</v>
      </c>
      <c r="DQ59" s="6"/>
      <c r="DR59" s="6">
        <f t="shared" si="7"/>
        <v>12770</v>
      </c>
      <c r="DS59" s="6">
        <f t="shared" si="8"/>
        <v>0</v>
      </c>
      <c r="DT59" s="6">
        <f t="shared" si="9"/>
        <v>6344</v>
      </c>
      <c r="DU59" s="6"/>
      <c r="DV59" s="6"/>
      <c r="DW59" s="6">
        <f t="shared" si="10"/>
        <v>430648</v>
      </c>
      <c r="DY59" s="6">
        <f t="shared" si="11"/>
        <v>214537</v>
      </c>
      <c r="DZ59" s="6">
        <f t="shared" si="12"/>
        <v>0</v>
      </c>
      <c r="EB59" s="6">
        <f t="shared" si="13"/>
        <v>430648</v>
      </c>
      <c r="EC59" s="6"/>
      <c r="ED59" s="6"/>
      <c r="EF59" s="6"/>
      <c r="EG59" s="6"/>
    </row>
    <row r="60" spans="2:137" ht="14">
      <c r="B60" s="4">
        <v>33786</v>
      </c>
      <c r="C60" s="5">
        <v>0</v>
      </c>
      <c r="D60" s="5">
        <v>0</v>
      </c>
      <c r="E60" s="5">
        <v>0</v>
      </c>
      <c r="F60" s="5" t="s">
        <v>82</v>
      </c>
      <c r="G60" s="5" t="s">
        <v>82</v>
      </c>
      <c r="H60" s="5">
        <v>0</v>
      </c>
      <c r="I60" s="5">
        <v>0</v>
      </c>
      <c r="J60" s="5">
        <v>0</v>
      </c>
      <c r="K60" s="5">
        <v>0</v>
      </c>
      <c r="L60" s="5"/>
      <c r="M60" s="5">
        <v>34516</v>
      </c>
      <c r="N60" s="5">
        <v>2991</v>
      </c>
      <c r="O60" s="5"/>
      <c r="P60" s="5">
        <v>7123</v>
      </c>
      <c r="Q60" s="5">
        <v>1260</v>
      </c>
      <c r="R60" s="5">
        <v>1329</v>
      </c>
      <c r="S60" s="5">
        <v>2409</v>
      </c>
      <c r="T60" s="5">
        <v>9611</v>
      </c>
      <c r="U60" s="5"/>
      <c r="V60" s="5"/>
      <c r="W60" s="5">
        <v>9285</v>
      </c>
      <c r="X60" s="5">
        <v>0</v>
      </c>
      <c r="Y60" s="5">
        <v>907</v>
      </c>
      <c r="Z60" s="5">
        <v>35</v>
      </c>
      <c r="AA60" s="155"/>
      <c r="AB60" s="5">
        <v>30</v>
      </c>
      <c r="AC60" s="5">
        <v>0</v>
      </c>
      <c r="AD60" s="5">
        <v>5</v>
      </c>
      <c r="AE60" s="5">
        <v>18</v>
      </c>
      <c r="AF60" s="5">
        <v>9</v>
      </c>
      <c r="AG60" s="5">
        <v>50</v>
      </c>
      <c r="AH60" s="5"/>
      <c r="AI60" s="5"/>
      <c r="AJ60" s="5">
        <v>45</v>
      </c>
      <c r="AK60" s="5">
        <v>0</v>
      </c>
      <c r="AL60" s="5">
        <v>54639</v>
      </c>
      <c r="AM60" s="5">
        <v>3057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1660</v>
      </c>
      <c r="AT60" s="5" t="s">
        <v>82</v>
      </c>
      <c r="AU60" s="5">
        <v>619</v>
      </c>
      <c r="AV60" s="5">
        <v>933</v>
      </c>
      <c r="AW60" s="5">
        <v>1578</v>
      </c>
      <c r="AX60" s="5">
        <v>4123</v>
      </c>
      <c r="AY60" s="155"/>
      <c r="AZ60" s="155"/>
      <c r="BA60" s="155">
        <v>0</v>
      </c>
      <c r="BB60" s="155"/>
      <c r="BC60" s="5">
        <v>1557</v>
      </c>
      <c r="BD60" s="5"/>
      <c r="BE60" s="5">
        <v>57452</v>
      </c>
      <c r="BF60" s="5">
        <v>124075</v>
      </c>
      <c r="BG60" s="5">
        <v>211</v>
      </c>
      <c r="BH60" s="5">
        <v>1098</v>
      </c>
      <c r="BI60" s="5">
        <v>1231</v>
      </c>
      <c r="BJ60" s="5">
        <v>3118</v>
      </c>
      <c r="BK60" s="5">
        <v>218</v>
      </c>
      <c r="BL60" s="5">
        <v>2723</v>
      </c>
      <c r="BM60" s="5"/>
      <c r="BN60" s="5">
        <v>642</v>
      </c>
      <c r="BO60" s="5">
        <v>159</v>
      </c>
      <c r="BP60" s="5">
        <v>0</v>
      </c>
      <c r="BQ60" s="5">
        <v>6744</v>
      </c>
      <c r="BR60" s="5">
        <v>13842</v>
      </c>
      <c r="BS60" s="5">
        <v>37</v>
      </c>
      <c r="BT60" s="5">
        <v>665</v>
      </c>
      <c r="BU60" s="5">
        <v>736</v>
      </c>
      <c r="BV60" s="5"/>
      <c r="BW60" s="5">
        <v>7</v>
      </c>
      <c r="BX60" s="5">
        <v>251</v>
      </c>
      <c r="BY60" s="5"/>
      <c r="BZ60" s="5">
        <v>5642</v>
      </c>
      <c r="CA60" s="5">
        <v>23</v>
      </c>
      <c r="CB60" s="5">
        <v>0</v>
      </c>
      <c r="CC60" s="5">
        <v>12774</v>
      </c>
      <c r="CD60" s="5">
        <v>45069</v>
      </c>
      <c r="CE60" s="5">
        <v>9246</v>
      </c>
      <c r="CF60" s="5">
        <v>8319</v>
      </c>
      <c r="CG60" s="5">
        <v>0</v>
      </c>
      <c r="CH60" s="5">
        <v>0</v>
      </c>
      <c r="CI60" s="5">
        <v>41</v>
      </c>
      <c r="CJ60" s="5">
        <v>507</v>
      </c>
      <c r="CK60" s="5">
        <v>165</v>
      </c>
      <c r="CL60" s="5"/>
      <c r="CM60" s="5"/>
      <c r="CN60" s="5"/>
      <c r="CO60" s="5"/>
      <c r="CP60" s="5"/>
      <c r="CQ60" s="5"/>
      <c r="CR60" s="5"/>
      <c r="CS60" s="5"/>
      <c r="CT60" s="5" t="s">
        <v>82</v>
      </c>
      <c r="CU60" s="5" t="s">
        <v>82</v>
      </c>
      <c r="CV60" s="5" t="s">
        <v>82</v>
      </c>
      <c r="CW60" s="5">
        <v>0</v>
      </c>
      <c r="CX60" s="5">
        <v>0</v>
      </c>
      <c r="CY60" s="5">
        <v>0</v>
      </c>
      <c r="DA60" s="6"/>
      <c r="DD60" s="6">
        <f t="shared" si="1"/>
        <v>294995</v>
      </c>
      <c r="DE60" s="6">
        <f t="shared" si="2"/>
        <v>137789</v>
      </c>
      <c r="DF60" s="16">
        <f t="shared" si="3"/>
        <v>432784</v>
      </c>
      <c r="DK60" s="6">
        <f t="shared" si="4"/>
        <v>58913</v>
      </c>
      <c r="DL60" s="6">
        <f t="shared" si="5"/>
        <v>65092</v>
      </c>
      <c r="DM60" s="6">
        <f t="shared" si="17"/>
        <v>9611</v>
      </c>
      <c r="DN60" s="6">
        <f t="shared" si="18"/>
        <v>4173</v>
      </c>
      <c r="DO60" s="6">
        <f t="shared" si="6"/>
        <v>209276</v>
      </c>
      <c r="DP60" s="6">
        <f t="shared" si="16"/>
        <v>66601</v>
      </c>
      <c r="DQ60" s="6"/>
      <c r="DR60" s="6">
        <f t="shared" si="7"/>
        <v>12815</v>
      </c>
      <c r="DS60" s="6">
        <f t="shared" si="8"/>
        <v>0</v>
      </c>
      <c r="DT60" s="6">
        <f t="shared" si="9"/>
        <v>6303</v>
      </c>
      <c r="DU60" s="6"/>
      <c r="DV60" s="6"/>
      <c r="DW60" s="6">
        <f t="shared" si="10"/>
        <v>432784</v>
      </c>
      <c r="DY60" s="6">
        <f t="shared" si="11"/>
        <v>215579</v>
      </c>
      <c r="DZ60" s="6">
        <f t="shared" si="12"/>
        <v>0</v>
      </c>
      <c r="EB60" s="6">
        <f t="shared" si="13"/>
        <v>432784</v>
      </c>
      <c r="EC60" s="6"/>
      <c r="ED60" s="6"/>
      <c r="EF60" s="6"/>
      <c r="EG60" s="6"/>
    </row>
    <row r="61" spans="2:137" ht="14">
      <c r="B61" s="4">
        <v>33817</v>
      </c>
      <c r="C61" s="5">
        <v>0</v>
      </c>
      <c r="D61" s="5">
        <v>0</v>
      </c>
      <c r="E61" s="5">
        <v>0</v>
      </c>
      <c r="F61" s="5" t="s">
        <v>82</v>
      </c>
      <c r="G61" s="5" t="s">
        <v>82</v>
      </c>
      <c r="H61" s="5">
        <v>0</v>
      </c>
      <c r="I61" s="5">
        <v>0</v>
      </c>
      <c r="J61" s="5">
        <v>0</v>
      </c>
      <c r="K61" s="5">
        <v>0</v>
      </c>
      <c r="L61" s="5"/>
      <c r="M61" s="5">
        <v>34523</v>
      </c>
      <c r="N61" s="5">
        <v>3022</v>
      </c>
      <c r="O61" s="5"/>
      <c r="P61" s="5">
        <v>7192</v>
      </c>
      <c r="Q61" s="5">
        <v>1267</v>
      </c>
      <c r="R61" s="5">
        <v>1336</v>
      </c>
      <c r="S61" s="5">
        <v>2481</v>
      </c>
      <c r="T61" s="5">
        <v>9795</v>
      </c>
      <c r="U61" s="5"/>
      <c r="V61" s="5"/>
      <c r="W61" s="5">
        <v>9308</v>
      </c>
      <c r="X61" s="5">
        <v>0</v>
      </c>
      <c r="Y61" s="5">
        <v>907</v>
      </c>
      <c r="Z61" s="5">
        <v>36</v>
      </c>
      <c r="AA61" s="155"/>
      <c r="AB61" s="5">
        <v>30</v>
      </c>
      <c r="AC61" s="5">
        <v>0</v>
      </c>
      <c r="AD61" s="5">
        <v>7</v>
      </c>
      <c r="AE61" s="5">
        <v>19</v>
      </c>
      <c r="AF61" s="5">
        <v>9</v>
      </c>
      <c r="AG61" s="5">
        <v>49</v>
      </c>
      <c r="AH61" s="5"/>
      <c r="AI61" s="5"/>
      <c r="AJ61" s="5">
        <v>42</v>
      </c>
      <c r="AK61" s="5">
        <v>0</v>
      </c>
      <c r="AL61" s="5">
        <v>55345</v>
      </c>
      <c r="AM61" s="5">
        <v>3079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1712</v>
      </c>
      <c r="AT61" s="5" t="s">
        <v>82</v>
      </c>
      <c r="AU61" s="5">
        <v>633</v>
      </c>
      <c r="AV61" s="5">
        <v>949</v>
      </c>
      <c r="AW61" s="5">
        <v>1585</v>
      </c>
      <c r="AX61" s="5">
        <v>4222</v>
      </c>
      <c r="AY61" s="155"/>
      <c r="AZ61" s="155"/>
      <c r="BA61" s="155">
        <v>0</v>
      </c>
      <c r="BB61" s="155"/>
      <c r="BC61" s="5">
        <v>1546</v>
      </c>
      <c r="BD61" s="5"/>
      <c r="BE61" s="5">
        <v>57851</v>
      </c>
      <c r="BF61" s="5">
        <v>124752</v>
      </c>
      <c r="BG61" s="5">
        <v>209</v>
      </c>
      <c r="BH61" s="5">
        <v>1185</v>
      </c>
      <c r="BI61" s="5">
        <v>1062</v>
      </c>
      <c r="BJ61" s="5">
        <v>3086</v>
      </c>
      <c r="BK61" s="5">
        <v>211</v>
      </c>
      <c r="BL61" s="5">
        <v>2726</v>
      </c>
      <c r="BM61" s="5"/>
      <c r="BN61" s="5">
        <v>697</v>
      </c>
      <c r="BO61" s="5">
        <v>157</v>
      </c>
      <c r="BP61" s="5">
        <v>0</v>
      </c>
      <c r="BQ61" s="5">
        <v>6908</v>
      </c>
      <c r="BR61" s="5">
        <v>13889</v>
      </c>
      <c r="BS61" s="5">
        <v>36</v>
      </c>
      <c r="BT61" s="5">
        <v>693</v>
      </c>
      <c r="BU61" s="5">
        <v>746</v>
      </c>
      <c r="BV61" s="5"/>
      <c r="BW61" s="5">
        <v>8</v>
      </c>
      <c r="BX61" s="5">
        <v>257</v>
      </c>
      <c r="BY61" s="5"/>
      <c r="BZ61" s="5">
        <v>5403</v>
      </c>
      <c r="CA61" s="5">
        <v>26</v>
      </c>
      <c r="CB61" s="5">
        <v>0</v>
      </c>
      <c r="CC61" s="5">
        <v>13033</v>
      </c>
      <c r="CD61" s="5">
        <v>45489</v>
      </c>
      <c r="CE61" s="5">
        <v>11742</v>
      </c>
      <c r="CF61" s="5">
        <v>8615</v>
      </c>
      <c r="CG61" s="5">
        <v>0</v>
      </c>
      <c r="CH61" s="5">
        <v>0</v>
      </c>
      <c r="CI61" s="5">
        <v>42</v>
      </c>
      <c r="CJ61" s="5">
        <v>496</v>
      </c>
      <c r="CK61" s="5">
        <v>168</v>
      </c>
      <c r="CL61" s="5"/>
      <c r="CM61" s="5"/>
      <c r="CN61" s="5"/>
      <c r="CO61" s="5"/>
      <c r="CP61" s="5"/>
      <c r="CQ61" s="5"/>
      <c r="CR61" s="5"/>
      <c r="CS61" s="5"/>
      <c r="CT61" s="5" t="s">
        <v>82</v>
      </c>
      <c r="CU61" s="5" t="s">
        <v>82</v>
      </c>
      <c r="CV61" s="5" t="s">
        <v>82</v>
      </c>
      <c r="CW61" s="5">
        <v>0</v>
      </c>
      <c r="CX61" s="5">
        <v>0</v>
      </c>
      <c r="CY61" s="5">
        <v>0</v>
      </c>
      <c r="DA61" s="6"/>
      <c r="DD61" s="6">
        <f t="shared" si="1"/>
        <v>299487</v>
      </c>
      <c r="DE61" s="6">
        <f t="shared" si="2"/>
        <v>139094</v>
      </c>
      <c r="DF61" s="16">
        <f t="shared" si="3"/>
        <v>438581</v>
      </c>
      <c r="DK61" s="6">
        <f t="shared" si="4"/>
        <v>59129</v>
      </c>
      <c r="DL61" s="6">
        <f t="shared" si="5"/>
        <v>65899</v>
      </c>
      <c r="DM61" s="6">
        <f t="shared" si="17"/>
        <v>9795</v>
      </c>
      <c r="DN61" s="6">
        <f t="shared" si="18"/>
        <v>4271</v>
      </c>
      <c r="DO61" s="6">
        <f t="shared" si="6"/>
        <v>212800</v>
      </c>
      <c r="DP61" s="6">
        <f t="shared" si="16"/>
        <v>67334</v>
      </c>
      <c r="DQ61" s="6"/>
      <c r="DR61" s="6">
        <f t="shared" si="7"/>
        <v>13075</v>
      </c>
      <c r="DS61" s="6">
        <f t="shared" si="8"/>
        <v>0</v>
      </c>
      <c r="DT61" s="6">
        <f t="shared" si="9"/>
        <v>6278</v>
      </c>
      <c r="DU61" s="6"/>
      <c r="DV61" s="6"/>
      <c r="DW61" s="6">
        <f t="shared" si="10"/>
        <v>438581</v>
      </c>
      <c r="DY61" s="6">
        <f t="shared" si="11"/>
        <v>219078</v>
      </c>
      <c r="DZ61" s="6">
        <f t="shared" si="12"/>
        <v>0</v>
      </c>
      <c r="EB61" s="6">
        <f t="shared" si="13"/>
        <v>438581</v>
      </c>
      <c r="EC61" s="6"/>
      <c r="ED61" s="6"/>
      <c r="EF61" s="6"/>
      <c r="EG61" s="6"/>
    </row>
    <row r="62" spans="2:137" ht="14">
      <c r="B62" s="4">
        <v>33848</v>
      </c>
      <c r="C62" s="5">
        <v>0</v>
      </c>
      <c r="D62" s="5">
        <v>0</v>
      </c>
      <c r="E62" s="5">
        <v>0</v>
      </c>
      <c r="F62" s="5" t="s">
        <v>82</v>
      </c>
      <c r="G62" s="5" t="s">
        <v>82</v>
      </c>
      <c r="H62" s="5">
        <v>0</v>
      </c>
      <c r="I62" s="5">
        <v>0</v>
      </c>
      <c r="J62" s="5">
        <v>0</v>
      </c>
      <c r="K62" s="5">
        <v>0</v>
      </c>
      <c r="L62" s="5"/>
      <c r="M62" s="5">
        <v>34574</v>
      </c>
      <c r="N62" s="5">
        <v>3043</v>
      </c>
      <c r="O62" s="5"/>
      <c r="P62" s="5">
        <v>7197</v>
      </c>
      <c r="Q62" s="5">
        <v>1288</v>
      </c>
      <c r="R62" s="5">
        <v>1343</v>
      </c>
      <c r="S62" s="5">
        <v>2499</v>
      </c>
      <c r="T62" s="5">
        <v>9983</v>
      </c>
      <c r="U62" s="5"/>
      <c r="V62" s="5"/>
      <c r="W62" s="5">
        <v>9297</v>
      </c>
      <c r="X62" s="5">
        <v>0</v>
      </c>
      <c r="Y62" s="5">
        <v>918</v>
      </c>
      <c r="Z62" s="5">
        <v>37</v>
      </c>
      <c r="AA62" s="155"/>
      <c r="AB62" s="5">
        <v>27</v>
      </c>
      <c r="AC62" s="5">
        <v>0</v>
      </c>
      <c r="AD62" s="5">
        <v>6</v>
      </c>
      <c r="AE62" s="5">
        <v>18</v>
      </c>
      <c r="AF62" s="5">
        <v>9</v>
      </c>
      <c r="AG62" s="5">
        <v>51</v>
      </c>
      <c r="AH62" s="5"/>
      <c r="AI62" s="5"/>
      <c r="AJ62" s="5">
        <v>42</v>
      </c>
      <c r="AK62" s="5">
        <v>0</v>
      </c>
      <c r="AL62" s="5">
        <v>55953</v>
      </c>
      <c r="AM62" s="5">
        <v>3099</v>
      </c>
      <c r="AN62" s="5">
        <v>0</v>
      </c>
      <c r="AO62" s="5">
        <v>0</v>
      </c>
      <c r="AP62" s="5">
        <v>8</v>
      </c>
      <c r="AQ62" s="5">
        <v>0</v>
      </c>
      <c r="AR62" s="5">
        <v>0</v>
      </c>
      <c r="AS62" s="5">
        <v>1678</v>
      </c>
      <c r="AT62" s="5" t="s">
        <v>82</v>
      </c>
      <c r="AU62" s="5">
        <v>635</v>
      </c>
      <c r="AV62" s="5">
        <v>967</v>
      </c>
      <c r="AW62" s="5">
        <v>1590</v>
      </c>
      <c r="AX62" s="5">
        <v>4313</v>
      </c>
      <c r="AY62" s="155"/>
      <c r="AZ62" s="155"/>
      <c r="BA62" s="155">
        <v>0</v>
      </c>
      <c r="BB62" s="155"/>
      <c r="BC62" s="5">
        <v>1534</v>
      </c>
      <c r="BD62" s="5"/>
      <c r="BE62" s="5">
        <v>57678</v>
      </c>
      <c r="BF62" s="5">
        <v>124588</v>
      </c>
      <c r="BG62" s="5">
        <v>212</v>
      </c>
      <c r="BH62" s="5">
        <v>1032</v>
      </c>
      <c r="BI62" s="5">
        <v>1122</v>
      </c>
      <c r="BJ62" s="5">
        <v>3097</v>
      </c>
      <c r="BK62" s="5">
        <v>197</v>
      </c>
      <c r="BL62" s="5">
        <v>2685</v>
      </c>
      <c r="BM62" s="5"/>
      <c r="BN62" s="5">
        <v>691</v>
      </c>
      <c r="BO62" s="5">
        <v>151</v>
      </c>
      <c r="BP62" s="5">
        <v>0</v>
      </c>
      <c r="BQ62" s="5">
        <v>7073</v>
      </c>
      <c r="BR62" s="5">
        <v>14061</v>
      </c>
      <c r="BS62" s="5">
        <v>35</v>
      </c>
      <c r="BT62" s="5">
        <v>715</v>
      </c>
      <c r="BU62" s="5">
        <v>799</v>
      </c>
      <c r="BV62" s="5"/>
      <c r="BW62" s="5">
        <v>6</v>
      </c>
      <c r="BX62" s="5">
        <v>265</v>
      </c>
      <c r="BY62" s="5"/>
      <c r="BZ62" s="5">
        <v>5177</v>
      </c>
      <c r="CA62" s="5">
        <v>24</v>
      </c>
      <c r="CB62" s="5">
        <v>0</v>
      </c>
      <c r="CC62" s="5">
        <v>13027</v>
      </c>
      <c r="CD62" s="5">
        <v>46070</v>
      </c>
      <c r="CE62" s="5">
        <v>13986</v>
      </c>
      <c r="CF62" s="5">
        <v>8913</v>
      </c>
      <c r="CG62" s="5">
        <v>0</v>
      </c>
      <c r="CH62" s="5">
        <v>0</v>
      </c>
      <c r="CI62" s="5">
        <v>38</v>
      </c>
      <c r="CJ62" s="5">
        <v>483</v>
      </c>
      <c r="CK62" s="5">
        <v>161</v>
      </c>
      <c r="CL62" s="5"/>
      <c r="CM62" s="5"/>
      <c r="CN62" s="5"/>
      <c r="CO62" s="5"/>
      <c r="CP62" s="5"/>
      <c r="CQ62" s="5"/>
      <c r="CR62" s="5"/>
      <c r="CS62" s="5"/>
      <c r="CT62" s="5" t="s">
        <v>82</v>
      </c>
      <c r="CU62" s="5" t="s">
        <v>82</v>
      </c>
      <c r="CV62" s="5" t="s">
        <v>82</v>
      </c>
      <c r="CW62" s="5">
        <v>0</v>
      </c>
      <c r="CX62" s="5">
        <v>0</v>
      </c>
      <c r="CY62" s="5">
        <v>0</v>
      </c>
      <c r="DA62" s="6"/>
      <c r="DD62" s="6">
        <f t="shared" si="1"/>
        <v>302286</v>
      </c>
      <c r="DE62" s="6">
        <f t="shared" si="2"/>
        <v>140109</v>
      </c>
      <c r="DF62" s="16">
        <f t="shared" si="3"/>
        <v>442395</v>
      </c>
      <c r="DK62" s="6">
        <f t="shared" si="4"/>
        <v>59241</v>
      </c>
      <c r="DL62" s="6">
        <f t="shared" si="5"/>
        <v>66513</v>
      </c>
      <c r="DM62" s="6">
        <f t="shared" si="17"/>
        <v>9983</v>
      </c>
      <c r="DN62" s="6">
        <f t="shared" si="18"/>
        <v>4372</v>
      </c>
      <c r="DO62" s="6">
        <f t="shared" si="6"/>
        <v>215773</v>
      </c>
      <c r="DP62" s="6">
        <f t="shared" si="16"/>
        <v>67189</v>
      </c>
      <c r="DQ62" s="6"/>
      <c r="DR62" s="6">
        <f t="shared" si="7"/>
        <v>13065</v>
      </c>
      <c r="DS62" s="6">
        <f t="shared" si="8"/>
        <v>0</v>
      </c>
      <c r="DT62" s="6">
        <f t="shared" si="9"/>
        <v>6259</v>
      </c>
      <c r="DU62" s="6"/>
      <c r="DV62" s="6"/>
      <c r="DW62" s="6">
        <f t="shared" si="10"/>
        <v>442395</v>
      </c>
      <c r="DY62" s="6">
        <f t="shared" si="11"/>
        <v>222032</v>
      </c>
      <c r="DZ62" s="6">
        <f t="shared" si="12"/>
        <v>0</v>
      </c>
      <c r="EB62" s="6">
        <f t="shared" si="13"/>
        <v>442395</v>
      </c>
      <c r="EC62" s="6"/>
      <c r="ED62" s="6"/>
      <c r="EF62" s="6"/>
      <c r="EG62" s="6"/>
    </row>
    <row r="63" spans="2:137" ht="14">
      <c r="B63" s="4">
        <v>33878</v>
      </c>
      <c r="C63" s="5">
        <v>0</v>
      </c>
      <c r="D63" s="5">
        <v>0</v>
      </c>
      <c r="E63" s="5">
        <v>0</v>
      </c>
      <c r="F63" s="5" t="s">
        <v>82</v>
      </c>
      <c r="G63" s="5" t="s">
        <v>82</v>
      </c>
      <c r="H63" s="5">
        <v>0</v>
      </c>
      <c r="I63" s="5">
        <v>0</v>
      </c>
      <c r="J63" s="5">
        <v>0</v>
      </c>
      <c r="K63" s="5">
        <v>0</v>
      </c>
      <c r="L63" s="5"/>
      <c r="M63" s="5">
        <v>34649</v>
      </c>
      <c r="N63" s="5">
        <v>3063</v>
      </c>
      <c r="O63" s="5"/>
      <c r="P63" s="5">
        <v>7292</v>
      </c>
      <c r="Q63" s="5">
        <v>1309</v>
      </c>
      <c r="R63" s="5">
        <v>1333</v>
      </c>
      <c r="S63" s="5">
        <v>2531</v>
      </c>
      <c r="T63" s="5">
        <v>10133</v>
      </c>
      <c r="U63" s="5"/>
      <c r="V63" s="5"/>
      <c r="W63" s="5">
        <v>9277</v>
      </c>
      <c r="X63" s="5">
        <v>0</v>
      </c>
      <c r="Y63" s="5">
        <v>913</v>
      </c>
      <c r="Z63" s="5">
        <v>36</v>
      </c>
      <c r="AA63" s="155"/>
      <c r="AB63" s="5">
        <v>27</v>
      </c>
      <c r="AC63" s="5">
        <v>0</v>
      </c>
      <c r="AD63" s="5">
        <v>5</v>
      </c>
      <c r="AE63" s="5">
        <v>20</v>
      </c>
      <c r="AF63" s="5">
        <v>10</v>
      </c>
      <c r="AG63" s="5">
        <v>51</v>
      </c>
      <c r="AH63" s="5"/>
      <c r="AI63" s="5"/>
      <c r="AJ63" s="5">
        <v>39</v>
      </c>
      <c r="AK63" s="5">
        <v>0</v>
      </c>
      <c r="AL63" s="5">
        <v>56621</v>
      </c>
      <c r="AM63" s="5">
        <v>3088</v>
      </c>
      <c r="AN63" s="5">
        <v>0</v>
      </c>
      <c r="AO63" s="5">
        <v>0</v>
      </c>
      <c r="AP63" s="5">
        <v>9</v>
      </c>
      <c r="AQ63" s="5">
        <v>0</v>
      </c>
      <c r="AR63" s="5">
        <v>0</v>
      </c>
      <c r="AS63" s="5">
        <v>1696</v>
      </c>
      <c r="AT63" s="5" t="s">
        <v>82</v>
      </c>
      <c r="AU63" s="5">
        <v>650</v>
      </c>
      <c r="AV63" s="5">
        <v>974</v>
      </c>
      <c r="AW63" s="5">
        <v>1594</v>
      </c>
      <c r="AX63" s="5">
        <v>4411</v>
      </c>
      <c r="AY63" s="155"/>
      <c r="AZ63" s="155"/>
      <c r="BA63" s="155">
        <v>0</v>
      </c>
      <c r="BB63" s="155"/>
      <c r="BC63" s="5">
        <v>1512</v>
      </c>
      <c r="BD63" s="5"/>
      <c r="BE63" s="5">
        <v>57776</v>
      </c>
      <c r="BF63" s="5">
        <v>124886</v>
      </c>
      <c r="BG63" s="5">
        <v>220</v>
      </c>
      <c r="BH63" s="5">
        <v>1034</v>
      </c>
      <c r="BI63" s="5">
        <v>1157</v>
      </c>
      <c r="BJ63" s="5">
        <v>3116</v>
      </c>
      <c r="BK63" s="5">
        <v>191</v>
      </c>
      <c r="BL63" s="5">
        <v>2728</v>
      </c>
      <c r="BM63" s="5"/>
      <c r="BN63" s="5">
        <v>754</v>
      </c>
      <c r="BO63" s="5">
        <v>151</v>
      </c>
      <c r="BP63" s="5">
        <v>0</v>
      </c>
      <c r="BQ63" s="5">
        <v>7114</v>
      </c>
      <c r="BR63" s="5">
        <v>13929</v>
      </c>
      <c r="BS63" s="5">
        <v>34</v>
      </c>
      <c r="BT63" s="5">
        <v>716</v>
      </c>
      <c r="BU63" s="5">
        <v>781</v>
      </c>
      <c r="BV63" s="5"/>
      <c r="BW63" s="5">
        <v>6</v>
      </c>
      <c r="BX63" s="5">
        <v>281</v>
      </c>
      <c r="BY63" s="5"/>
      <c r="BZ63" s="5">
        <v>4950</v>
      </c>
      <c r="CA63" s="5">
        <v>19</v>
      </c>
      <c r="CB63" s="5">
        <v>0</v>
      </c>
      <c r="CC63" s="5">
        <v>13072</v>
      </c>
      <c r="CD63" s="5">
        <v>46664</v>
      </c>
      <c r="CE63" s="5">
        <v>16186</v>
      </c>
      <c r="CF63" s="5">
        <v>9131</v>
      </c>
      <c r="CG63" s="5">
        <v>0</v>
      </c>
      <c r="CH63" s="5">
        <v>0</v>
      </c>
      <c r="CI63" s="5">
        <v>28</v>
      </c>
      <c r="CJ63" s="5">
        <v>476</v>
      </c>
      <c r="CK63" s="5">
        <v>160</v>
      </c>
      <c r="CL63" s="5"/>
      <c r="CM63" s="5"/>
      <c r="CN63" s="5"/>
      <c r="CO63" s="5"/>
      <c r="CP63" s="5"/>
      <c r="CQ63" s="5"/>
      <c r="CR63" s="5"/>
      <c r="CS63" s="5"/>
      <c r="CT63" s="5" t="s">
        <v>82</v>
      </c>
      <c r="CU63" s="5" t="s">
        <v>82</v>
      </c>
      <c r="CV63" s="5" t="s">
        <v>82</v>
      </c>
      <c r="CW63" s="5">
        <v>0</v>
      </c>
      <c r="CX63" s="5">
        <v>0</v>
      </c>
      <c r="CY63" s="5">
        <v>0</v>
      </c>
      <c r="DA63" s="6"/>
      <c r="DD63" s="6">
        <f t="shared" si="1"/>
        <v>305560</v>
      </c>
      <c r="DE63" s="6">
        <f t="shared" si="2"/>
        <v>141243</v>
      </c>
      <c r="DF63" s="16">
        <f t="shared" si="3"/>
        <v>446803</v>
      </c>
      <c r="DK63" s="6">
        <f t="shared" si="4"/>
        <v>59454</v>
      </c>
      <c r="DL63" s="6">
        <f t="shared" si="5"/>
        <v>67185</v>
      </c>
      <c r="DM63" s="6">
        <f t="shared" si="17"/>
        <v>10133</v>
      </c>
      <c r="DN63" s="6">
        <f t="shared" si="18"/>
        <v>4471</v>
      </c>
      <c r="DO63" s="6">
        <f t="shared" si="6"/>
        <v>218721</v>
      </c>
      <c r="DP63" s="6">
        <f t="shared" si="16"/>
        <v>67394</v>
      </c>
      <c r="DQ63" s="6"/>
      <c r="DR63" s="6">
        <f t="shared" si="7"/>
        <v>13100</v>
      </c>
      <c r="DS63" s="6">
        <f t="shared" si="8"/>
        <v>0</v>
      </c>
      <c r="DT63" s="6">
        <f t="shared" si="9"/>
        <v>6345</v>
      </c>
      <c r="DU63" s="6"/>
      <c r="DV63" s="6"/>
      <c r="DW63" s="6">
        <f t="shared" si="10"/>
        <v>446803</v>
      </c>
      <c r="DY63" s="6">
        <f t="shared" si="11"/>
        <v>225066</v>
      </c>
      <c r="DZ63" s="6">
        <f t="shared" si="12"/>
        <v>0</v>
      </c>
      <c r="EB63" s="6">
        <f t="shared" si="13"/>
        <v>446803</v>
      </c>
      <c r="EC63" s="6"/>
      <c r="ED63" s="6"/>
      <c r="EF63" s="6"/>
      <c r="EG63" s="6"/>
    </row>
    <row r="64" spans="2:137" ht="14">
      <c r="B64" s="4">
        <v>33909</v>
      </c>
      <c r="C64" s="5">
        <v>0</v>
      </c>
      <c r="D64" s="5">
        <v>0</v>
      </c>
      <c r="E64" s="5">
        <v>0</v>
      </c>
      <c r="F64" s="5" t="s">
        <v>82</v>
      </c>
      <c r="G64" s="5" t="s">
        <v>82</v>
      </c>
      <c r="H64" s="5">
        <v>0</v>
      </c>
      <c r="I64" s="5">
        <v>0</v>
      </c>
      <c r="J64" s="5">
        <v>0</v>
      </c>
      <c r="K64" s="5">
        <v>0</v>
      </c>
      <c r="L64" s="5"/>
      <c r="M64" s="5">
        <v>34687</v>
      </c>
      <c r="N64" s="5">
        <v>3087</v>
      </c>
      <c r="O64" s="5"/>
      <c r="P64" s="5">
        <v>7333</v>
      </c>
      <c r="Q64" s="5">
        <v>1314</v>
      </c>
      <c r="R64" s="5">
        <v>1357</v>
      </c>
      <c r="S64" s="5">
        <v>2581</v>
      </c>
      <c r="T64" s="5">
        <v>10277</v>
      </c>
      <c r="U64" s="5"/>
      <c r="V64" s="5"/>
      <c r="W64" s="5">
        <v>9225</v>
      </c>
      <c r="X64" s="5">
        <v>0</v>
      </c>
      <c r="Y64" s="5">
        <v>915</v>
      </c>
      <c r="Z64" s="5">
        <v>37</v>
      </c>
      <c r="AA64" s="155"/>
      <c r="AB64" s="5">
        <v>26</v>
      </c>
      <c r="AC64" s="5">
        <v>0</v>
      </c>
      <c r="AD64" s="5">
        <v>5</v>
      </c>
      <c r="AE64" s="5">
        <v>19</v>
      </c>
      <c r="AF64" s="5">
        <v>9</v>
      </c>
      <c r="AG64" s="5">
        <v>52</v>
      </c>
      <c r="AH64" s="5"/>
      <c r="AI64" s="5"/>
      <c r="AJ64" s="5">
        <v>38</v>
      </c>
      <c r="AK64" s="5">
        <v>0</v>
      </c>
      <c r="AL64" s="5">
        <v>57262</v>
      </c>
      <c r="AM64" s="5">
        <v>3125</v>
      </c>
      <c r="AN64" s="5">
        <v>0</v>
      </c>
      <c r="AO64" s="5">
        <v>0</v>
      </c>
      <c r="AP64" s="5">
        <v>9</v>
      </c>
      <c r="AQ64" s="5">
        <v>0</v>
      </c>
      <c r="AR64" s="5">
        <v>0</v>
      </c>
      <c r="AS64" s="5">
        <v>1723</v>
      </c>
      <c r="AT64" s="5" t="s">
        <v>82</v>
      </c>
      <c r="AU64" s="5">
        <v>654</v>
      </c>
      <c r="AV64" s="5">
        <v>977</v>
      </c>
      <c r="AW64" s="5">
        <v>1586</v>
      </c>
      <c r="AX64" s="5">
        <v>4488</v>
      </c>
      <c r="AY64" s="155"/>
      <c r="AZ64" s="155"/>
      <c r="BA64" s="155">
        <v>0</v>
      </c>
      <c r="BB64" s="155"/>
      <c r="BC64" s="5">
        <v>1528</v>
      </c>
      <c r="BD64" s="5"/>
      <c r="BE64" s="5">
        <v>57907</v>
      </c>
      <c r="BF64" s="5">
        <v>125410</v>
      </c>
      <c r="BG64" s="5">
        <v>225</v>
      </c>
      <c r="BH64" s="5">
        <v>1057</v>
      </c>
      <c r="BI64" s="5">
        <v>1203</v>
      </c>
      <c r="BJ64" s="5">
        <v>3147</v>
      </c>
      <c r="BK64" s="5">
        <v>211</v>
      </c>
      <c r="BL64" s="5">
        <v>2719</v>
      </c>
      <c r="BM64" s="5"/>
      <c r="BN64" s="5">
        <v>749</v>
      </c>
      <c r="BO64" s="5">
        <v>149</v>
      </c>
      <c r="BP64" s="5">
        <v>0</v>
      </c>
      <c r="BQ64" s="5">
        <v>7277</v>
      </c>
      <c r="BR64" s="5">
        <v>14171</v>
      </c>
      <c r="BS64" s="5">
        <v>33</v>
      </c>
      <c r="BT64" s="5">
        <v>735</v>
      </c>
      <c r="BU64" s="5">
        <v>788</v>
      </c>
      <c r="BV64" s="5"/>
      <c r="BW64" s="5">
        <v>8</v>
      </c>
      <c r="BX64" s="5">
        <v>283</v>
      </c>
      <c r="BY64" s="5"/>
      <c r="BZ64" s="5">
        <v>4733</v>
      </c>
      <c r="CA64" s="5">
        <v>18</v>
      </c>
      <c r="CB64" s="5">
        <v>0</v>
      </c>
      <c r="CC64" s="5">
        <v>12953</v>
      </c>
      <c r="CD64" s="5">
        <v>47583</v>
      </c>
      <c r="CE64" s="5">
        <v>18098</v>
      </c>
      <c r="CF64" s="5">
        <v>9487</v>
      </c>
      <c r="CG64" s="5">
        <v>0</v>
      </c>
      <c r="CH64" s="5">
        <v>0</v>
      </c>
      <c r="CI64" s="5">
        <v>24</v>
      </c>
      <c r="CJ64" s="5">
        <v>459</v>
      </c>
      <c r="CK64" s="5">
        <v>165</v>
      </c>
      <c r="CL64" s="5"/>
      <c r="CM64" s="5"/>
      <c r="CN64" s="5"/>
      <c r="CO64" s="5"/>
      <c r="CP64" s="5"/>
      <c r="CQ64" s="5"/>
      <c r="CR64" s="5"/>
      <c r="CS64" s="5"/>
      <c r="CT64" s="5" t="s">
        <v>82</v>
      </c>
      <c r="CU64" s="5" t="s">
        <v>82</v>
      </c>
      <c r="CV64" s="5" t="s">
        <v>82</v>
      </c>
      <c r="CW64" s="5">
        <v>0</v>
      </c>
      <c r="CX64" s="5">
        <v>0</v>
      </c>
      <c r="CY64" s="5">
        <v>0</v>
      </c>
      <c r="DA64" s="6"/>
      <c r="DD64" s="6">
        <f t="shared" si="1"/>
        <v>309592</v>
      </c>
      <c r="DE64" s="6">
        <f t="shared" si="2"/>
        <v>142314</v>
      </c>
      <c r="DF64" s="16">
        <f t="shared" si="3"/>
        <v>451906</v>
      </c>
      <c r="DK64" s="6">
        <f t="shared" si="4"/>
        <v>59584</v>
      </c>
      <c r="DL64" s="6">
        <f t="shared" si="5"/>
        <v>67904</v>
      </c>
      <c r="DM64" s="6">
        <f t="shared" si="17"/>
        <v>10277</v>
      </c>
      <c r="DN64" s="6">
        <f t="shared" si="18"/>
        <v>4549</v>
      </c>
      <c r="DO64" s="6">
        <f t="shared" si="6"/>
        <v>222516</v>
      </c>
      <c r="DP64" s="6">
        <f t="shared" si="16"/>
        <v>67725</v>
      </c>
      <c r="DQ64" s="6"/>
      <c r="DR64" s="6">
        <f t="shared" si="7"/>
        <v>12977</v>
      </c>
      <c r="DS64" s="6">
        <f t="shared" si="8"/>
        <v>0</v>
      </c>
      <c r="DT64" s="6">
        <f t="shared" si="9"/>
        <v>6374</v>
      </c>
      <c r="DU64" s="6"/>
      <c r="DV64" s="6"/>
      <c r="DW64" s="6">
        <f t="shared" si="10"/>
        <v>451906</v>
      </c>
      <c r="DY64" s="6">
        <f t="shared" si="11"/>
        <v>228890</v>
      </c>
      <c r="DZ64" s="6">
        <f t="shared" si="12"/>
        <v>0</v>
      </c>
      <c r="EB64" s="6">
        <f t="shared" si="13"/>
        <v>451906</v>
      </c>
      <c r="EC64" s="6"/>
      <c r="ED64" s="6"/>
      <c r="EF64" s="6"/>
      <c r="EG64" s="6"/>
    </row>
    <row r="65" spans="2:137" ht="14">
      <c r="B65" s="4">
        <v>33939</v>
      </c>
      <c r="C65" s="5">
        <v>0</v>
      </c>
      <c r="D65" s="5">
        <v>0</v>
      </c>
      <c r="E65" s="5">
        <v>0</v>
      </c>
      <c r="F65" s="5" t="s">
        <v>82</v>
      </c>
      <c r="G65" s="5" t="s">
        <v>82</v>
      </c>
      <c r="H65" s="5">
        <v>0</v>
      </c>
      <c r="I65" s="5">
        <v>0</v>
      </c>
      <c r="J65" s="5">
        <v>0</v>
      </c>
      <c r="K65" s="5">
        <v>0</v>
      </c>
      <c r="L65" s="5"/>
      <c r="M65" s="5">
        <v>34689</v>
      </c>
      <c r="N65" s="5">
        <v>3102</v>
      </c>
      <c r="O65" s="5"/>
      <c r="P65" s="5">
        <v>7358</v>
      </c>
      <c r="Q65" s="5">
        <v>1311</v>
      </c>
      <c r="R65" s="5">
        <v>1350</v>
      </c>
      <c r="S65" s="5">
        <v>2564</v>
      </c>
      <c r="T65" s="5">
        <v>10433</v>
      </c>
      <c r="U65" s="5"/>
      <c r="V65" s="5"/>
      <c r="W65" s="5">
        <v>9232</v>
      </c>
      <c r="X65" s="5">
        <v>0</v>
      </c>
      <c r="Y65" s="5">
        <v>910</v>
      </c>
      <c r="Z65" s="5">
        <v>37</v>
      </c>
      <c r="AA65" s="155"/>
      <c r="AB65" s="5">
        <v>27</v>
      </c>
      <c r="AC65" s="5">
        <v>0</v>
      </c>
      <c r="AD65" s="5">
        <v>5</v>
      </c>
      <c r="AE65" s="5">
        <v>19</v>
      </c>
      <c r="AF65" s="5">
        <v>10</v>
      </c>
      <c r="AG65" s="5">
        <v>53</v>
      </c>
      <c r="AH65" s="5"/>
      <c r="AI65" s="5"/>
      <c r="AJ65" s="5">
        <v>38</v>
      </c>
      <c r="AK65" s="5">
        <v>0</v>
      </c>
      <c r="AL65" s="5">
        <v>57783</v>
      </c>
      <c r="AM65" s="5">
        <v>3139</v>
      </c>
      <c r="AN65" s="5">
        <v>0</v>
      </c>
      <c r="AO65" s="5">
        <v>0</v>
      </c>
      <c r="AP65" s="5">
        <v>10</v>
      </c>
      <c r="AQ65" s="5">
        <v>0</v>
      </c>
      <c r="AR65" s="5">
        <v>0</v>
      </c>
      <c r="AS65" s="5">
        <v>1745</v>
      </c>
      <c r="AT65" s="5" t="s">
        <v>82</v>
      </c>
      <c r="AU65" s="5">
        <v>672</v>
      </c>
      <c r="AV65" s="5">
        <v>976</v>
      </c>
      <c r="AW65" s="5">
        <v>1598</v>
      </c>
      <c r="AX65" s="5">
        <v>4591</v>
      </c>
      <c r="AY65" s="155"/>
      <c r="AZ65" s="155"/>
      <c r="BA65" s="155">
        <v>0</v>
      </c>
      <c r="BB65" s="155"/>
      <c r="BC65" s="5">
        <v>1519</v>
      </c>
      <c r="BD65" s="5"/>
      <c r="BE65" s="5">
        <v>57889</v>
      </c>
      <c r="BF65" s="5">
        <v>125708</v>
      </c>
      <c r="BG65" s="5">
        <v>228</v>
      </c>
      <c r="BH65" s="5">
        <v>1088</v>
      </c>
      <c r="BI65" s="5">
        <v>1283</v>
      </c>
      <c r="BJ65" s="5">
        <v>3123</v>
      </c>
      <c r="BK65" s="5">
        <v>207</v>
      </c>
      <c r="BL65" s="5">
        <v>2721</v>
      </c>
      <c r="BM65" s="5"/>
      <c r="BN65" s="5">
        <v>684</v>
      </c>
      <c r="BO65" s="5">
        <v>143</v>
      </c>
      <c r="BP65" s="5">
        <v>0</v>
      </c>
      <c r="BQ65" s="5">
        <v>7275</v>
      </c>
      <c r="BR65" s="5">
        <v>14005</v>
      </c>
      <c r="BS65" s="5">
        <v>33</v>
      </c>
      <c r="BT65" s="5">
        <v>680</v>
      </c>
      <c r="BU65" s="5">
        <v>745</v>
      </c>
      <c r="BV65" s="5"/>
      <c r="BW65" s="5">
        <v>10</v>
      </c>
      <c r="BX65" s="5">
        <v>289</v>
      </c>
      <c r="BY65" s="5"/>
      <c r="BZ65" s="5">
        <v>4608</v>
      </c>
      <c r="CA65" s="5">
        <v>17</v>
      </c>
      <c r="CB65" s="5">
        <v>0</v>
      </c>
      <c r="CC65" s="5">
        <v>12756</v>
      </c>
      <c r="CD65" s="5">
        <v>48192</v>
      </c>
      <c r="CE65" s="5">
        <v>19707</v>
      </c>
      <c r="CF65" s="5">
        <v>9828</v>
      </c>
      <c r="CG65" s="5">
        <v>0</v>
      </c>
      <c r="CH65" s="5">
        <v>0</v>
      </c>
      <c r="CI65" s="5">
        <v>24</v>
      </c>
      <c r="CJ65" s="5">
        <v>421</v>
      </c>
      <c r="CK65" s="5">
        <v>165</v>
      </c>
      <c r="CL65" s="5"/>
      <c r="CM65" s="5"/>
      <c r="CN65" s="5"/>
      <c r="CO65" s="5"/>
      <c r="CP65" s="5"/>
      <c r="CQ65" s="5"/>
      <c r="CR65" s="5"/>
      <c r="CS65" s="5"/>
      <c r="CT65" s="5" t="s">
        <v>82</v>
      </c>
      <c r="CU65" s="5" t="s">
        <v>82</v>
      </c>
      <c r="CV65" s="5" t="s">
        <v>82</v>
      </c>
      <c r="CW65" s="5">
        <v>0</v>
      </c>
      <c r="CX65" s="5">
        <v>0</v>
      </c>
      <c r="CY65" s="5">
        <v>0</v>
      </c>
      <c r="DA65" s="6"/>
      <c r="DD65" s="6">
        <f t="shared" si="1"/>
        <v>311829</v>
      </c>
      <c r="DE65" s="6">
        <f t="shared" si="2"/>
        <v>143171</v>
      </c>
      <c r="DF65" s="16">
        <f t="shared" si="3"/>
        <v>455000</v>
      </c>
      <c r="DK65" s="6">
        <f t="shared" si="4"/>
        <v>59606</v>
      </c>
      <c r="DL65" s="6">
        <f t="shared" si="5"/>
        <v>68478</v>
      </c>
      <c r="DM65" s="6">
        <f t="shared" si="17"/>
        <v>10433</v>
      </c>
      <c r="DN65" s="6">
        <f t="shared" si="18"/>
        <v>4654</v>
      </c>
      <c r="DO65" s="6">
        <f t="shared" si="6"/>
        <v>225072</v>
      </c>
      <c r="DP65" s="6">
        <f t="shared" si="16"/>
        <v>67616</v>
      </c>
      <c r="DQ65" s="6"/>
      <c r="DR65" s="6">
        <f t="shared" si="7"/>
        <v>12780</v>
      </c>
      <c r="DS65" s="6">
        <f t="shared" si="8"/>
        <v>0</v>
      </c>
      <c r="DT65" s="6">
        <f t="shared" si="9"/>
        <v>6361</v>
      </c>
      <c r="DU65" s="6"/>
      <c r="DV65" s="6"/>
      <c r="DW65" s="6">
        <f t="shared" si="10"/>
        <v>455000</v>
      </c>
      <c r="DY65" s="6">
        <f t="shared" si="11"/>
        <v>231433</v>
      </c>
      <c r="DZ65" s="6">
        <f t="shared" si="12"/>
        <v>0</v>
      </c>
      <c r="EB65" s="6">
        <f t="shared" si="13"/>
        <v>455000</v>
      </c>
      <c r="EC65" s="6"/>
      <c r="ED65" s="6"/>
      <c r="EF65" s="6"/>
      <c r="EG65" s="6"/>
    </row>
    <row r="66" spans="2:137" ht="14">
      <c r="B66" s="4">
        <v>33970</v>
      </c>
      <c r="C66" s="5">
        <v>0</v>
      </c>
      <c r="D66" s="5">
        <v>0</v>
      </c>
      <c r="E66" s="5">
        <v>0</v>
      </c>
      <c r="F66" s="5" t="s">
        <v>82</v>
      </c>
      <c r="G66" s="5" t="s">
        <v>82</v>
      </c>
      <c r="H66" s="5">
        <v>0</v>
      </c>
      <c r="I66" s="5">
        <v>0</v>
      </c>
      <c r="J66" s="5">
        <v>0</v>
      </c>
      <c r="K66" s="5">
        <v>0</v>
      </c>
      <c r="L66" s="5"/>
      <c r="M66" s="5">
        <v>34759</v>
      </c>
      <c r="N66" s="5">
        <v>3120</v>
      </c>
      <c r="O66" s="5"/>
      <c r="P66" s="5">
        <v>7379</v>
      </c>
      <c r="Q66" s="5">
        <v>1310</v>
      </c>
      <c r="R66" s="5">
        <v>1356</v>
      </c>
      <c r="S66" s="5">
        <v>2615</v>
      </c>
      <c r="T66" s="5">
        <v>10557</v>
      </c>
      <c r="U66" s="5"/>
      <c r="V66" s="5"/>
      <c r="W66" s="5">
        <v>9234</v>
      </c>
      <c r="X66" s="5">
        <v>0</v>
      </c>
      <c r="Y66" s="5">
        <v>906</v>
      </c>
      <c r="Z66" s="5">
        <v>38</v>
      </c>
      <c r="AA66" s="155"/>
      <c r="AB66" s="5">
        <v>27</v>
      </c>
      <c r="AC66" s="5">
        <v>0</v>
      </c>
      <c r="AD66" s="5">
        <v>5</v>
      </c>
      <c r="AE66" s="5">
        <v>19</v>
      </c>
      <c r="AF66" s="5">
        <v>8</v>
      </c>
      <c r="AG66" s="5">
        <v>49</v>
      </c>
      <c r="AH66" s="5"/>
      <c r="AI66" s="5"/>
      <c r="AJ66" s="5">
        <v>39</v>
      </c>
      <c r="AK66" s="5">
        <v>0</v>
      </c>
      <c r="AL66" s="5">
        <v>58465</v>
      </c>
      <c r="AM66" s="5">
        <v>3160</v>
      </c>
      <c r="AN66" s="5">
        <v>0</v>
      </c>
      <c r="AO66" s="5">
        <v>0</v>
      </c>
      <c r="AP66" s="5">
        <v>10</v>
      </c>
      <c r="AQ66" s="5">
        <v>0</v>
      </c>
      <c r="AR66" s="5">
        <v>0</v>
      </c>
      <c r="AS66" s="5">
        <v>1764</v>
      </c>
      <c r="AT66" s="5" t="s">
        <v>82</v>
      </c>
      <c r="AU66" s="5">
        <v>700</v>
      </c>
      <c r="AV66" s="5">
        <v>992</v>
      </c>
      <c r="AW66" s="5">
        <v>1585</v>
      </c>
      <c r="AX66" s="5">
        <v>4657</v>
      </c>
      <c r="AY66" s="155"/>
      <c r="AZ66" s="155"/>
      <c r="BA66" s="155">
        <v>0</v>
      </c>
      <c r="BB66" s="155"/>
      <c r="BC66" s="5">
        <v>1533</v>
      </c>
      <c r="BD66" s="5"/>
      <c r="BE66" s="5">
        <v>58731</v>
      </c>
      <c r="BF66" s="5">
        <v>127347</v>
      </c>
      <c r="BG66" s="5">
        <v>238</v>
      </c>
      <c r="BH66" s="5">
        <v>1210</v>
      </c>
      <c r="BI66" s="5">
        <v>1455</v>
      </c>
      <c r="BJ66" s="5">
        <v>3128</v>
      </c>
      <c r="BK66" s="5">
        <v>211</v>
      </c>
      <c r="BL66" s="5">
        <v>2782</v>
      </c>
      <c r="BM66" s="5"/>
      <c r="BN66" s="5">
        <v>657</v>
      </c>
      <c r="BO66" s="5">
        <v>144</v>
      </c>
      <c r="BP66" s="5">
        <v>0</v>
      </c>
      <c r="BQ66" s="5">
        <v>7208</v>
      </c>
      <c r="BR66" s="5">
        <v>13845</v>
      </c>
      <c r="BS66" s="5">
        <v>33</v>
      </c>
      <c r="BT66" s="5">
        <v>677</v>
      </c>
      <c r="BU66" s="5">
        <v>720</v>
      </c>
      <c r="BV66" s="5"/>
      <c r="BW66" s="5">
        <v>12</v>
      </c>
      <c r="BX66" s="5">
        <v>295</v>
      </c>
      <c r="BY66" s="5"/>
      <c r="BZ66" s="5">
        <v>4608</v>
      </c>
      <c r="CA66" s="5">
        <v>11</v>
      </c>
      <c r="CB66" s="5">
        <v>0</v>
      </c>
      <c r="CC66" s="5">
        <v>12853</v>
      </c>
      <c r="CD66" s="5">
        <v>49228</v>
      </c>
      <c r="CE66" s="5">
        <v>21232</v>
      </c>
      <c r="CF66" s="5">
        <v>10290</v>
      </c>
      <c r="CG66" s="5">
        <v>0</v>
      </c>
      <c r="CH66" s="5">
        <v>0</v>
      </c>
      <c r="CI66" s="5">
        <v>15</v>
      </c>
      <c r="CJ66" s="5">
        <v>416</v>
      </c>
      <c r="CK66" s="5">
        <v>175</v>
      </c>
      <c r="CL66" s="5"/>
      <c r="CM66" s="5"/>
      <c r="CN66" s="5"/>
      <c r="CO66" s="5"/>
      <c r="CP66" s="5"/>
      <c r="CQ66" s="5"/>
      <c r="CR66" s="5"/>
      <c r="CS66" s="5"/>
      <c r="CT66" s="5" t="s">
        <v>82</v>
      </c>
      <c r="CU66" s="5" t="s">
        <v>82</v>
      </c>
      <c r="CV66" s="5" t="s">
        <v>82</v>
      </c>
      <c r="CW66" s="5">
        <v>0</v>
      </c>
      <c r="CX66" s="5">
        <v>0</v>
      </c>
      <c r="CY66" s="5">
        <v>0</v>
      </c>
      <c r="DA66" s="6"/>
      <c r="DD66" s="6">
        <f t="shared" si="1"/>
        <v>317521</v>
      </c>
      <c r="DE66" s="6">
        <f t="shared" si="2"/>
        <v>144287</v>
      </c>
      <c r="DF66" s="16">
        <f t="shared" si="3"/>
        <v>461808</v>
      </c>
      <c r="DK66" s="6">
        <f t="shared" si="4"/>
        <v>59773</v>
      </c>
      <c r="DL66" s="6">
        <f t="shared" si="5"/>
        <v>69241</v>
      </c>
      <c r="DM66" s="6">
        <f t="shared" si="17"/>
        <v>10557</v>
      </c>
      <c r="DN66" s="6">
        <f t="shared" si="18"/>
        <v>4716</v>
      </c>
      <c r="DO66" s="6">
        <f t="shared" si="6"/>
        <v>229727</v>
      </c>
      <c r="DP66" s="6">
        <f t="shared" si="16"/>
        <v>68483</v>
      </c>
      <c r="DQ66" s="6"/>
      <c r="DR66" s="6">
        <f t="shared" si="7"/>
        <v>12868</v>
      </c>
      <c r="DS66" s="6">
        <f t="shared" si="8"/>
        <v>0</v>
      </c>
      <c r="DT66" s="6">
        <f t="shared" si="9"/>
        <v>6443</v>
      </c>
      <c r="DU66" s="6"/>
      <c r="DV66" s="6"/>
      <c r="DW66" s="6">
        <f t="shared" si="10"/>
        <v>461808</v>
      </c>
      <c r="DY66" s="6">
        <f t="shared" si="11"/>
        <v>236170</v>
      </c>
      <c r="DZ66" s="6">
        <f t="shared" si="12"/>
        <v>0</v>
      </c>
      <c r="EB66" s="6">
        <f t="shared" si="13"/>
        <v>461808</v>
      </c>
      <c r="EC66" s="6"/>
      <c r="ED66" s="6"/>
      <c r="EF66" s="6"/>
      <c r="EG66" s="6"/>
    </row>
    <row r="67" spans="2:137" ht="14">
      <c r="B67" s="4">
        <v>34001</v>
      </c>
      <c r="C67" s="5">
        <v>0</v>
      </c>
      <c r="D67" s="5">
        <v>0</v>
      </c>
      <c r="E67" s="5">
        <v>0</v>
      </c>
      <c r="F67" s="5" t="s">
        <v>82</v>
      </c>
      <c r="G67" s="5" t="s">
        <v>82</v>
      </c>
      <c r="H67" s="5">
        <v>0</v>
      </c>
      <c r="I67" s="5">
        <v>0</v>
      </c>
      <c r="J67" s="5">
        <v>0</v>
      </c>
      <c r="K67" s="5">
        <v>0</v>
      </c>
      <c r="L67" s="5"/>
      <c r="M67" s="5">
        <v>34730</v>
      </c>
      <c r="N67" s="5">
        <v>3100</v>
      </c>
      <c r="O67" s="5"/>
      <c r="P67" s="5">
        <v>7374</v>
      </c>
      <c r="Q67" s="5">
        <v>1288</v>
      </c>
      <c r="R67" s="5">
        <v>1386</v>
      </c>
      <c r="S67" s="5">
        <v>2558</v>
      </c>
      <c r="T67" s="5">
        <v>10638</v>
      </c>
      <c r="U67" s="5"/>
      <c r="V67" s="5"/>
      <c r="W67" s="5">
        <v>9200</v>
      </c>
      <c r="X67" s="5">
        <v>0</v>
      </c>
      <c r="Y67" s="5">
        <v>906</v>
      </c>
      <c r="Z67" s="5">
        <v>37</v>
      </c>
      <c r="AA67" s="155"/>
      <c r="AB67" s="5">
        <v>26</v>
      </c>
      <c r="AC67" s="5">
        <v>0</v>
      </c>
      <c r="AD67" s="5">
        <v>6</v>
      </c>
      <c r="AE67" s="5">
        <v>19</v>
      </c>
      <c r="AF67" s="5">
        <v>7</v>
      </c>
      <c r="AG67" s="5">
        <v>47</v>
      </c>
      <c r="AH67" s="5"/>
      <c r="AI67" s="5"/>
      <c r="AJ67" s="5">
        <v>40</v>
      </c>
      <c r="AK67" s="5">
        <v>0</v>
      </c>
      <c r="AL67" s="5">
        <v>59040</v>
      </c>
      <c r="AM67" s="5">
        <v>3151</v>
      </c>
      <c r="AN67" s="5">
        <v>0</v>
      </c>
      <c r="AO67" s="5">
        <v>0</v>
      </c>
      <c r="AP67" s="5">
        <v>10</v>
      </c>
      <c r="AQ67" s="5">
        <v>0</v>
      </c>
      <c r="AR67" s="5">
        <v>0</v>
      </c>
      <c r="AS67" s="5">
        <v>1748</v>
      </c>
      <c r="AT67" s="5" t="s">
        <v>82</v>
      </c>
      <c r="AU67" s="5">
        <v>710</v>
      </c>
      <c r="AV67" s="5">
        <v>1031</v>
      </c>
      <c r="AW67" s="5">
        <v>1586</v>
      </c>
      <c r="AX67" s="5">
        <v>4735</v>
      </c>
      <c r="AY67" s="155"/>
      <c r="AZ67" s="155"/>
      <c r="BA67" s="155">
        <v>0</v>
      </c>
      <c r="BB67" s="155"/>
      <c r="BC67" s="5">
        <v>1516</v>
      </c>
      <c r="BD67" s="5"/>
      <c r="BE67" s="5">
        <v>59034</v>
      </c>
      <c r="BF67" s="5">
        <v>127820</v>
      </c>
      <c r="BG67" s="5">
        <v>239</v>
      </c>
      <c r="BH67" s="5">
        <v>1238</v>
      </c>
      <c r="BI67" s="5">
        <v>1464</v>
      </c>
      <c r="BJ67" s="5">
        <v>3174</v>
      </c>
      <c r="BK67" s="5">
        <v>224</v>
      </c>
      <c r="BL67" s="5">
        <v>2786</v>
      </c>
      <c r="BM67" s="5"/>
      <c r="BN67" s="5">
        <v>654</v>
      </c>
      <c r="BO67" s="5">
        <v>141</v>
      </c>
      <c r="BP67" s="5">
        <v>0</v>
      </c>
      <c r="BQ67" s="5">
        <v>7011</v>
      </c>
      <c r="BR67" s="5">
        <v>13494</v>
      </c>
      <c r="BS67" s="5">
        <v>34</v>
      </c>
      <c r="BT67" s="5">
        <v>740</v>
      </c>
      <c r="BU67" s="5">
        <v>796</v>
      </c>
      <c r="BV67" s="5"/>
      <c r="BW67" s="5">
        <v>12</v>
      </c>
      <c r="BX67" s="5">
        <v>292</v>
      </c>
      <c r="BY67" s="5"/>
      <c r="BZ67" s="5">
        <v>4533</v>
      </c>
      <c r="CA67" s="5">
        <v>12</v>
      </c>
      <c r="CB67" s="5">
        <v>0</v>
      </c>
      <c r="CC67" s="5">
        <v>13002</v>
      </c>
      <c r="CD67" s="5">
        <v>50036</v>
      </c>
      <c r="CE67" s="5">
        <v>22493</v>
      </c>
      <c r="CF67" s="5">
        <v>10800</v>
      </c>
      <c r="CG67" s="5">
        <v>0</v>
      </c>
      <c r="CH67" s="5">
        <v>0</v>
      </c>
      <c r="CI67" s="5">
        <v>17</v>
      </c>
      <c r="CJ67" s="5">
        <v>398</v>
      </c>
      <c r="CK67" s="5">
        <v>176</v>
      </c>
      <c r="CL67" s="5"/>
      <c r="CM67" s="5"/>
      <c r="CN67" s="5"/>
      <c r="CO67" s="5"/>
      <c r="CP67" s="5"/>
      <c r="CQ67" s="5"/>
      <c r="CR67" s="5"/>
      <c r="CS67" s="5"/>
      <c r="CT67" s="5" t="s">
        <v>82</v>
      </c>
      <c r="CU67" s="5" t="s">
        <v>82</v>
      </c>
      <c r="CV67" s="5" t="s">
        <v>82</v>
      </c>
      <c r="CW67" s="5">
        <v>0</v>
      </c>
      <c r="CX67" s="5">
        <v>0</v>
      </c>
      <c r="CY67" s="5">
        <v>0</v>
      </c>
      <c r="DA67" s="6"/>
      <c r="DD67" s="6">
        <f t="shared" si="1"/>
        <v>320620</v>
      </c>
      <c r="DE67" s="6">
        <f t="shared" si="2"/>
        <v>144889</v>
      </c>
      <c r="DF67" s="16">
        <f t="shared" si="3"/>
        <v>465509</v>
      </c>
      <c r="DK67" s="6">
        <f t="shared" si="4"/>
        <v>59636</v>
      </c>
      <c r="DL67" s="6">
        <f t="shared" si="5"/>
        <v>69823</v>
      </c>
      <c r="DM67" s="6">
        <f t="shared" si="17"/>
        <v>10638</v>
      </c>
      <c r="DN67" s="6">
        <f t="shared" si="18"/>
        <v>4792</v>
      </c>
      <c r="DO67" s="6">
        <f t="shared" si="6"/>
        <v>232433</v>
      </c>
      <c r="DP67" s="6">
        <f t="shared" si="16"/>
        <v>68677</v>
      </c>
      <c r="DQ67" s="6"/>
      <c r="DR67" s="6">
        <f t="shared" si="7"/>
        <v>13019</v>
      </c>
      <c r="DS67" s="6">
        <f t="shared" si="8"/>
        <v>0</v>
      </c>
      <c r="DT67" s="6">
        <f t="shared" si="9"/>
        <v>6491</v>
      </c>
      <c r="DU67" s="6"/>
      <c r="DV67" s="6"/>
      <c r="DW67" s="6">
        <f t="shared" si="10"/>
        <v>465509</v>
      </c>
      <c r="DY67" s="6">
        <f t="shared" si="11"/>
        <v>238924</v>
      </c>
      <c r="DZ67" s="6">
        <f t="shared" si="12"/>
        <v>0</v>
      </c>
      <c r="EB67" s="6">
        <f t="shared" si="13"/>
        <v>465509</v>
      </c>
      <c r="EC67" s="6"/>
      <c r="ED67" s="6"/>
      <c r="EF67" s="6"/>
      <c r="EG67" s="6"/>
    </row>
    <row r="68" spans="2:137" ht="14">
      <c r="B68" s="4">
        <v>34029</v>
      </c>
      <c r="C68" s="5">
        <v>0</v>
      </c>
      <c r="D68" s="5">
        <v>0</v>
      </c>
      <c r="E68" s="5">
        <v>0</v>
      </c>
      <c r="F68" s="5" t="s">
        <v>82</v>
      </c>
      <c r="G68" s="5" t="s">
        <v>82</v>
      </c>
      <c r="H68" s="5">
        <v>0</v>
      </c>
      <c r="I68" s="5">
        <v>0</v>
      </c>
      <c r="J68" s="5">
        <v>0</v>
      </c>
      <c r="K68" s="5">
        <v>0</v>
      </c>
      <c r="L68" s="5"/>
      <c r="M68" s="5">
        <v>34665</v>
      </c>
      <c r="N68" s="5">
        <v>3128</v>
      </c>
      <c r="O68" s="5"/>
      <c r="P68" s="5">
        <v>7396</v>
      </c>
      <c r="Q68" s="5">
        <v>1254</v>
      </c>
      <c r="R68" s="5">
        <v>1380</v>
      </c>
      <c r="S68" s="5">
        <v>2545</v>
      </c>
      <c r="T68" s="5">
        <v>10783</v>
      </c>
      <c r="U68" s="5"/>
      <c r="V68" s="5"/>
      <c r="W68" s="5">
        <v>9169</v>
      </c>
      <c r="X68" s="5">
        <v>0</v>
      </c>
      <c r="Y68" s="5">
        <v>903</v>
      </c>
      <c r="Z68" s="5">
        <v>36</v>
      </c>
      <c r="AA68" s="155"/>
      <c r="AB68" s="5">
        <v>27</v>
      </c>
      <c r="AC68" s="5">
        <v>0</v>
      </c>
      <c r="AD68" s="5">
        <v>6</v>
      </c>
      <c r="AE68" s="5">
        <v>20</v>
      </c>
      <c r="AF68" s="5">
        <v>7</v>
      </c>
      <c r="AG68" s="5">
        <v>44</v>
      </c>
      <c r="AH68" s="5"/>
      <c r="AI68" s="5"/>
      <c r="AJ68" s="5">
        <v>41</v>
      </c>
      <c r="AK68" s="5">
        <v>0</v>
      </c>
      <c r="AL68" s="5">
        <v>59495</v>
      </c>
      <c r="AM68" s="5">
        <v>3177</v>
      </c>
      <c r="AN68" s="5">
        <v>0</v>
      </c>
      <c r="AO68" s="5">
        <v>0</v>
      </c>
      <c r="AP68" s="5">
        <v>12</v>
      </c>
      <c r="AQ68" s="5">
        <v>0</v>
      </c>
      <c r="AR68" s="5">
        <v>0</v>
      </c>
      <c r="AS68" s="5">
        <v>1784</v>
      </c>
      <c r="AT68" s="5" t="s">
        <v>82</v>
      </c>
      <c r="AU68" s="5">
        <v>707</v>
      </c>
      <c r="AV68" s="5">
        <v>1047</v>
      </c>
      <c r="AW68" s="5">
        <v>1587</v>
      </c>
      <c r="AX68" s="5">
        <v>4831</v>
      </c>
      <c r="AY68" s="155"/>
      <c r="AZ68" s="155"/>
      <c r="BA68" s="155">
        <v>0</v>
      </c>
      <c r="BB68" s="155"/>
      <c r="BC68" s="5">
        <v>1488</v>
      </c>
      <c r="BD68" s="5"/>
      <c r="BE68" s="5">
        <v>58877</v>
      </c>
      <c r="BF68" s="5">
        <v>127778</v>
      </c>
      <c r="BG68" s="5">
        <v>232</v>
      </c>
      <c r="BH68" s="5">
        <v>1271</v>
      </c>
      <c r="BI68" s="5">
        <v>1499</v>
      </c>
      <c r="BJ68" s="5">
        <v>3162</v>
      </c>
      <c r="BK68" s="5">
        <v>216</v>
      </c>
      <c r="BL68" s="5">
        <v>2785</v>
      </c>
      <c r="BM68" s="5"/>
      <c r="BN68" s="5">
        <v>563</v>
      </c>
      <c r="BO68" s="5">
        <v>140</v>
      </c>
      <c r="BP68" s="5">
        <v>0</v>
      </c>
      <c r="BQ68" s="5">
        <v>6958</v>
      </c>
      <c r="BR68" s="5">
        <v>13337</v>
      </c>
      <c r="BS68" s="5">
        <v>35</v>
      </c>
      <c r="BT68" s="5">
        <v>751</v>
      </c>
      <c r="BU68" s="5">
        <v>824</v>
      </c>
      <c r="BV68" s="5"/>
      <c r="BW68" s="5">
        <v>10</v>
      </c>
      <c r="BX68" s="5">
        <v>283</v>
      </c>
      <c r="BY68" s="5"/>
      <c r="BZ68" s="5">
        <v>4479</v>
      </c>
      <c r="CA68" s="5">
        <v>10</v>
      </c>
      <c r="CB68" s="5">
        <v>0</v>
      </c>
      <c r="CC68" s="5">
        <v>12914</v>
      </c>
      <c r="CD68" s="5">
        <v>50693</v>
      </c>
      <c r="CE68" s="5">
        <v>23554</v>
      </c>
      <c r="CF68" s="5">
        <v>11059</v>
      </c>
      <c r="CG68" s="5">
        <v>0</v>
      </c>
      <c r="CH68" s="5">
        <v>0</v>
      </c>
      <c r="CI68" s="5">
        <v>18</v>
      </c>
      <c r="CJ68" s="5">
        <v>379</v>
      </c>
      <c r="CK68" s="5">
        <v>199</v>
      </c>
      <c r="CL68" s="5"/>
      <c r="CM68" s="5"/>
      <c r="CN68" s="5"/>
      <c r="CO68" s="5"/>
      <c r="CP68" s="5"/>
      <c r="CQ68" s="5"/>
      <c r="CR68" s="5"/>
      <c r="CS68" s="5"/>
      <c r="CT68" s="5" t="s">
        <v>82</v>
      </c>
      <c r="CU68" s="5" t="s">
        <v>82</v>
      </c>
      <c r="CV68" s="5" t="s">
        <v>82</v>
      </c>
      <c r="CW68" s="5">
        <v>0</v>
      </c>
      <c r="CX68" s="5">
        <v>0</v>
      </c>
      <c r="CY68" s="5">
        <v>0</v>
      </c>
      <c r="DA68" s="6"/>
      <c r="DD68" s="6">
        <f t="shared" si="1"/>
        <v>322026</v>
      </c>
      <c r="DE68" s="6">
        <f t="shared" si="2"/>
        <v>145532</v>
      </c>
      <c r="DF68" s="16">
        <f t="shared" si="3"/>
        <v>467558</v>
      </c>
      <c r="DK68" s="6">
        <f t="shared" si="4"/>
        <v>59537</v>
      </c>
      <c r="DL68" s="6">
        <f t="shared" si="5"/>
        <v>70325</v>
      </c>
      <c r="DM68" s="6">
        <f t="shared" si="17"/>
        <v>10783</v>
      </c>
      <c r="DN68" s="6">
        <f t="shared" si="18"/>
        <v>4887</v>
      </c>
      <c r="DO68" s="6">
        <f t="shared" si="6"/>
        <v>234212</v>
      </c>
      <c r="DP68" s="6">
        <f t="shared" si="16"/>
        <v>68420</v>
      </c>
      <c r="DQ68" s="6"/>
      <c r="DR68" s="6">
        <f t="shared" si="7"/>
        <v>12932</v>
      </c>
      <c r="DS68" s="6">
        <f t="shared" si="8"/>
        <v>0</v>
      </c>
      <c r="DT68" s="6">
        <f t="shared" si="9"/>
        <v>6462</v>
      </c>
      <c r="DU68" s="6"/>
      <c r="DV68" s="6"/>
      <c r="DW68" s="6">
        <f t="shared" si="10"/>
        <v>467558</v>
      </c>
      <c r="DY68" s="6">
        <f t="shared" si="11"/>
        <v>240674</v>
      </c>
      <c r="DZ68" s="6">
        <f t="shared" si="12"/>
        <v>0</v>
      </c>
      <c r="EB68" s="6">
        <f t="shared" si="13"/>
        <v>467558</v>
      </c>
      <c r="EC68" s="6"/>
      <c r="ED68" s="6"/>
      <c r="EF68" s="6"/>
      <c r="EG68" s="6"/>
    </row>
    <row r="69" spans="2:137" ht="14">
      <c r="B69" s="4">
        <v>34060</v>
      </c>
      <c r="C69" s="5">
        <v>0</v>
      </c>
      <c r="D69" s="5">
        <v>0</v>
      </c>
      <c r="E69" s="5">
        <v>0</v>
      </c>
      <c r="F69" s="5" t="s">
        <v>82</v>
      </c>
      <c r="G69" s="5" t="s">
        <v>82</v>
      </c>
      <c r="H69" s="5">
        <v>0</v>
      </c>
      <c r="I69" s="5">
        <v>0</v>
      </c>
      <c r="J69" s="5">
        <v>0</v>
      </c>
      <c r="K69" s="5">
        <v>0</v>
      </c>
      <c r="L69" s="5"/>
      <c r="M69" s="5">
        <v>34701</v>
      </c>
      <c r="N69" s="5">
        <v>3153</v>
      </c>
      <c r="O69" s="5"/>
      <c r="P69" s="5">
        <v>7459</v>
      </c>
      <c r="Q69" s="5">
        <v>1244</v>
      </c>
      <c r="R69" s="5">
        <v>1378</v>
      </c>
      <c r="S69" s="5">
        <v>2565</v>
      </c>
      <c r="T69" s="5">
        <v>10981</v>
      </c>
      <c r="U69" s="5"/>
      <c r="V69" s="5"/>
      <c r="W69" s="5">
        <v>9140</v>
      </c>
      <c r="X69" s="5">
        <v>0</v>
      </c>
      <c r="Y69" s="5">
        <v>910</v>
      </c>
      <c r="Z69" s="5">
        <v>35</v>
      </c>
      <c r="AA69" s="155"/>
      <c r="AB69" s="5">
        <v>27</v>
      </c>
      <c r="AC69" s="5">
        <v>0</v>
      </c>
      <c r="AD69" s="5">
        <v>6</v>
      </c>
      <c r="AE69" s="5">
        <v>21</v>
      </c>
      <c r="AF69" s="5">
        <v>7</v>
      </c>
      <c r="AG69" s="5">
        <v>47</v>
      </c>
      <c r="AH69" s="5"/>
      <c r="AI69" s="5"/>
      <c r="AJ69" s="5">
        <v>40</v>
      </c>
      <c r="AK69" s="5">
        <v>0</v>
      </c>
      <c r="AL69" s="5">
        <v>60288</v>
      </c>
      <c r="AM69" s="5">
        <v>3228</v>
      </c>
      <c r="AN69" s="5">
        <v>135</v>
      </c>
      <c r="AO69" s="5">
        <v>0</v>
      </c>
      <c r="AP69" s="5">
        <v>15</v>
      </c>
      <c r="AQ69" s="5">
        <v>0</v>
      </c>
      <c r="AR69" s="5">
        <v>0</v>
      </c>
      <c r="AS69" s="5">
        <v>1804</v>
      </c>
      <c r="AT69" s="5" t="s">
        <v>82</v>
      </c>
      <c r="AU69" s="5">
        <v>717</v>
      </c>
      <c r="AV69" s="5">
        <v>1060</v>
      </c>
      <c r="AW69" s="5">
        <v>1594</v>
      </c>
      <c r="AX69" s="5">
        <v>4951</v>
      </c>
      <c r="AY69" s="155"/>
      <c r="AZ69" s="155"/>
      <c r="BA69" s="155">
        <v>0</v>
      </c>
      <c r="BB69" s="155"/>
      <c r="BC69" s="5">
        <v>1482</v>
      </c>
      <c r="BD69" s="5"/>
      <c r="BE69" s="5">
        <v>59275</v>
      </c>
      <c r="BF69" s="5">
        <v>128408</v>
      </c>
      <c r="BG69" s="5">
        <v>236</v>
      </c>
      <c r="BH69" s="5">
        <v>1353</v>
      </c>
      <c r="BI69" s="5">
        <v>1571</v>
      </c>
      <c r="BJ69" s="5">
        <v>3239</v>
      </c>
      <c r="BK69" s="5">
        <v>221</v>
      </c>
      <c r="BL69" s="5">
        <v>2819</v>
      </c>
      <c r="BM69" s="5"/>
      <c r="BN69" s="5">
        <v>524</v>
      </c>
      <c r="BO69" s="5">
        <v>144</v>
      </c>
      <c r="BP69" s="5">
        <v>0</v>
      </c>
      <c r="BQ69" s="5">
        <v>7081</v>
      </c>
      <c r="BR69" s="5">
        <v>13464</v>
      </c>
      <c r="BS69" s="5">
        <v>33</v>
      </c>
      <c r="BT69" s="5">
        <v>786</v>
      </c>
      <c r="BU69" s="5">
        <v>857</v>
      </c>
      <c r="BV69" s="5"/>
      <c r="BW69" s="5">
        <v>11</v>
      </c>
      <c r="BX69" s="5">
        <v>284</v>
      </c>
      <c r="BY69" s="5"/>
      <c r="BZ69" s="5">
        <v>4479</v>
      </c>
      <c r="CA69" s="5">
        <v>15</v>
      </c>
      <c r="CB69" s="5">
        <v>0</v>
      </c>
      <c r="CC69" s="5">
        <v>13303</v>
      </c>
      <c r="CD69" s="5">
        <v>52103</v>
      </c>
      <c r="CE69" s="5">
        <v>25207</v>
      </c>
      <c r="CF69" s="5">
        <v>11614</v>
      </c>
      <c r="CG69" s="5">
        <v>0</v>
      </c>
      <c r="CH69" s="5">
        <v>0</v>
      </c>
      <c r="CI69" s="5">
        <v>27</v>
      </c>
      <c r="CJ69" s="5">
        <v>379</v>
      </c>
      <c r="CK69" s="5">
        <v>206</v>
      </c>
      <c r="CL69" s="5"/>
      <c r="CM69" s="5"/>
      <c r="CN69" s="5"/>
      <c r="CO69" s="5"/>
      <c r="CP69" s="5"/>
      <c r="CQ69" s="5"/>
      <c r="CR69" s="5"/>
      <c r="CS69" s="5"/>
      <c r="CT69" s="5" t="s">
        <v>82</v>
      </c>
      <c r="CU69" s="5" t="s">
        <v>82</v>
      </c>
      <c r="CV69" s="5" t="s">
        <v>82</v>
      </c>
      <c r="CW69" s="5">
        <v>0</v>
      </c>
      <c r="CX69" s="5">
        <v>0</v>
      </c>
      <c r="CY69" s="5">
        <v>0</v>
      </c>
      <c r="DA69" s="6"/>
      <c r="DD69" s="6">
        <f t="shared" si="1"/>
        <v>327639</v>
      </c>
      <c r="DE69" s="6">
        <f t="shared" si="2"/>
        <v>146988</v>
      </c>
      <c r="DF69" s="16">
        <f t="shared" si="3"/>
        <v>474627</v>
      </c>
      <c r="DK69" s="6">
        <f t="shared" si="4"/>
        <v>59640</v>
      </c>
      <c r="DL69" s="6">
        <f t="shared" si="5"/>
        <v>71219</v>
      </c>
      <c r="DM69" s="6">
        <f t="shared" si="17"/>
        <v>10981</v>
      </c>
      <c r="DN69" s="6">
        <f t="shared" si="18"/>
        <v>5148</v>
      </c>
      <c r="DO69" s="6">
        <f t="shared" si="6"/>
        <v>238712</v>
      </c>
      <c r="DP69" s="6">
        <f t="shared" si="16"/>
        <v>69019</v>
      </c>
      <c r="DQ69" s="6"/>
      <c r="DR69" s="6">
        <f t="shared" si="7"/>
        <v>13330</v>
      </c>
      <c r="DS69" s="6">
        <f t="shared" si="8"/>
        <v>0</v>
      </c>
      <c r="DT69" s="6">
        <f t="shared" si="9"/>
        <v>6578</v>
      </c>
      <c r="DU69" s="6"/>
      <c r="DV69" s="6"/>
      <c r="DW69" s="6">
        <f t="shared" si="10"/>
        <v>474627</v>
      </c>
      <c r="DY69" s="6">
        <f t="shared" si="11"/>
        <v>245290</v>
      </c>
      <c r="DZ69" s="6">
        <f t="shared" si="12"/>
        <v>0</v>
      </c>
      <c r="EB69" s="6">
        <f t="shared" si="13"/>
        <v>474627</v>
      </c>
      <c r="EC69" s="6"/>
      <c r="ED69" s="6"/>
      <c r="EF69" s="6"/>
      <c r="EG69" s="6"/>
    </row>
    <row r="70" spans="2:137" ht="14">
      <c r="B70" s="4">
        <v>34090</v>
      </c>
      <c r="C70" s="5">
        <v>0</v>
      </c>
      <c r="D70" s="5">
        <v>0</v>
      </c>
      <c r="E70" s="5">
        <v>0</v>
      </c>
      <c r="F70" s="5" t="s">
        <v>82</v>
      </c>
      <c r="G70" s="5" t="s">
        <v>82</v>
      </c>
      <c r="H70" s="5">
        <v>0</v>
      </c>
      <c r="I70" s="5">
        <v>0</v>
      </c>
      <c r="J70" s="5">
        <v>0</v>
      </c>
      <c r="K70" s="5">
        <v>0</v>
      </c>
      <c r="L70" s="5"/>
      <c r="M70" s="5">
        <v>34733</v>
      </c>
      <c r="N70" s="5">
        <v>3164</v>
      </c>
      <c r="O70" s="5"/>
      <c r="P70" s="5">
        <v>7501</v>
      </c>
      <c r="Q70" s="5">
        <v>1221</v>
      </c>
      <c r="R70" s="5">
        <v>1389</v>
      </c>
      <c r="S70" s="5">
        <v>2525</v>
      </c>
      <c r="T70" s="5">
        <v>11102</v>
      </c>
      <c r="U70" s="5"/>
      <c r="V70" s="5"/>
      <c r="W70" s="5">
        <v>9175</v>
      </c>
      <c r="X70" s="5">
        <v>0</v>
      </c>
      <c r="Y70" s="5">
        <v>910</v>
      </c>
      <c r="Z70" s="5">
        <v>33</v>
      </c>
      <c r="AA70" s="155"/>
      <c r="AB70" s="5">
        <v>27</v>
      </c>
      <c r="AC70" s="5">
        <v>0</v>
      </c>
      <c r="AD70" s="5">
        <v>4</v>
      </c>
      <c r="AE70" s="5">
        <v>22</v>
      </c>
      <c r="AF70" s="5">
        <v>8</v>
      </c>
      <c r="AG70" s="5">
        <v>44</v>
      </c>
      <c r="AH70" s="5"/>
      <c r="AI70" s="5"/>
      <c r="AJ70" s="5">
        <v>40</v>
      </c>
      <c r="AK70" s="5">
        <v>0</v>
      </c>
      <c r="AL70" s="5">
        <v>60837</v>
      </c>
      <c r="AM70" s="5">
        <v>3251</v>
      </c>
      <c r="AN70" s="5">
        <v>184</v>
      </c>
      <c r="AO70" s="5">
        <v>0</v>
      </c>
      <c r="AP70" s="5">
        <v>14</v>
      </c>
      <c r="AQ70" s="5">
        <v>0</v>
      </c>
      <c r="AR70" s="5">
        <v>0</v>
      </c>
      <c r="AS70" s="5">
        <v>1890</v>
      </c>
      <c r="AT70" s="5" t="s">
        <v>82</v>
      </c>
      <c r="AU70" s="5">
        <v>729</v>
      </c>
      <c r="AV70" s="5">
        <v>1058</v>
      </c>
      <c r="AW70" s="5">
        <v>1583</v>
      </c>
      <c r="AX70" s="5">
        <v>5060</v>
      </c>
      <c r="AY70" s="155"/>
      <c r="AZ70" s="155"/>
      <c r="BA70" s="155">
        <v>0</v>
      </c>
      <c r="BB70" s="155"/>
      <c r="BC70" s="5">
        <v>1485</v>
      </c>
      <c r="BD70" s="5"/>
      <c r="BE70" s="5">
        <v>59216</v>
      </c>
      <c r="BF70" s="5">
        <v>128378</v>
      </c>
      <c r="BG70" s="5">
        <v>235</v>
      </c>
      <c r="BH70" s="5">
        <v>1382</v>
      </c>
      <c r="BI70" s="5">
        <v>1622</v>
      </c>
      <c r="BJ70" s="5">
        <v>3299</v>
      </c>
      <c r="BK70" s="5">
        <v>226</v>
      </c>
      <c r="BL70" s="5">
        <v>2838</v>
      </c>
      <c r="BM70" s="5"/>
      <c r="BN70" s="5">
        <v>613</v>
      </c>
      <c r="BO70" s="5">
        <v>145</v>
      </c>
      <c r="BP70" s="5">
        <v>0</v>
      </c>
      <c r="BQ70" s="5">
        <v>7197</v>
      </c>
      <c r="BR70" s="5">
        <v>13574</v>
      </c>
      <c r="BS70" s="5">
        <v>32</v>
      </c>
      <c r="BT70" s="5">
        <v>802</v>
      </c>
      <c r="BU70" s="5">
        <v>864</v>
      </c>
      <c r="BV70" s="5"/>
      <c r="BW70" s="5">
        <v>13</v>
      </c>
      <c r="BX70" s="5">
        <v>276</v>
      </c>
      <c r="BY70" s="5"/>
      <c r="BZ70" s="5">
        <v>4511</v>
      </c>
      <c r="CA70" s="5">
        <v>18</v>
      </c>
      <c r="CB70" s="5">
        <v>0</v>
      </c>
      <c r="CC70" s="5">
        <v>13495</v>
      </c>
      <c r="CD70" s="5">
        <v>52918</v>
      </c>
      <c r="CE70" s="5">
        <v>26465</v>
      </c>
      <c r="CF70" s="5">
        <v>11926</v>
      </c>
      <c r="CG70" s="5">
        <v>0</v>
      </c>
      <c r="CH70" s="5">
        <v>0</v>
      </c>
      <c r="CI70" s="5">
        <v>31</v>
      </c>
      <c r="CJ70" s="5">
        <v>354</v>
      </c>
      <c r="CK70" s="5">
        <v>208</v>
      </c>
      <c r="CL70" s="5"/>
      <c r="CM70" s="5"/>
      <c r="CN70" s="5"/>
      <c r="CO70" s="5"/>
      <c r="CP70" s="5"/>
      <c r="CQ70" s="5"/>
      <c r="CR70" s="5"/>
      <c r="CS70" s="5"/>
      <c r="CT70" s="5" t="s">
        <v>82</v>
      </c>
      <c r="CU70" s="5" t="s">
        <v>82</v>
      </c>
      <c r="CV70" s="5" t="s">
        <v>82</v>
      </c>
      <c r="CW70" s="5">
        <v>0</v>
      </c>
      <c r="CX70" s="5">
        <v>0</v>
      </c>
      <c r="CY70" s="5">
        <v>0</v>
      </c>
      <c r="DA70" s="6"/>
      <c r="DD70" s="6">
        <f t="shared" si="1"/>
        <v>330638</v>
      </c>
      <c r="DE70" s="6">
        <f t="shared" si="2"/>
        <v>147989</v>
      </c>
      <c r="DF70" s="16">
        <f t="shared" si="3"/>
        <v>478627</v>
      </c>
      <c r="DK70" s="6">
        <f t="shared" si="4"/>
        <v>59708</v>
      </c>
      <c r="DL70" s="6">
        <f t="shared" si="5"/>
        <v>71877</v>
      </c>
      <c r="DM70" s="6">
        <f t="shared" si="17"/>
        <v>11102</v>
      </c>
      <c r="DN70" s="6">
        <f t="shared" si="18"/>
        <v>5302</v>
      </c>
      <c r="DO70" s="6">
        <f t="shared" si="6"/>
        <v>241254</v>
      </c>
      <c r="DP70" s="6">
        <f t="shared" si="16"/>
        <v>69210</v>
      </c>
      <c r="DQ70" s="6"/>
      <c r="DR70" s="6">
        <f t="shared" si="7"/>
        <v>13526</v>
      </c>
      <c r="DS70" s="6">
        <f t="shared" si="8"/>
        <v>0</v>
      </c>
      <c r="DT70" s="6">
        <f t="shared" si="9"/>
        <v>6648</v>
      </c>
      <c r="DU70" s="6"/>
      <c r="DV70" s="6"/>
      <c r="DW70" s="6">
        <f t="shared" si="10"/>
        <v>478627</v>
      </c>
      <c r="DY70" s="6">
        <f t="shared" si="11"/>
        <v>247902</v>
      </c>
      <c r="DZ70" s="6">
        <f t="shared" si="12"/>
        <v>0</v>
      </c>
      <c r="EB70" s="6">
        <f t="shared" si="13"/>
        <v>478627</v>
      </c>
      <c r="EC70" s="6"/>
      <c r="ED70" s="6"/>
      <c r="EF70" s="6"/>
      <c r="EG70" s="6"/>
    </row>
    <row r="71" spans="2:137" ht="14">
      <c r="B71" s="4">
        <v>34121</v>
      </c>
      <c r="C71" s="5">
        <v>0</v>
      </c>
      <c r="D71" s="5">
        <v>0</v>
      </c>
      <c r="E71" s="5">
        <v>0</v>
      </c>
      <c r="F71" s="5" t="s">
        <v>82</v>
      </c>
      <c r="G71" s="5" t="s">
        <v>82</v>
      </c>
      <c r="H71" s="5">
        <v>0</v>
      </c>
      <c r="I71" s="5">
        <v>0</v>
      </c>
      <c r="J71" s="5">
        <v>0</v>
      </c>
      <c r="K71" s="5">
        <v>0</v>
      </c>
      <c r="L71" s="5"/>
      <c r="M71" s="5">
        <v>34736</v>
      </c>
      <c r="N71" s="5">
        <v>3167</v>
      </c>
      <c r="O71" s="5"/>
      <c r="P71" s="5">
        <v>7549</v>
      </c>
      <c r="Q71" s="5">
        <v>1245</v>
      </c>
      <c r="R71" s="5">
        <v>1385</v>
      </c>
      <c r="S71" s="5">
        <v>2531</v>
      </c>
      <c r="T71" s="5">
        <v>11265</v>
      </c>
      <c r="U71" s="5"/>
      <c r="V71" s="5"/>
      <c r="W71" s="5">
        <v>9195</v>
      </c>
      <c r="X71" s="5">
        <v>0</v>
      </c>
      <c r="Y71" s="5">
        <v>906</v>
      </c>
      <c r="Z71" s="5">
        <v>34</v>
      </c>
      <c r="AA71" s="155"/>
      <c r="AB71" s="5">
        <v>27</v>
      </c>
      <c r="AC71" s="5">
        <v>0</v>
      </c>
      <c r="AD71" s="5">
        <v>4</v>
      </c>
      <c r="AE71" s="5">
        <v>25</v>
      </c>
      <c r="AF71" s="5">
        <v>8</v>
      </c>
      <c r="AG71" s="5">
        <v>43</v>
      </c>
      <c r="AH71" s="5"/>
      <c r="AI71" s="5"/>
      <c r="AJ71" s="5">
        <v>37</v>
      </c>
      <c r="AK71" s="5">
        <v>0</v>
      </c>
      <c r="AL71" s="5">
        <v>61335</v>
      </c>
      <c r="AM71" s="5">
        <v>3269</v>
      </c>
      <c r="AN71" s="5">
        <v>201</v>
      </c>
      <c r="AO71" s="5">
        <v>0</v>
      </c>
      <c r="AP71" s="5">
        <v>14</v>
      </c>
      <c r="AQ71" s="5">
        <v>0</v>
      </c>
      <c r="AR71" s="5">
        <v>0</v>
      </c>
      <c r="AS71" s="5">
        <v>1921</v>
      </c>
      <c r="AT71" s="5" t="s">
        <v>82</v>
      </c>
      <c r="AU71" s="5">
        <v>726</v>
      </c>
      <c r="AV71" s="5">
        <v>1060</v>
      </c>
      <c r="AW71" s="5">
        <v>1585</v>
      </c>
      <c r="AX71" s="5">
        <v>5153</v>
      </c>
      <c r="AY71" s="155"/>
      <c r="AZ71" s="155"/>
      <c r="BA71" s="155">
        <v>0</v>
      </c>
      <c r="BB71" s="155"/>
      <c r="BC71" s="5">
        <v>1492</v>
      </c>
      <c r="BD71" s="5"/>
      <c r="BE71" s="5">
        <v>58657</v>
      </c>
      <c r="BF71" s="5">
        <v>127560</v>
      </c>
      <c r="BG71" s="5">
        <v>237</v>
      </c>
      <c r="BH71" s="5">
        <v>1235</v>
      </c>
      <c r="BI71" s="5">
        <v>1465</v>
      </c>
      <c r="BJ71" s="5">
        <v>3306</v>
      </c>
      <c r="BK71" s="5">
        <v>223</v>
      </c>
      <c r="BL71" s="5">
        <v>2816</v>
      </c>
      <c r="BM71" s="5"/>
      <c r="BN71" s="5">
        <v>674</v>
      </c>
      <c r="BO71" s="5">
        <v>140</v>
      </c>
      <c r="BP71" s="5">
        <v>0</v>
      </c>
      <c r="BQ71" s="5">
        <v>7357</v>
      </c>
      <c r="BR71" s="5">
        <v>13849</v>
      </c>
      <c r="BS71" s="5">
        <v>32</v>
      </c>
      <c r="BT71" s="5">
        <v>843</v>
      </c>
      <c r="BU71" s="5">
        <v>928</v>
      </c>
      <c r="BV71" s="5"/>
      <c r="BW71" s="5">
        <v>16</v>
      </c>
      <c r="BX71" s="5">
        <v>283</v>
      </c>
      <c r="BY71" s="5"/>
      <c r="BZ71" s="5">
        <v>4457</v>
      </c>
      <c r="CA71" s="5">
        <v>18</v>
      </c>
      <c r="CB71" s="5">
        <v>0</v>
      </c>
      <c r="CC71" s="5">
        <v>13219</v>
      </c>
      <c r="CD71" s="5">
        <v>53361</v>
      </c>
      <c r="CE71" s="5">
        <v>27422</v>
      </c>
      <c r="CF71" s="5">
        <v>12065</v>
      </c>
      <c r="CG71" s="5">
        <v>0</v>
      </c>
      <c r="CH71" s="5">
        <v>0</v>
      </c>
      <c r="CI71" s="5">
        <v>34</v>
      </c>
      <c r="CJ71" s="5">
        <v>349</v>
      </c>
      <c r="CK71" s="5">
        <v>208</v>
      </c>
      <c r="CL71" s="5"/>
      <c r="CM71" s="5"/>
      <c r="CN71" s="5"/>
      <c r="CO71" s="5"/>
      <c r="CP71" s="5"/>
      <c r="CQ71" s="5"/>
      <c r="CR71" s="5"/>
      <c r="CS71" s="5"/>
      <c r="CT71" s="5" t="s">
        <v>82</v>
      </c>
      <c r="CU71" s="5" t="s">
        <v>82</v>
      </c>
      <c r="CV71" s="5" t="s">
        <v>82</v>
      </c>
      <c r="CW71" s="5">
        <v>0</v>
      </c>
      <c r="CX71" s="5">
        <v>0</v>
      </c>
      <c r="CY71" s="5">
        <v>0</v>
      </c>
      <c r="DA71" s="6"/>
      <c r="DD71" s="6">
        <f t="shared" si="1"/>
        <v>330754</v>
      </c>
      <c r="DE71" s="6">
        <f t="shared" si="2"/>
        <v>148913</v>
      </c>
      <c r="DF71" s="16">
        <f t="shared" si="3"/>
        <v>479667</v>
      </c>
      <c r="DK71" s="6">
        <f t="shared" si="4"/>
        <v>59808</v>
      </c>
      <c r="DL71" s="6">
        <f t="shared" si="5"/>
        <v>72429</v>
      </c>
      <c r="DM71" s="6">
        <f t="shared" si="17"/>
        <v>11265</v>
      </c>
      <c r="DN71" s="6">
        <f t="shared" si="18"/>
        <v>5411</v>
      </c>
      <c r="DO71" s="6">
        <f t="shared" si="6"/>
        <v>242093</v>
      </c>
      <c r="DP71" s="6">
        <f t="shared" si="16"/>
        <v>68766</v>
      </c>
      <c r="DQ71" s="6"/>
      <c r="DR71" s="6">
        <f t="shared" si="7"/>
        <v>13253</v>
      </c>
      <c r="DS71" s="6">
        <f t="shared" si="8"/>
        <v>0</v>
      </c>
      <c r="DT71" s="6">
        <f t="shared" si="9"/>
        <v>6642</v>
      </c>
      <c r="DU71" s="6"/>
      <c r="DV71" s="6"/>
      <c r="DW71" s="6">
        <f t="shared" si="10"/>
        <v>479667</v>
      </c>
      <c r="DY71" s="6">
        <f t="shared" si="11"/>
        <v>248735</v>
      </c>
      <c r="DZ71" s="6">
        <f t="shared" si="12"/>
        <v>0</v>
      </c>
      <c r="EB71" s="6">
        <f t="shared" si="13"/>
        <v>479667</v>
      </c>
      <c r="EC71" s="6"/>
      <c r="ED71" s="6"/>
      <c r="EF71" s="6"/>
      <c r="EG71" s="6"/>
    </row>
    <row r="72" spans="2:137" ht="14">
      <c r="B72" s="4">
        <v>34151</v>
      </c>
      <c r="C72" s="5">
        <v>0</v>
      </c>
      <c r="D72" s="5">
        <v>0</v>
      </c>
      <c r="E72" s="5">
        <v>0</v>
      </c>
      <c r="F72" s="5" t="s">
        <v>82</v>
      </c>
      <c r="G72" s="5" t="s">
        <v>82</v>
      </c>
      <c r="H72" s="5">
        <v>0</v>
      </c>
      <c r="I72" s="5">
        <v>0</v>
      </c>
      <c r="J72" s="5">
        <v>0</v>
      </c>
      <c r="K72" s="5">
        <v>0</v>
      </c>
      <c r="L72" s="5"/>
      <c r="M72" s="5">
        <v>34807</v>
      </c>
      <c r="N72" s="5">
        <v>3192</v>
      </c>
      <c r="O72" s="5"/>
      <c r="P72" s="5">
        <v>7602</v>
      </c>
      <c r="Q72" s="5">
        <v>1246</v>
      </c>
      <c r="R72" s="5">
        <v>1387</v>
      </c>
      <c r="S72" s="5">
        <v>2588</v>
      </c>
      <c r="T72" s="5">
        <v>11390</v>
      </c>
      <c r="U72" s="5"/>
      <c r="V72" s="5"/>
      <c r="W72" s="5">
        <v>9195</v>
      </c>
      <c r="X72" s="5">
        <v>0</v>
      </c>
      <c r="Y72" s="5">
        <v>904</v>
      </c>
      <c r="Z72" s="5">
        <v>33</v>
      </c>
      <c r="AA72" s="155"/>
      <c r="AB72" s="5">
        <v>27</v>
      </c>
      <c r="AC72" s="5">
        <v>0</v>
      </c>
      <c r="AD72" s="5">
        <v>3</v>
      </c>
      <c r="AE72" s="5">
        <v>26</v>
      </c>
      <c r="AF72" s="5">
        <v>8</v>
      </c>
      <c r="AG72" s="5">
        <v>43</v>
      </c>
      <c r="AH72" s="5"/>
      <c r="AI72" s="5"/>
      <c r="AJ72" s="5">
        <v>38</v>
      </c>
      <c r="AK72" s="5">
        <v>0</v>
      </c>
      <c r="AL72" s="5">
        <v>62107</v>
      </c>
      <c r="AM72" s="5">
        <v>3286</v>
      </c>
      <c r="AN72" s="5">
        <v>365</v>
      </c>
      <c r="AO72" s="5">
        <v>0</v>
      </c>
      <c r="AP72" s="5">
        <v>11</v>
      </c>
      <c r="AQ72" s="5">
        <v>0</v>
      </c>
      <c r="AR72" s="5">
        <v>0</v>
      </c>
      <c r="AS72" s="5">
        <v>1942</v>
      </c>
      <c r="AT72" s="5" t="s">
        <v>82</v>
      </c>
      <c r="AU72" s="5">
        <v>727</v>
      </c>
      <c r="AV72" s="5">
        <v>1076</v>
      </c>
      <c r="AW72" s="5">
        <v>1593</v>
      </c>
      <c r="AX72" s="5">
        <v>5265</v>
      </c>
      <c r="AY72" s="155"/>
      <c r="AZ72" s="155"/>
      <c r="BA72" s="155">
        <v>0</v>
      </c>
      <c r="BB72" s="155"/>
      <c r="BC72" s="5">
        <v>1465</v>
      </c>
      <c r="BD72" s="5"/>
      <c r="BE72" s="5">
        <v>58788</v>
      </c>
      <c r="BF72" s="5">
        <v>127685</v>
      </c>
      <c r="BG72" s="5">
        <v>239</v>
      </c>
      <c r="BH72" s="5">
        <v>1168</v>
      </c>
      <c r="BI72" s="5">
        <v>1373</v>
      </c>
      <c r="BJ72" s="5">
        <v>3350</v>
      </c>
      <c r="BK72" s="5">
        <v>230</v>
      </c>
      <c r="BL72" s="5">
        <v>2854</v>
      </c>
      <c r="BM72" s="5"/>
      <c r="BN72" s="5">
        <v>656</v>
      </c>
      <c r="BO72" s="5">
        <v>134</v>
      </c>
      <c r="BP72" s="5">
        <v>0</v>
      </c>
      <c r="BQ72" s="5">
        <v>7566</v>
      </c>
      <c r="BR72" s="5">
        <v>14175</v>
      </c>
      <c r="BS72" s="5">
        <v>32</v>
      </c>
      <c r="BT72" s="5">
        <v>854</v>
      </c>
      <c r="BU72" s="5">
        <v>960</v>
      </c>
      <c r="BV72" s="5"/>
      <c r="BW72" s="5">
        <v>10</v>
      </c>
      <c r="BX72" s="5">
        <v>293</v>
      </c>
      <c r="BY72" s="5"/>
      <c r="BZ72" s="5">
        <v>4214</v>
      </c>
      <c r="CA72" s="5">
        <v>20</v>
      </c>
      <c r="CB72" s="5">
        <v>0</v>
      </c>
      <c r="CC72" s="5">
        <v>13505</v>
      </c>
      <c r="CD72" s="5">
        <v>53970</v>
      </c>
      <c r="CE72" s="5">
        <v>28448</v>
      </c>
      <c r="CF72" s="5">
        <v>12413</v>
      </c>
      <c r="CG72" s="5">
        <v>0</v>
      </c>
      <c r="CH72" s="5">
        <v>0</v>
      </c>
      <c r="CI72" s="5">
        <v>31</v>
      </c>
      <c r="CJ72" s="5">
        <v>337</v>
      </c>
      <c r="CK72" s="5">
        <v>195</v>
      </c>
      <c r="CL72" s="5"/>
      <c r="CM72" s="5"/>
      <c r="CN72" s="5"/>
      <c r="CO72" s="5"/>
      <c r="CP72" s="5"/>
      <c r="CQ72" s="5"/>
      <c r="CR72" s="5"/>
      <c r="CS72" s="5"/>
      <c r="CT72" s="5" t="s">
        <v>82</v>
      </c>
      <c r="CU72" s="5" t="s">
        <v>82</v>
      </c>
      <c r="CV72" s="5" t="s">
        <v>82</v>
      </c>
      <c r="CW72" s="5">
        <v>0</v>
      </c>
      <c r="CX72" s="5">
        <v>0</v>
      </c>
      <c r="CY72" s="5">
        <v>0</v>
      </c>
      <c r="DA72" s="6"/>
      <c r="DD72" s="6">
        <f t="shared" si="1"/>
        <v>333500</v>
      </c>
      <c r="DE72" s="6">
        <f t="shared" si="2"/>
        <v>150326</v>
      </c>
      <c r="DF72" s="16">
        <f t="shared" si="3"/>
        <v>483826</v>
      </c>
      <c r="DK72" s="6">
        <f t="shared" si="4"/>
        <v>60017</v>
      </c>
      <c r="DL72" s="6">
        <f t="shared" si="5"/>
        <v>73235</v>
      </c>
      <c r="DM72" s="6">
        <f t="shared" si="17"/>
        <v>11390</v>
      </c>
      <c r="DN72" s="6">
        <f t="shared" si="18"/>
        <v>5684</v>
      </c>
      <c r="DO72" s="6">
        <f t="shared" si="6"/>
        <v>244196</v>
      </c>
      <c r="DP72" s="6">
        <f t="shared" si="16"/>
        <v>69032</v>
      </c>
      <c r="DQ72" s="6"/>
      <c r="DR72" s="6">
        <f t="shared" si="7"/>
        <v>13536</v>
      </c>
      <c r="DS72" s="6">
        <f t="shared" si="8"/>
        <v>0</v>
      </c>
      <c r="DT72" s="6">
        <f t="shared" si="9"/>
        <v>6736</v>
      </c>
      <c r="DU72" s="6"/>
      <c r="DV72" s="6"/>
      <c r="DW72" s="6">
        <f t="shared" si="10"/>
        <v>483826</v>
      </c>
      <c r="DY72" s="6">
        <f t="shared" si="11"/>
        <v>250932</v>
      </c>
      <c r="DZ72" s="6">
        <f t="shared" si="12"/>
        <v>0</v>
      </c>
      <c r="EB72" s="6">
        <f t="shared" si="13"/>
        <v>483826</v>
      </c>
      <c r="EC72" s="6"/>
      <c r="ED72" s="6"/>
      <c r="EF72" s="6"/>
      <c r="EG72" s="6"/>
    </row>
    <row r="73" spans="2:137" ht="14">
      <c r="B73" s="4">
        <v>34182</v>
      </c>
      <c r="C73" s="5">
        <v>0</v>
      </c>
      <c r="D73" s="5">
        <v>0</v>
      </c>
      <c r="E73" s="5">
        <v>0</v>
      </c>
      <c r="F73" s="5" t="s">
        <v>82</v>
      </c>
      <c r="G73" s="5" t="s">
        <v>82</v>
      </c>
      <c r="H73" s="5">
        <v>0</v>
      </c>
      <c r="I73" s="5">
        <v>0</v>
      </c>
      <c r="J73" s="5">
        <v>0</v>
      </c>
      <c r="K73" s="5">
        <v>0</v>
      </c>
      <c r="L73" s="5"/>
      <c r="M73" s="5">
        <v>34843</v>
      </c>
      <c r="N73" s="5">
        <v>3230</v>
      </c>
      <c r="O73" s="5"/>
      <c r="P73" s="5">
        <v>7651</v>
      </c>
      <c r="Q73" s="5">
        <v>1250</v>
      </c>
      <c r="R73" s="5">
        <v>1401</v>
      </c>
      <c r="S73" s="5">
        <v>2640</v>
      </c>
      <c r="T73" s="5">
        <v>11451</v>
      </c>
      <c r="U73" s="5"/>
      <c r="V73" s="5"/>
      <c r="W73" s="5">
        <v>9161</v>
      </c>
      <c r="X73" s="5">
        <v>0</v>
      </c>
      <c r="Y73" s="5">
        <v>901</v>
      </c>
      <c r="Z73" s="5">
        <v>35</v>
      </c>
      <c r="AA73" s="155"/>
      <c r="AB73" s="5">
        <v>27</v>
      </c>
      <c r="AC73" s="5">
        <v>0</v>
      </c>
      <c r="AD73" s="5">
        <v>4</v>
      </c>
      <c r="AE73" s="5">
        <v>25</v>
      </c>
      <c r="AF73" s="5">
        <v>7</v>
      </c>
      <c r="AG73" s="5">
        <v>43</v>
      </c>
      <c r="AH73" s="5"/>
      <c r="AI73" s="5"/>
      <c r="AJ73" s="5">
        <v>38</v>
      </c>
      <c r="AK73" s="5">
        <v>0</v>
      </c>
      <c r="AL73" s="5">
        <v>62826</v>
      </c>
      <c r="AM73" s="5">
        <v>3287</v>
      </c>
      <c r="AN73" s="5">
        <v>723</v>
      </c>
      <c r="AO73" s="5">
        <v>0</v>
      </c>
      <c r="AP73" s="5">
        <v>11</v>
      </c>
      <c r="AQ73" s="5">
        <v>0</v>
      </c>
      <c r="AR73" s="5">
        <v>0</v>
      </c>
      <c r="AS73" s="5">
        <v>1980</v>
      </c>
      <c r="AT73" s="5" t="s">
        <v>82</v>
      </c>
      <c r="AU73" s="5">
        <v>733</v>
      </c>
      <c r="AV73" s="5">
        <v>1077</v>
      </c>
      <c r="AW73" s="5">
        <v>1611</v>
      </c>
      <c r="AX73" s="5">
        <v>5366</v>
      </c>
      <c r="AY73" s="155"/>
      <c r="AZ73" s="155"/>
      <c r="BA73" s="155">
        <v>0</v>
      </c>
      <c r="BB73" s="155"/>
      <c r="BC73" s="5">
        <v>1482</v>
      </c>
      <c r="BD73" s="5"/>
      <c r="BE73" s="5">
        <v>59129</v>
      </c>
      <c r="BF73" s="5">
        <v>128377</v>
      </c>
      <c r="BG73" s="5">
        <v>233</v>
      </c>
      <c r="BH73" s="5">
        <v>1115</v>
      </c>
      <c r="BI73" s="5">
        <v>1289</v>
      </c>
      <c r="BJ73" s="5">
        <v>3419</v>
      </c>
      <c r="BK73" s="5">
        <v>227</v>
      </c>
      <c r="BL73" s="5">
        <v>2869</v>
      </c>
      <c r="BM73" s="5"/>
      <c r="BN73" s="5">
        <v>659</v>
      </c>
      <c r="BO73" s="5">
        <v>129</v>
      </c>
      <c r="BP73" s="5">
        <v>0</v>
      </c>
      <c r="BQ73" s="5">
        <v>7699</v>
      </c>
      <c r="BR73" s="5">
        <v>14107</v>
      </c>
      <c r="BS73" s="5">
        <v>31</v>
      </c>
      <c r="BT73" s="5">
        <v>840</v>
      </c>
      <c r="BU73" s="5">
        <v>971</v>
      </c>
      <c r="BV73" s="5"/>
      <c r="BW73" s="5">
        <v>11</v>
      </c>
      <c r="BX73" s="5">
        <v>298</v>
      </c>
      <c r="BY73" s="5"/>
      <c r="BZ73" s="5">
        <v>3892</v>
      </c>
      <c r="CA73" s="5">
        <v>15</v>
      </c>
      <c r="CB73" s="5">
        <v>0</v>
      </c>
      <c r="CC73" s="5">
        <v>13675</v>
      </c>
      <c r="CD73" s="5">
        <v>54418</v>
      </c>
      <c r="CE73" s="5">
        <v>31153</v>
      </c>
      <c r="CF73" s="5">
        <v>12701</v>
      </c>
      <c r="CG73" s="5">
        <v>0</v>
      </c>
      <c r="CH73" s="5">
        <v>0</v>
      </c>
      <c r="CI73" s="5">
        <v>24</v>
      </c>
      <c r="CJ73" s="5">
        <v>317</v>
      </c>
      <c r="CK73" s="5">
        <v>204</v>
      </c>
      <c r="CL73" s="5"/>
      <c r="CM73" s="5"/>
      <c r="CN73" s="5"/>
      <c r="CO73" s="5"/>
      <c r="CP73" s="5"/>
      <c r="CQ73" s="5"/>
      <c r="CR73" s="5"/>
      <c r="CS73" s="5"/>
      <c r="CT73" s="5" t="s">
        <v>82</v>
      </c>
      <c r="CU73" s="5" t="s">
        <v>82</v>
      </c>
      <c r="CV73" s="5" t="s">
        <v>82</v>
      </c>
      <c r="CW73" s="5">
        <v>0</v>
      </c>
      <c r="CX73" s="5">
        <v>0</v>
      </c>
      <c r="CY73" s="5">
        <v>0</v>
      </c>
      <c r="DA73" s="6"/>
      <c r="DD73" s="6">
        <f t="shared" si="1"/>
        <v>337802</v>
      </c>
      <c r="DE73" s="6">
        <f t="shared" si="2"/>
        <v>151803</v>
      </c>
      <c r="DF73" s="16">
        <f t="shared" si="3"/>
        <v>489605</v>
      </c>
      <c r="DK73" s="6">
        <f t="shared" si="4"/>
        <v>60176</v>
      </c>
      <c r="DL73" s="6">
        <f t="shared" si="5"/>
        <v>74033</v>
      </c>
      <c r="DM73" s="6">
        <f t="shared" si="17"/>
        <v>11451</v>
      </c>
      <c r="DN73" s="6">
        <f t="shared" si="18"/>
        <v>6143</v>
      </c>
      <c r="DO73" s="6">
        <f t="shared" si="6"/>
        <v>247842</v>
      </c>
      <c r="DP73" s="6">
        <f t="shared" si="16"/>
        <v>69442</v>
      </c>
      <c r="DQ73" s="6"/>
      <c r="DR73" s="6">
        <f t="shared" si="7"/>
        <v>13699</v>
      </c>
      <c r="DS73" s="6">
        <f t="shared" si="8"/>
        <v>0</v>
      </c>
      <c r="DT73" s="6">
        <f t="shared" si="9"/>
        <v>6819</v>
      </c>
      <c r="DU73" s="6"/>
      <c r="DV73" s="6"/>
      <c r="DW73" s="6">
        <f t="shared" si="10"/>
        <v>489605</v>
      </c>
      <c r="DY73" s="6">
        <f t="shared" si="11"/>
        <v>254661</v>
      </c>
      <c r="DZ73" s="6">
        <f t="shared" si="12"/>
        <v>0</v>
      </c>
      <c r="EB73" s="6">
        <f t="shared" si="13"/>
        <v>489605</v>
      </c>
      <c r="EC73" s="6"/>
      <c r="ED73" s="6"/>
      <c r="EF73" s="6"/>
      <c r="EG73" s="6"/>
    </row>
    <row r="74" spans="2:137" ht="14">
      <c r="B74" s="4">
        <v>34213</v>
      </c>
      <c r="C74" s="5">
        <v>0</v>
      </c>
      <c r="D74" s="5">
        <v>0</v>
      </c>
      <c r="E74" s="5">
        <v>0</v>
      </c>
      <c r="F74" s="5" t="s">
        <v>82</v>
      </c>
      <c r="G74" s="5" t="s">
        <v>82</v>
      </c>
      <c r="H74" s="5">
        <v>0</v>
      </c>
      <c r="I74" s="5">
        <v>0</v>
      </c>
      <c r="J74" s="5">
        <v>0</v>
      </c>
      <c r="K74" s="5">
        <v>0</v>
      </c>
      <c r="L74" s="5"/>
      <c r="M74" s="5">
        <v>34805</v>
      </c>
      <c r="N74" s="5">
        <v>3239</v>
      </c>
      <c r="O74" s="5"/>
      <c r="P74" s="5">
        <v>7626</v>
      </c>
      <c r="Q74" s="5">
        <v>1269</v>
      </c>
      <c r="R74" s="5">
        <v>1401</v>
      </c>
      <c r="S74" s="5">
        <v>2691</v>
      </c>
      <c r="T74" s="5">
        <v>11473</v>
      </c>
      <c r="U74" s="5"/>
      <c r="V74" s="5"/>
      <c r="W74" s="5">
        <v>9095</v>
      </c>
      <c r="X74" s="5">
        <v>0</v>
      </c>
      <c r="Y74" s="5">
        <v>889</v>
      </c>
      <c r="Z74" s="5">
        <v>34</v>
      </c>
      <c r="AA74" s="155"/>
      <c r="AB74" s="5">
        <v>27</v>
      </c>
      <c r="AC74" s="5">
        <v>0</v>
      </c>
      <c r="AD74" s="5">
        <v>4</v>
      </c>
      <c r="AE74" s="5">
        <v>25</v>
      </c>
      <c r="AF74" s="5">
        <v>7</v>
      </c>
      <c r="AG74" s="5">
        <v>48</v>
      </c>
      <c r="AH74" s="5"/>
      <c r="AI74" s="5"/>
      <c r="AJ74" s="5">
        <v>38</v>
      </c>
      <c r="AK74" s="5">
        <v>0</v>
      </c>
      <c r="AL74" s="5">
        <v>62973</v>
      </c>
      <c r="AM74" s="5">
        <v>3314</v>
      </c>
      <c r="AN74" s="5">
        <v>1327</v>
      </c>
      <c r="AO74" s="5">
        <v>4</v>
      </c>
      <c r="AP74" s="5">
        <v>10</v>
      </c>
      <c r="AQ74" s="5">
        <v>0</v>
      </c>
      <c r="AR74" s="5">
        <v>0</v>
      </c>
      <c r="AS74" s="5">
        <v>1953</v>
      </c>
      <c r="AT74" s="5" t="s">
        <v>82</v>
      </c>
      <c r="AU74" s="5">
        <v>729</v>
      </c>
      <c r="AV74" s="5">
        <v>1073</v>
      </c>
      <c r="AW74" s="5">
        <v>1622</v>
      </c>
      <c r="AX74" s="5">
        <v>5415</v>
      </c>
      <c r="AY74" s="155"/>
      <c r="AZ74" s="155"/>
      <c r="BA74" s="155">
        <v>0</v>
      </c>
      <c r="BB74" s="155"/>
      <c r="BC74" s="5">
        <v>1462</v>
      </c>
      <c r="BD74" s="5"/>
      <c r="BE74" s="5">
        <v>58304</v>
      </c>
      <c r="BF74" s="5">
        <v>126967</v>
      </c>
      <c r="BG74" s="5">
        <v>230</v>
      </c>
      <c r="BH74" s="5">
        <v>1037</v>
      </c>
      <c r="BI74" s="5">
        <v>1196</v>
      </c>
      <c r="BJ74" s="5">
        <v>3431</v>
      </c>
      <c r="BK74" s="5">
        <v>224</v>
      </c>
      <c r="BL74" s="5">
        <v>2762</v>
      </c>
      <c r="BM74" s="5"/>
      <c r="BN74" s="5">
        <v>680</v>
      </c>
      <c r="BO74" s="5">
        <v>125</v>
      </c>
      <c r="BP74" s="5">
        <v>0</v>
      </c>
      <c r="BQ74" s="5">
        <v>7707</v>
      </c>
      <c r="BR74" s="5">
        <v>13959</v>
      </c>
      <c r="BS74" s="5">
        <v>31</v>
      </c>
      <c r="BT74" s="5">
        <v>827</v>
      </c>
      <c r="BU74" s="5">
        <v>952</v>
      </c>
      <c r="BV74" s="5"/>
      <c r="BW74" s="5">
        <v>9</v>
      </c>
      <c r="BX74" s="5">
        <v>300</v>
      </c>
      <c r="BY74" s="5"/>
      <c r="BZ74" s="5">
        <v>3498</v>
      </c>
      <c r="CA74" s="5">
        <v>9</v>
      </c>
      <c r="CB74" s="5">
        <v>0</v>
      </c>
      <c r="CC74" s="5">
        <v>13476</v>
      </c>
      <c r="CD74" s="5">
        <v>53924</v>
      </c>
      <c r="CE74" s="5">
        <v>33356</v>
      </c>
      <c r="CF74" s="5">
        <v>12817</v>
      </c>
      <c r="CG74" s="5">
        <v>0</v>
      </c>
      <c r="CH74" s="5">
        <v>0</v>
      </c>
      <c r="CI74" s="5">
        <v>26</v>
      </c>
      <c r="CJ74" s="5">
        <v>293</v>
      </c>
      <c r="CK74" s="5">
        <v>207</v>
      </c>
      <c r="CL74" s="5"/>
      <c r="CM74" s="5"/>
      <c r="CN74" s="5"/>
      <c r="CO74" s="5"/>
      <c r="CP74" s="5"/>
      <c r="CQ74" s="5"/>
      <c r="CR74" s="5"/>
      <c r="CS74" s="5"/>
      <c r="CT74" s="5" t="s">
        <v>82</v>
      </c>
      <c r="CU74" s="5" t="s">
        <v>82</v>
      </c>
      <c r="CV74" s="5" t="s">
        <v>82</v>
      </c>
      <c r="CW74" s="5">
        <v>0</v>
      </c>
      <c r="CX74" s="5">
        <v>0</v>
      </c>
      <c r="CY74" s="5">
        <v>0</v>
      </c>
      <c r="DA74" s="6"/>
      <c r="DD74" s="6">
        <f t="shared" si="1"/>
        <v>336347</v>
      </c>
      <c r="DE74" s="6">
        <f t="shared" si="2"/>
        <v>152553</v>
      </c>
      <c r="DF74" s="16">
        <f t="shared" si="3"/>
        <v>488900</v>
      </c>
      <c r="DK74" s="6">
        <f t="shared" si="4"/>
        <v>60126</v>
      </c>
      <c r="DL74" s="6">
        <f t="shared" si="5"/>
        <v>74154</v>
      </c>
      <c r="DM74" s="6">
        <f t="shared" si="17"/>
        <v>11473</v>
      </c>
      <c r="DN74" s="6">
        <f t="shared" si="18"/>
        <v>6800</v>
      </c>
      <c r="DO74" s="6">
        <f t="shared" si="6"/>
        <v>247567</v>
      </c>
      <c r="DP74" s="6">
        <f t="shared" si="16"/>
        <v>68555</v>
      </c>
      <c r="DQ74" s="6"/>
      <c r="DR74" s="6">
        <f t="shared" si="7"/>
        <v>13502</v>
      </c>
      <c r="DS74" s="6">
        <f t="shared" si="8"/>
        <v>0</v>
      </c>
      <c r="DT74" s="6">
        <f t="shared" si="9"/>
        <v>6723</v>
      </c>
      <c r="DU74" s="6"/>
      <c r="DV74" s="6"/>
      <c r="DW74" s="6">
        <f t="shared" si="10"/>
        <v>488900</v>
      </c>
      <c r="DY74" s="6">
        <f t="shared" si="11"/>
        <v>254290</v>
      </c>
      <c r="DZ74" s="6">
        <f t="shared" si="12"/>
        <v>0</v>
      </c>
      <c r="EB74" s="6">
        <f t="shared" si="13"/>
        <v>488900</v>
      </c>
      <c r="EC74" s="6"/>
      <c r="ED74" s="6"/>
      <c r="EF74" s="6"/>
      <c r="EG74" s="6"/>
    </row>
    <row r="75" spans="2:137" ht="14">
      <c r="B75" s="4">
        <v>34243</v>
      </c>
      <c r="C75" s="5">
        <v>0</v>
      </c>
      <c r="D75" s="5">
        <v>0</v>
      </c>
      <c r="E75" s="5">
        <v>0</v>
      </c>
      <c r="F75" s="5" t="s">
        <v>82</v>
      </c>
      <c r="G75" s="5" t="s">
        <v>82</v>
      </c>
      <c r="H75" s="5">
        <v>0</v>
      </c>
      <c r="I75" s="5">
        <v>0</v>
      </c>
      <c r="J75" s="5">
        <v>0</v>
      </c>
      <c r="K75" s="5">
        <v>0</v>
      </c>
      <c r="L75" s="5"/>
      <c r="M75" s="5">
        <v>34898</v>
      </c>
      <c r="N75" s="5">
        <v>3259</v>
      </c>
      <c r="O75" s="5"/>
      <c r="P75" s="5">
        <v>7695</v>
      </c>
      <c r="Q75" s="5">
        <v>1305</v>
      </c>
      <c r="R75" s="5">
        <v>1418</v>
      </c>
      <c r="S75" s="5">
        <v>2734</v>
      </c>
      <c r="T75" s="5">
        <v>11575</v>
      </c>
      <c r="U75" s="5"/>
      <c r="V75" s="5"/>
      <c r="W75" s="5">
        <v>9048</v>
      </c>
      <c r="X75" s="5">
        <v>0</v>
      </c>
      <c r="Y75" s="5">
        <v>879</v>
      </c>
      <c r="Z75" s="5">
        <v>35</v>
      </c>
      <c r="AA75" s="155"/>
      <c r="AB75" s="5">
        <v>25</v>
      </c>
      <c r="AC75" s="5">
        <v>0</v>
      </c>
      <c r="AD75" s="5">
        <v>4</v>
      </c>
      <c r="AE75" s="5">
        <v>26</v>
      </c>
      <c r="AF75" s="5">
        <v>7</v>
      </c>
      <c r="AG75" s="5">
        <v>51</v>
      </c>
      <c r="AH75" s="5"/>
      <c r="AI75" s="5"/>
      <c r="AJ75" s="5">
        <v>36</v>
      </c>
      <c r="AK75" s="5">
        <v>0</v>
      </c>
      <c r="AL75" s="5">
        <v>63702</v>
      </c>
      <c r="AM75" s="5">
        <v>3346</v>
      </c>
      <c r="AN75" s="5">
        <v>1502</v>
      </c>
      <c r="AO75" s="5">
        <v>10</v>
      </c>
      <c r="AP75" s="5">
        <v>10</v>
      </c>
      <c r="AQ75" s="5">
        <v>0</v>
      </c>
      <c r="AR75" s="5">
        <v>0</v>
      </c>
      <c r="AS75" s="5">
        <v>1956</v>
      </c>
      <c r="AT75" s="5" t="s">
        <v>82</v>
      </c>
      <c r="AU75" s="5">
        <v>733</v>
      </c>
      <c r="AV75" s="5">
        <v>1098</v>
      </c>
      <c r="AW75" s="5">
        <v>1637</v>
      </c>
      <c r="AX75" s="5">
        <v>5503</v>
      </c>
      <c r="AY75" s="155"/>
      <c r="AZ75" s="155"/>
      <c r="BA75" s="155">
        <v>0</v>
      </c>
      <c r="BB75" s="155"/>
      <c r="BC75" s="5">
        <v>1453</v>
      </c>
      <c r="BD75" s="5"/>
      <c r="BE75" s="5">
        <v>58460</v>
      </c>
      <c r="BF75" s="5">
        <v>127175</v>
      </c>
      <c r="BG75" s="5">
        <v>227</v>
      </c>
      <c r="BH75" s="5">
        <v>935</v>
      </c>
      <c r="BI75" s="5">
        <v>1163</v>
      </c>
      <c r="BJ75" s="5">
        <v>3455</v>
      </c>
      <c r="BK75" s="5">
        <v>216</v>
      </c>
      <c r="BL75" s="5">
        <v>2745</v>
      </c>
      <c r="BM75" s="5"/>
      <c r="BN75" s="5">
        <v>789</v>
      </c>
      <c r="BO75" s="5">
        <v>120</v>
      </c>
      <c r="BP75" s="5">
        <v>0</v>
      </c>
      <c r="BQ75" s="5">
        <v>7846</v>
      </c>
      <c r="BR75" s="5">
        <v>13901</v>
      </c>
      <c r="BS75" s="5">
        <v>31</v>
      </c>
      <c r="BT75" s="5">
        <v>826</v>
      </c>
      <c r="BU75" s="5">
        <v>935</v>
      </c>
      <c r="BV75" s="5"/>
      <c r="BW75" s="5">
        <v>10</v>
      </c>
      <c r="BX75" s="5">
        <v>295</v>
      </c>
      <c r="BY75" s="5"/>
      <c r="BZ75" s="5">
        <v>3215</v>
      </c>
      <c r="CA75" s="5">
        <v>9</v>
      </c>
      <c r="CB75" s="5">
        <v>0</v>
      </c>
      <c r="CC75" s="5">
        <v>13499</v>
      </c>
      <c r="CD75" s="5">
        <v>54563</v>
      </c>
      <c r="CE75" s="5">
        <v>36075</v>
      </c>
      <c r="CF75" s="5">
        <v>12999</v>
      </c>
      <c r="CG75" s="5">
        <v>0</v>
      </c>
      <c r="CH75" s="5">
        <v>0</v>
      </c>
      <c r="CI75" s="5">
        <v>21</v>
      </c>
      <c r="CJ75" s="5">
        <v>290</v>
      </c>
      <c r="CK75" s="5">
        <v>200</v>
      </c>
      <c r="CL75" s="5"/>
      <c r="CM75" s="5"/>
      <c r="CN75" s="5"/>
      <c r="CO75" s="5"/>
      <c r="CP75" s="5"/>
      <c r="CQ75" s="5"/>
      <c r="CR75" s="5"/>
      <c r="CS75" s="5"/>
      <c r="CT75" s="5" t="s">
        <v>82</v>
      </c>
      <c r="CU75" s="5" t="s">
        <v>82</v>
      </c>
      <c r="CV75" s="5" t="s">
        <v>82</v>
      </c>
      <c r="CW75" s="5">
        <v>0</v>
      </c>
      <c r="CX75" s="5">
        <v>0</v>
      </c>
      <c r="CY75" s="5">
        <v>0</v>
      </c>
      <c r="DA75" s="6"/>
      <c r="DD75" s="6">
        <f t="shared" si="1"/>
        <v>340000</v>
      </c>
      <c r="DE75" s="6">
        <f t="shared" si="2"/>
        <v>153945</v>
      </c>
      <c r="DF75" s="16">
        <f t="shared" si="3"/>
        <v>493945</v>
      </c>
      <c r="DK75" s="6">
        <f t="shared" si="4"/>
        <v>60357</v>
      </c>
      <c r="DL75" s="6">
        <f t="shared" si="5"/>
        <v>74947</v>
      </c>
      <c r="DM75" s="6">
        <f t="shared" si="17"/>
        <v>11575</v>
      </c>
      <c r="DN75" s="6">
        <f t="shared" si="18"/>
        <v>7066</v>
      </c>
      <c r="DO75" s="6">
        <f t="shared" si="6"/>
        <v>250902</v>
      </c>
      <c r="DP75" s="6">
        <f t="shared" si="16"/>
        <v>68856</v>
      </c>
      <c r="DQ75" s="6"/>
      <c r="DR75" s="6">
        <f t="shared" si="7"/>
        <v>13520</v>
      </c>
      <c r="DS75" s="6">
        <f t="shared" si="8"/>
        <v>0</v>
      </c>
      <c r="DT75" s="6">
        <f t="shared" si="9"/>
        <v>6722</v>
      </c>
      <c r="DU75" s="6"/>
      <c r="DV75" s="6"/>
      <c r="DW75" s="6">
        <f t="shared" si="10"/>
        <v>493945</v>
      </c>
      <c r="DY75" s="6">
        <f t="shared" si="11"/>
        <v>257624</v>
      </c>
      <c r="DZ75" s="6">
        <f t="shared" si="12"/>
        <v>0</v>
      </c>
      <c r="EB75" s="6">
        <f t="shared" si="13"/>
        <v>493945</v>
      </c>
      <c r="EC75" s="6"/>
      <c r="ED75" s="6"/>
      <c r="EF75" s="6"/>
      <c r="EG75" s="6"/>
    </row>
    <row r="76" spans="2:137" ht="14">
      <c r="B76" s="4">
        <v>34274</v>
      </c>
      <c r="C76" s="5">
        <v>0</v>
      </c>
      <c r="D76" s="5">
        <v>0</v>
      </c>
      <c r="E76" s="5">
        <v>0</v>
      </c>
      <c r="F76" s="5" t="s">
        <v>82</v>
      </c>
      <c r="G76" s="5" t="s">
        <v>82</v>
      </c>
      <c r="H76" s="5">
        <v>0</v>
      </c>
      <c r="I76" s="5">
        <v>0</v>
      </c>
      <c r="J76" s="5">
        <v>0</v>
      </c>
      <c r="K76" s="5">
        <v>0</v>
      </c>
      <c r="L76" s="5"/>
      <c r="M76" s="5">
        <v>34863</v>
      </c>
      <c r="N76" s="5">
        <v>3261</v>
      </c>
      <c r="O76" s="5"/>
      <c r="P76" s="5">
        <v>7693</v>
      </c>
      <c r="Q76" s="5">
        <v>1313</v>
      </c>
      <c r="R76" s="5">
        <v>1438</v>
      </c>
      <c r="S76" s="5">
        <v>2752</v>
      </c>
      <c r="T76" s="5">
        <v>11659</v>
      </c>
      <c r="U76" s="5"/>
      <c r="V76" s="5"/>
      <c r="W76" s="5">
        <v>9071</v>
      </c>
      <c r="X76" s="5">
        <v>0</v>
      </c>
      <c r="Y76" s="5">
        <v>892</v>
      </c>
      <c r="Z76" s="5">
        <v>35</v>
      </c>
      <c r="AA76" s="155"/>
      <c r="AB76" s="5">
        <v>25</v>
      </c>
      <c r="AC76" s="5">
        <v>0</v>
      </c>
      <c r="AD76" s="5">
        <v>4</v>
      </c>
      <c r="AE76" s="5">
        <v>24</v>
      </c>
      <c r="AF76" s="5">
        <v>6</v>
      </c>
      <c r="AG76" s="5">
        <v>50</v>
      </c>
      <c r="AH76" s="5"/>
      <c r="AI76" s="5"/>
      <c r="AJ76" s="5">
        <v>36</v>
      </c>
      <c r="AK76" s="5">
        <v>0</v>
      </c>
      <c r="AL76" s="5">
        <v>64169</v>
      </c>
      <c r="AM76" s="5">
        <v>3349</v>
      </c>
      <c r="AN76" s="5">
        <v>1731</v>
      </c>
      <c r="AO76" s="5">
        <v>9</v>
      </c>
      <c r="AP76" s="5">
        <v>11</v>
      </c>
      <c r="AQ76" s="5">
        <v>0</v>
      </c>
      <c r="AR76" s="5">
        <v>0</v>
      </c>
      <c r="AS76" s="5">
        <v>1927</v>
      </c>
      <c r="AT76" s="5" t="s">
        <v>82</v>
      </c>
      <c r="AU76" s="5">
        <v>733</v>
      </c>
      <c r="AV76" s="5">
        <v>1096</v>
      </c>
      <c r="AW76" s="5">
        <v>1655</v>
      </c>
      <c r="AX76" s="5">
        <v>5552</v>
      </c>
      <c r="AY76" s="155"/>
      <c r="AZ76" s="155"/>
      <c r="BA76" s="155">
        <v>0</v>
      </c>
      <c r="BB76" s="155"/>
      <c r="BC76" s="5">
        <v>1493</v>
      </c>
      <c r="BD76" s="5"/>
      <c r="BE76" s="5">
        <v>58433</v>
      </c>
      <c r="BF76" s="5">
        <v>127190</v>
      </c>
      <c r="BG76" s="5">
        <v>257</v>
      </c>
      <c r="BH76" s="5">
        <v>900</v>
      </c>
      <c r="BI76" s="5">
        <v>1116</v>
      </c>
      <c r="BJ76" s="5">
        <v>3462</v>
      </c>
      <c r="BK76" s="5">
        <v>227</v>
      </c>
      <c r="BL76" s="5">
        <v>2697</v>
      </c>
      <c r="BM76" s="5"/>
      <c r="BN76" s="5">
        <v>750</v>
      </c>
      <c r="BO76" s="5">
        <v>112</v>
      </c>
      <c r="BP76" s="5">
        <v>0</v>
      </c>
      <c r="BQ76" s="5">
        <v>7921</v>
      </c>
      <c r="BR76" s="5">
        <v>13887</v>
      </c>
      <c r="BS76" s="5">
        <v>31</v>
      </c>
      <c r="BT76" s="5">
        <v>781</v>
      </c>
      <c r="BU76" s="5">
        <v>893</v>
      </c>
      <c r="BV76" s="5"/>
      <c r="BW76" s="5">
        <v>14</v>
      </c>
      <c r="BX76" s="5">
        <v>291</v>
      </c>
      <c r="BY76" s="5"/>
      <c r="BZ76" s="5">
        <v>2938</v>
      </c>
      <c r="CA76" s="5">
        <v>4</v>
      </c>
      <c r="CB76" s="5">
        <v>0</v>
      </c>
      <c r="CC76" s="5">
        <v>13179</v>
      </c>
      <c r="CD76" s="5">
        <v>54703</v>
      </c>
      <c r="CE76" s="5">
        <v>38574</v>
      </c>
      <c r="CF76" s="5">
        <v>13004</v>
      </c>
      <c r="CG76" s="5">
        <v>0</v>
      </c>
      <c r="CH76" s="5">
        <v>0</v>
      </c>
      <c r="CI76" s="5">
        <v>16</v>
      </c>
      <c r="CJ76" s="5">
        <v>271</v>
      </c>
      <c r="CK76" s="5">
        <v>189</v>
      </c>
      <c r="CL76" s="5"/>
      <c r="CM76" s="5"/>
      <c r="CN76" s="5"/>
      <c r="CO76" s="5"/>
      <c r="CP76" s="5"/>
      <c r="CQ76" s="5"/>
      <c r="CR76" s="5"/>
      <c r="CS76" s="5"/>
      <c r="CT76" s="5" t="s">
        <v>82</v>
      </c>
      <c r="CU76" s="5" t="s">
        <v>82</v>
      </c>
      <c r="CV76" s="5" t="s">
        <v>82</v>
      </c>
      <c r="CW76" s="5">
        <v>0</v>
      </c>
      <c r="CX76" s="5">
        <v>0</v>
      </c>
      <c r="CY76" s="5">
        <v>0</v>
      </c>
      <c r="DA76" s="6"/>
      <c r="DD76" s="6">
        <f t="shared" ref="DD76:DD139" si="19">SUM(BE76:CK76)</f>
        <v>341840</v>
      </c>
      <c r="DE76" s="6">
        <f t="shared" ref="DE76:DE139" si="20">SUM(M76:N76,P76:AX76,BB76:BC76)+CR76+CS76</f>
        <v>154847</v>
      </c>
      <c r="DF76" s="16">
        <f t="shared" ref="DF76:DF139" si="21">SUM(DD76:DE76)</f>
        <v>496687</v>
      </c>
      <c r="DK76" s="6">
        <f t="shared" ref="DK76:DK139" si="22">SUM(M76:N76,P76:S76,U76:X76)</f>
        <v>60391</v>
      </c>
      <c r="DL76" s="6">
        <f t="shared" ref="DL76:DL139" si="23">SUM(Y76:AF76,AH76:AM76,AO76,AS76:AW76,BA76:BC76)</f>
        <v>75453</v>
      </c>
      <c r="DM76" s="6">
        <f t="shared" si="17"/>
        <v>11659</v>
      </c>
      <c r="DN76" s="6">
        <f t="shared" si="18"/>
        <v>7344</v>
      </c>
      <c r="DO76" s="6">
        <f t="shared" ref="DO76:DO139" si="24">SUM(BF76,BI76,BK76,BO76,BR76:BS76,BU76:BW76,BZ76:CB76,CD76:CF76,CJ76:CK76)</f>
        <v>253153</v>
      </c>
      <c r="DP76" s="6">
        <f t="shared" si="16"/>
        <v>68785</v>
      </c>
      <c r="DQ76" s="6"/>
      <c r="DR76" s="6">
        <f t="shared" ref="DR76:DR139" si="25">CC76+CI76</f>
        <v>13195</v>
      </c>
      <c r="DS76" s="6">
        <f t="shared" ref="DS76:DS139" si="26">BP76</f>
        <v>0</v>
      </c>
      <c r="DT76" s="6">
        <f t="shared" ref="DT76:DT139" si="27">BG76+BJ76+BL76+BX76</f>
        <v>6707</v>
      </c>
      <c r="DU76" s="6"/>
      <c r="DV76" s="6"/>
      <c r="DW76" s="6">
        <f t="shared" ref="DW76:DW139" si="28">SUM(DK76:DT76)</f>
        <v>496687</v>
      </c>
      <c r="DY76" s="6">
        <f t="shared" ref="DY76:DY139" si="29">DO76+DT76+H76+I76+J76+K76+CG76</f>
        <v>259860</v>
      </c>
      <c r="DZ76" s="6">
        <f t="shared" ref="DZ76:DZ139" si="30">SUM(G76:L76,O76)</f>
        <v>0</v>
      </c>
      <c r="EB76" s="6">
        <f t="shared" ref="EB76:EB139" si="31">DZ76+DF76</f>
        <v>496687</v>
      </c>
      <c r="EC76" s="6"/>
      <c r="ED76" s="6"/>
      <c r="EF76" s="6"/>
      <c r="EG76" s="6"/>
    </row>
    <row r="77" spans="2:137" ht="14">
      <c r="B77" s="4">
        <v>34304</v>
      </c>
      <c r="C77" s="5">
        <v>0</v>
      </c>
      <c r="D77" s="5">
        <v>0</v>
      </c>
      <c r="E77" s="5">
        <v>0</v>
      </c>
      <c r="F77" s="5" t="s">
        <v>82</v>
      </c>
      <c r="G77" s="5" t="s">
        <v>82</v>
      </c>
      <c r="H77" s="5">
        <v>0</v>
      </c>
      <c r="I77" s="5">
        <v>0</v>
      </c>
      <c r="J77" s="5">
        <v>0</v>
      </c>
      <c r="K77" s="5">
        <v>0</v>
      </c>
      <c r="L77" s="5"/>
      <c r="M77" s="5">
        <v>34847</v>
      </c>
      <c r="N77" s="5">
        <v>3245</v>
      </c>
      <c r="O77" s="5"/>
      <c r="P77" s="5">
        <v>7680</v>
      </c>
      <c r="Q77" s="5">
        <v>1330</v>
      </c>
      <c r="R77" s="5">
        <v>1454</v>
      </c>
      <c r="S77" s="5">
        <v>2790</v>
      </c>
      <c r="T77" s="5">
        <v>11735</v>
      </c>
      <c r="U77" s="5"/>
      <c r="V77" s="5"/>
      <c r="W77" s="5">
        <v>9041</v>
      </c>
      <c r="X77" s="5">
        <v>0</v>
      </c>
      <c r="Y77" s="5">
        <v>888</v>
      </c>
      <c r="Z77" s="5">
        <v>34</v>
      </c>
      <c r="AA77" s="155"/>
      <c r="AB77" s="5">
        <v>25</v>
      </c>
      <c r="AC77" s="5">
        <v>0</v>
      </c>
      <c r="AD77" s="5">
        <v>3</v>
      </c>
      <c r="AE77" s="5">
        <v>24</v>
      </c>
      <c r="AF77" s="5">
        <v>5</v>
      </c>
      <c r="AG77" s="5">
        <v>49</v>
      </c>
      <c r="AH77" s="5"/>
      <c r="AI77" s="5"/>
      <c r="AJ77" s="5">
        <v>38</v>
      </c>
      <c r="AK77" s="5">
        <v>0</v>
      </c>
      <c r="AL77" s="5">
        <v>64745</v>
      </c>
      <c r="AM77" s="5">
        <v>3373</v>
      </c>
      <c r="AN77" s="5">
        <v>1878</v>
      </c>
      <c r="AO77" s="5">
        <v>13</v>
      </c>
      <c r="AP77" s="5">
        <v>11</v>
      </c>
      <c r="AQ77" s="5">
        <v>0</v>
      </c>
      <c r="AR77" s="5">
        <v>0</v>
      </c>
      <c r="AS77" s="5">
        <v>1941</v>
      </c>
      <c r="AT77" s="5" t="s">
        <v>82</v>
      </c>
      <c r="AU77" s="5">
        <v>750</v>
      </c>
      <c r="AV77" s="5">
        <v>1111</v>
      </c>
      <c r="AW77" s="5">
        <v>1664</v>
      </c>
      <c r="AX77" s="5">
        <v>5623</v>
      </c>
      <c r="AY77" s="155"/>
      <c r="AZ77" s="155"/>
      <c r="BA77" s="155">
        <v>0</v>
      </c>
      <c r="BB77" s="155"/>
      <c r="BC77" s="5">
        <v>1497</v>
      </c>
      <c r="BD77" s="5"/>
      <c r="BE77" s="5">
        <v>58709</v>
      </c>
      <c r="BF77" s="5">
        <v>127904</v>
      </c>
      <c r="BG77" s="5">
        <v>254</v>
      </c>
      <c r="BH77" s="5">
        <v>988</v>
      </c>
      <c r="BI77" s="5">
        <v>1218</v>
      </c>
      <c r="BJ77" s="5">
        <v>3522</v>
      </c>
      <c r="BK77" s="5">
        <v>239</v>
      </c>
      <c r="BL77" s="5">
        <v>2720</v>
      </c>
      <c r="BM77" s="5"/>
      <c r="BN77" s="5">
        <v>756</v>
      </c>
      <c r="BO77" s="5">
        <v>113</v>
      </c>
      <c r="BP77" s="5">
        <v>0</v>
      </c>
      <c r="BQ77" s="5">
        <v>7920</v>
      </c>
      <c r="BR77" s="5">
        <v>13709</v>
      </c>
      <c r="BS77" s="5">
        <v>30</v>
      </c>
      <c r="BT77" s="5">
        <v>723</v>
      </c>
      <c r="BU77" s="5">
        <v>832</v>
      </c>
      <c r="BV77" s="5"/>
      <c r="BW77" s="5">
        <v>15</v>
      </c>
      <c r="BX77" s="5">
        <v>277</v>
      </c>
      <c r="BY77" s="5"/>
      <c r="BZ77" s="5">
        <v>2743</v>
      </c>
      <c r="CA77" s="5">
        <v>4</v>
      </c>
      <c r="CB77" s="5">
        <v>0</v>
      </c>
      <c r="CC77" s="5">
        <v>12923</v>
      </c>
      <c r="CD77" s="5">
        <v>55464</v>
      </c>
      <c r="CE77" s="5">
        <v>41202</v>
      </c>
      <c r="CF77" s="5">
        <v>13073</v>
      </c>
      <c r="CG77" s="5">
        <v>0</v>
      </c>
      <c r="CH77" s="5">
        <v>0</v>
      </c>
      <c r="CI77" s="5">
        <v>15</v>
      </c>
      <c r="CJ77" s="5">
        <v>264</v>
      </c>
      <c r="CK77" s="5">
        <v>176</v>
      </c>
      <c r="CL77" s="5"/>
      <c r="CM77" s="5"/>
      <c r="CN77" s="5"/>
      <c r="CO77" s="5"/>
      <c r="CP77" s="5"/>
      <c r="CQ77" s="5"/>
      <c r="CR77" s="5"/>
      <c r="CS77" s="5"/>
      <c r="CT77" s="5" t="s">
        <v>82</v>
      </c>
      <c r="CU77" s="5" t="s">
        <v>82</v>
      </c>
      <c r="CV77" s="5" t="s">
        <v>82</v>
      </c>
      <c r="CW77" s="5">
        <v>0</v>
      </c>
      <c r="CX77" s="5">
        <v>0</v>
      </c>
      <c r="CY77" s="5">
        <v>0</v>
      </c>
      <c r="DA77" s="6"/>
      <c r="DD77" s="6">
        <f t="shared" si="19"/>
        <v>345793</v>
      </c>
      <c r="DE77" s="6">
        <f t="shared" si="20"/>
        <v>155794</v>
      </c>
      <c r="DF77" s="16">
        <f t="shared" si="21"/>
        <v>501587</v>
      </c>
      <c r="DK77" s="6">
        <f t="shared" si="22"/>
        <v>60387</v>
      </c>
      <c r="DL77" s="6">
        <f t="shared" si="23"/>
        <v>76111</v>
      </c>
      <c r="DM77" s="6">
        <f t="shared" si="17"/>
        <v>11735</v>
      </c>
      <c r="DN77" s="6">
        <f t="shared" si="18"/>
        <v>7561</v>
      </c>
      <c r="DO77" s="6">
        <f t="shared" si="24"/>
        <v>256986</v>
      </c>
      <c r="DP77" s="6">
        <f t="shared" ref="DP77:DP140" si="32">SUM(BD77:BE77,BH77,BN77,BQ77,BT77)</f>
        <v>69096</v>
      </c>
      <c r="DQ77" s="6"/>
      <c r="DR77" s="6">
        <f t="shared" si="25"/>
        <v>12938</v>
      </c>
      <c r="DS77" s="6">
        <f t="shared" si="26"/>
        <v>0</v>
      </c>
      <c r="DT77" s="6">
        <f t="shared" si="27"/>
        <v>6773</v>
      </c>
      <c r="DU77" s="6"/>
      <c r="DV77" s="6"/>
      <c r="DW77" s="6">
        <f t="shared" si="28"/>
        <v>501587</v>
      </c>
      <c r="DY77" s="6">
        <f t="shared" si="29"/>
        <v>263759</v>
      </c>
      <c r="DZ77" s="6">
        <f t="shared" si="30"/>
        <v>0</v>
      </c>
      <c r="EB77" s="6">
        <f t="shared" si="31"/>
        <v>501587</v>
      </c>
      <c r="EC77" s="6"/>
      <c r="ED77" s="6"/>
      <c r="EF77" s="6"/>
      <c r="EG77" s="6"/>
    </row>
    <row r="78" spans="2:137" ht="14">
      <c r="B78" s="4">
        <v>34335</v>
      </c>
      <c r="C78" s="5">
        <v>0</v>
      </c>
      <c r="D78" s="5">
        <v>0</v>
      </c>
      <c r="E78" s="5">
        <v>0</v>
      </c>
      <c r="F78" s="5" t="s">
        <v>82</v>
      </c>
      <c r="G78" s="5" t="s">
        <v>82</v>
      </c>
      <c r="H78" s="5">
        <v>0</v>
      </c>
      <c r="I78" s="5">
        <v>0</v>
      </c>
      <c r="J78" s="5">
        <v>0</v>
      </c>
      <c r="K78" s="5">
        <v>0</v>
      </c>
      <c r="L78" s="5"/>
      <c r="M78" s="5">
        <v>34862</v>
      </c>
      <c r="N78" s="5">
        <v>3242</v>
      </c>
      <c r="O78" s="5"/>
      <c r="P78" s="5">
        <v>7644</v>
      </c>
      <c r="Q78" s="5">
        <v>1345</v>
      </c>
      <c r="R78" s="5">
        <v>1478</v>
      </c>
      <c r="S78" s="5">
        <v>2750</v>
      </c>
      <c r="T78" s="5">
        <v>11841</v>
      </c>
      <c r="U78" s="5"/>
      <c r="V78" s="5"/>
      <c r="W78" s="5">
        <v>9030</v>
      </c>
      <c r="X78" s="5">
        <v>0</v>
      </c>
      <c r="Y78" s="5">
        <v>886</v>
      </c>
      <c r="Z78" s="5">
        <v>34</v>
      </c>
      <c r="AA78" s="155"/>
      <c r="AB78" s="5">
        <v>24</v>
      </c>
      <c r="AC78" s="5">
        <v>0</v>
      </c>
      <c r="AD78" s="5">
        <v>3</v>
      </c>
      <c r="AE78" s="5">
        <v>24</v>
      </c>
      <c r="AF78" s="5">
        <v>5</v>
      </c>
      <c r="AG78" s="5">
        <v>50</v>
      </c>
      <c r="AH78" s="5"/>
      <c r="AI78" s="5"/>
      <c r="AJ78" s="5">
        <v>38</v>
      </c>
      <c r="AK78" s="5">
        <v>0</v>
      </c>
      <c r="AL78" s="5">
        <v>65345</v>
      </c>
      <c r="AM78" s="5">
        <v>3373</v>
      </c>
      <c r="AN78" s="5">
        <v>2026</v>
      </c>
      <c r="AO78" s="5">
        <v>16</v>
      </c>
      <c r="AP78" s="5">
        <v>9</v>
      </c>
      <c r="AQ78" s="5">
        <v>0</v>
      </c>
      <c r="AR78" s="5">
        <v>0</v>
      </c>
      <c r="AS78" s="5">
        <v>1939</v>
      </c>
      <c r="AT78" s="5" t="s">
        <v>82</v>
      </c>
      <c r="AU78" s="5">
        <v>746</v>
      </c>
      <c r="AV78" s="5">
        <v>1126</v>
      </c>
      <c r="AW78" s="5">
        <v>1666</v>
      </c>
      <c r="AX78" s="5">
        <v>5705</v>
      </c>
      <c r="AY78" s="155"/>
      <c r="AZ78" s="155"/>
      <c r="BA78" s="155">
        <v>0</v>
      </c>
      <c r="BB78" s="155"/>
      <c r="BC78" s="5">
        <v>1479</v>
      </c>
      <c r="BD78" s="5"/>
      <c r="BE78" s="5">
        <v>59041</v>
      </c>
      <c r="BF78" s="5">
        <v>128484</v>
      </c>
      <c r="BG78" s="5">
        <v>263</v>
      </c>
      <c r="BH78" s="5">
        <v>1007</v>
      </c>
      <c r="BI78" s="5">
        <v>1228</v>
      </c>
      <c r="BJ78" s="5">
        <v>3561</v>
      </c>
      <c r="BK78" s="5">
        <v>231</v>
      </c>
      <c r="BL78" s="5">
        <v>2673</v>
      </c>
      <c r="BM78" s="5"/>
      <c r="BN78" s="5">
        <v>706</v>
      </c>
      <c r="BO78" s="5">
        <v>110</v>
      </c>
      <c r="BP78" s="5">
        <v>0</v>
      </c>
      <c r="BQ78" s="5">
        <v>7816</v>
      </c>
      <c r="BR78" s="5">
        <v>13484</v>
      </c>
      <c r="BS78" s="5">
        <v>31</v>
      </c>
      <c r="BT78" s="5">
        <v>724</v>
      </c>
      <c r="BU78" s="5">
        <v>840</v>
      </c>
      <c r="BV78" s="5"/>
      <c r="BW78" s="5">
        <v>15</v>
      </c>
      <c r="BX78" s="5">
        <v>275</v>
      </c>
      <c r="BY78" s="5"/>
      <c r="BZ78" s="5">
        <v>2554</v>
      </c>
      <c r="CA78" s="5">
        <v>2</v>
      </c>
      <c r="CB78" s="5">
        <v>0</v>
      </c>
      <c r="CC78" s="5">
        <v>12679</v>
      </c>
      <c r="CD78" s="5">
        <v>55587</v>
      </c>
      <c r="CE78" s="5">
        <v>43121</v>
      </c>
      <c r="CF78" s="5">
        <v>12858</v>
      </c>
      <c r="CG78" s="5">
        <v>0</v>
      </c>
      <c r="CH78" s="5">
        <v>0</v>
      </c>
      <c r="CI78" s="5">
        <v>10</v>
      </c>
      <c r="CJ78" s="5">
        <v>253</v>
      </c>
      <c r="CK78" s="5">
        <v>178</v>
      </c>
      <c r="CL78" s="5"/>
      <c r="CM78" s="5"/>
      <c r="CN78" s="5"/>
      <c r="CO78" s="5"/>
      <c r="CP78" s="5"/>
      <c r="CQ78" s="5"/>
      <c r="CR78" s="5"/>
      <c r="CS78" s="5"/>
      <c r="CT78" s="5" t="s">
        <v>82</v>
      </c>
      <c r="CU78" s="5" t="s">
        <v>82</v>
      </c>
      <c r="CV78" s="5" t="s">
        <v>82</v>
      </c>
      <c r="CW78" s="5">
        <v>0</v>
      </c>
      <c r="CX78" s="5">
        <v>0</v>
      </c>
      <c r="CY78" s="5">
        <v>0</v>
      </c>
      <c r="DA78" s="6"/>
      <c r="DD78" s="6">
        <f t="shared" si="19"/>
        <v>347731</v>
      </c>
      <c r="DE78" s="6">
        <f t="shared" si="20"/>
        <v>156686</v>
      </c>
      <c r="DF78" s="16">
        <f t="shared" si="21"/>
        <v>504417</v>
      </c>
      <c r="DK78" s="6">
        <f t="shared" si="22"/>
        <v>60351</v>
      </c>
      <c r="DL78" s="6">
        <f t="shared" si="23"/>
        <v>76704</v>
      </c>
      <c r="DM78" s="6">
        <f t="shared" si="17"/>
        <v>11841</v>
      </c>
      <c r="DN78" s="6">
        <f t="shared" si="18"/>
        <v>7790</v>
      </c>
      <c r="DO78" s="6">
        <f t="shared" si="24"/>
        <v>258976</v>
      </c>
      <c r="DP78" s="6">
        <f t="shared" si="32"/>
        <v>69294</v>
      </c>
      <c r="DQ78" s="6"/>
      <c r="DR78" s="6">
        <f t="shared" si="25"/>
        <v>12689</v>
      </c>
      <c r="DS78" s="6">
        <f t="shared" si="26"/>
        <v>0</v>
      </c>
      <c r="DT78" s="6">
        <f t="shared" si="27"/>
        <v>6772</v>
      </c>
      <c r="DU78" s="6"/>
      <c r="DV78" s="6"/>
      <c r="DW78" s="6">
        <f t="shared" si="28"/>
        <v>504417</v>
      </c>
      <c r="DY78" s="6">
        <f t="shared" si="29"/>
        <v>265748</v>
      </c>
      <c r="DZ78" s="6">
        <f t="shared" si="30"/>
        <v>0</v>
      </c>
      <c r="EB78" s="6">
        <f t="shared" si="31"/>
        <v>504417</v>
      </c>
      <c r="EC78" s="6"/>
      <c r="ED78" s="6"/>
      <c r="EF78" s="6"/>
      <c r="EG78" s="6"/>
    </row>
    <row r="79" spans="2:137" ht="14">
      <c r="B79" s="4">
        <v>34366</v>
      </c>
      <c r="C79" s="5">
        <v>0</v>
      </c>
      <c r="D79" s="5">
        <v>0</v>
      </c>
      <c r="E79" s="5">
        <v>0</v>
      </c>
      <c r="F79" s="5" t="s">
        <v>82</v>
      </c>
      <c r="G79" s="5" t="s">
        <v>82</v>
      </c>
      <c r="H79" s="5">
        <v>0</v>
      </c>
      <c r="I79" s="5">
        <v>0</v>
      </c>
      <c r="J79" s="5">
        <v>0</v>
      </c>
      <c r="K79" s="5">
        <v>0</v>
      </c>
      <c r="L79" s="5"/>
      <c r="M79" s="5">
        <v>34812</v>
      </c>
      <c r="N79" s="5">
        <v>3193</v>
      </c>
      <c r="O79" s="5"/>
      <c r="P79" s="5">
        <v>7583</v>
      </c>
      <c r="Q79" s="5">
        <v>1301</v>
      </c>
      <c r="R79" s="5">
        <v>1457</v>
      </c>
      <c r="S79" s="5">
        <v>2747</v>
      </c>
      <c r="T79" s="5">
        <v>11849</v>
      </c>
      <c r="U79" s="5"/>
      <c r="V79" s="5"/>
      <c r="W79" s="5">
        <v>8940</v>
      </c>
      <c r="X79" s="5">
        <v>0</v>
      </c>
      <c r="Y79" s="5">
        <v>881</v>
      </c>
      <c r="Z79" s="5">
        <v>35</v>
      </c>
      <c r="AA79" s="155"/>
      <c r="AB79" s="5">
        <v>22</v>
      </c>
      <c r="AC79" s="5">
        <v>0</v>
      </c>
      <c r="AD79" s="5">
        <v>3</v>
      </c>
      <c r="AE79" s="5">
        <v>25</v>
      </c>
      <c r="AF79" s="5">
        <v>4</v>
      </c>
      <c r="AG79" s="5">
        <v>54</v>
      </c>
      <c r="AH79" s="5"/>
      <c r="AI79" s="5"/>
      <c r="AJ79" s="5">
        <v>37</v>
      </c>
      <c r="AK79" s="5">
        <v>0</v>
      </c>
      <c r="AL79" s="5">
        <v>66082</v>
      </c>
      <c r="AM79" s="5">
        <v>3374</v>
      </c>
      <c r="AN79" s="5">
        <v>2168</v>
      </c>
      <c r="AO79" s="5">
        <v>21</v>
      </c>
      <c r="AP79" s="5">
        <v>8</v>
      </c>
      <c r="AQ79" s="5">
        <v>0</v>
      </c>
      <c r="AR79" s="5">
        <v>0</v>
      </c>
      <c r="AS79" s="5">
        <v>1925</v>
      </c>
      <c r="AT79" s="5" t="s">
        <v>82</v>
      </c>
      <c r="AU79" s="5">
        <v>744</v>
      </c>
      <c r="AV79" s="5">
        <v>1123</v>
      </c>
      <c r="AW79" s="5">
        <v>1679</v>
      </c>
      <c r="AX79" s="5">
        <v>5782</v>
      </c>
      <c r="AY79" s="155"/>
      <c r="AZ79" s="155"/>
      <c r="BA79" s="155">
        <v>0</v>
      </c>
      <c r="BB79" s="155"/>
      <c r="BC79" s="5">
        <v>1460</v>
      </c>
      <c r="BD79" s="5"/>
      <c r="BE79" s="5">
        <v>59342</v>
      </c>
      <c r="BF79" s="5">
        <v>129010</v>
      </c>
      <c r="BG79" s="5">
        <v>259</v>
      </c>
      <c r="BH79" s="5">
        <v>1020</v>
      </c>
      <c r="BI79" s="5">
        <v>1214</v>
      </c>
      <c r="BJ79" s="5">
        <v>3555</v>
      </c>
      <c r="BK79" s="5">
        <v>227</v>
      </c>
      <c r="BL79" s="5">
        <v>2674</v>
      </c>
      <c r="BM79" s="5"/>
      <c r="BN79" s="5">
        <v>701</v>
      </c>
      <c r="BO79" s="5">
        <v>115</v>
      </c>
      <c r="BP79" s="5">
        <v>0</v>
      </c>
      <c r="BQ79" s="5">
        <v>7651</v>
      </c>
      <c r="BR79" s="5">
        <v>13147</v>
      </c>
      <c r="BS79" s="5">
        <v>32</v>
      </c>
      <c r="BT79" s="5">
        <v>753</v>
      </c>
      <c r="BU79" s="5">
        <v>895</v>
      </c>
      <c r="BV79" s="5"/>
      <c r="BW79" s="5">
        <v>13</v>
      </c>
      <c r="BX79" s="5">
        <v>280</v>
      </c>
      <c r="BY79" s="5"/>
      <c r="BZ79" s="5">
        <v>2363</v>
      </c>
      <c r="CA79" s="5">
        <v>2</v>
      </c>
      <c r="CB79" s="5">
        <v>0</v>
      </c>
      <c r="CC79" s="5">
        <v>12716</v>
      </c>
      <c r="CD79" s="5">
        <v>56065</v>
      </c>
      <c r="CE79" s="5">
        <v>44980</v>
      </c>
      <c r="CF79" s="5">
        <v>13060</v>
      </c>
      <c r="CG79" s="5">
        <v>0</v>
      </c>
      <c r="CH79" s="5">
        <v>0</v>
      </c>
      <c r="CI79" s="5">
        <v>9</v>
      </c>
      <c r="CJ79" s="5">
        <v>244</v>
      </c>
      <c r="CK79" s="5">
        <v>182</v>
      </c>
      <c r="CL79" s="5"/>
      <c r="CM79" s="5"/>
      <c r="CN79" s="5"/>
      <c r="CO79" s="5"/>
      <c r="CP79" s="5"/>
      <c r="CQ79" s="5"/>
      <c r="CR79" s="5"/>
      <c r="CS79" s="5"/>
      <c r="CT79" s="5" t="s">
        <v>82</v>
      </c>
      <c r="CU79" s="5" t="s">
        <v>82</v>
      </c>
      <c r="CV79" s="5" t="s">
        <v>82</v>
      </c>
      <c r="CW79" s="5">
        <v>0</v>
      </c>
      <c r="CX79" s="5">
        <v>0</v>
      </c>
      <c r="CY79" s="5">
        <v>0</v>
      </c>
      <c r="DA79" s="6"/>
      <c r="DD79" s="6">
        <f t="shared" si="19"/>
        <v>350509</v>
      </c>
      <c r="DE79" s="6">
        <f t="shared" si="20"/>
        <v>157309</v>
      </c>
      <c r="DF79" s="16">
        <f t="shared" si="21"/>
        <v>507818</v>
      </c>
      <c r="DK79" s="6">
        <f t="shared" si="22"/>
        <v>60033</v>
      </c>
      <c r="DL79" s="6">
        <f t="shared" si="23"/>
        <v>77415</v>
      </c>
      <c r="DM79" s="6">
        <f t="shared" si="17"/>
        <v>11849</v>
      </c>
      <c r="DN79" s="6">
        <f t="shared" si="18"/>
        <v>8012</v>
      </c>
      <c r="DO79" s="6">
        <f t="shared" si="24"/>
        <v>261549</v>
      </c>
      <c r="DP79" s="6">
        <f t="shared" si="32"/>
        <v>69467</v>
      </c>
      <c r="DQ79" s="6"/>
      <c r="DR79" s="6">
        <f t="shared" si="25"/>
        <v>12725</v>
      </c>
      <c r="DS79" s="6">
        <f t="shared" si="26"/>
        <v>0</v>
      </c>
      <c r="DT79" s="6">
        <f t="shared" si="27"/>
        <v>6768</v>
      </c>
      <c r="DU79" s="6"/>
      <c r="DV79" s="6"/>
      <c r="DW79" s="6">
        <f t="shared" si="28"/>
        <v>507818</v>
      </c>
      <c r="DY79" s="6">
        <f t="shared" si="29"/>
        <v>268317</v>
      </c>
      <c r="DZ79" s="6">
        <f t="shared" si="30"/>
        <v>0</v>
      </c>
      <c r="EB79" s="6">
        <f t="shared" si="31"/>
        <v>507818</v>
      </c>
      <c r="EC79" s="6"/>
      <c r="ED79" s="6"/>
      <c r="EF79" s="6"/>
      <c r="EG79" s="6"/>
    </row>
    <row r="80" spans="2:137" ht="14">
      <c r="B80" s="4">
        <v>34394</v>
      </c>
      <c r="C80" s="5">
        <v>0</v>
      </c>
      <c r="D80" s="5">
        <v>0</v>
      </c>
      <c r="E80" s="5">
        <v>0</v>
      </c>
      <c r="F80" s="5" t="s">
        <v>82</v>
      </c>
      <c r="G80" s="5" t="s">
        <v>82</v>
      </c>
      <c r="H80" s="5">
        <v>0</v>
      </c>
      <c r="I80" s="5">
        <v>0</v>
      </c>
      <c r="J80" s="5">
        <v>0</v>
      </c>
      <c r="K80" s="5">
        <v>0</v>
      </c>
      <c r="L80" s="5"/>
      <c r="M80" s="5">
        <v>34774</v>
      </c>
      <c r="N80" s="5">
        <v>3184</v>
      </c>
      <c r="O80" s="5"/>
      <c r="P80" s="5">
        <v>7584</v>
      </c>
      <c r="Q80" s="5">
        <v>1322</v>
      </c>
      <c r="R80" s="5">
        <v>1463</v>
      </c>
      <c r="S80" s="5">
        <v>2819</v>
      </c>
      <c r="T80" s="5">
        <v>11858</v>
      </c>
      <c r="U80" s="5"/>
      <c r="V80" s="5"/>
      <c r="W80" s="5">
        <v>8853</v>
      </c>
      <c r="X80" s="5">
        <v>0</v>
      </c>
      <c r="Y80" s="5">
        <v>872</v>
      </c>
      <c r="Z80" s="5">
        <v>33</v>
      </c>
      <c r="AA80" s="155"/>
      <c r="AB80" s="5">
        <v>23</v>
      </c>
      <c r="AC80" s="5">
        <v>0</v>
      </c>
      <c r="AD80" s="5">
        <v>2</v>
      </c>
      <c r="AE80" s="5">
        <v>26</v>
      </c>
      <c r="AF80" s="5">
        <v>4</v>
      </c>
      <c r="AG80" s="5">
        <v>54</v>
      </c>
      <c r="AH80" s="5"/>
      <c r="AI80" s="5"/>
      <c r="AJ80" s="5">
        <v>36</v>
      </c>
      <c r="AK80" s="5">
        <v>0</v>
      </c>
      <c r="AL80" s="5">
        <v>66538</v>
      </c>
      <c r="AM80" s="5">
        <v>3371</v>
      </c>
      <c r="AN80" s="5">
        <v>2252</v>
      </c>
      <c r="AO80" s="5">
        <v>25</v>
      </c>
      <c r="AP80" s="5">
        <v>8</v>
      </c>
      <c r="AQ80" s="5">
        <v>0</v>
      </c>
      <c r="AR80" s="5">
        <v>0</v>
      </c>
      <c r="AS80" s="5">
        <v>1930</v>
      </c>
      <c r="AT80" s="5" t="s">
        <v>82</v>
      </c>
      <c r="AU80" s="5">
        <v>757</v>
      </c>
      <c r="AV80" s="5">
        <v>1127</v>
      </c>
      <c r="AW80" s="5">
        <v>1695</v>
      </c>
      <c r="AX80" s="5">
        <v>5887</v>
      </c>
      <c r="AY80" s="155"/>
      <c r="AZ80" s="155"/>
      <c r="BA80" s="155">
        <v>0</v>
      </c>
      <c r="BB80" s="155"/>
      <c r="BC80" s="5">
        <v>1461</v>
      </c>
      <c r="BD80" s="5"/>
      <c r="BE80" s="5">
        <v>59197</v>
      </c>
      <c r="BF80" s="5">
        <v>128713</v>
      </c>
      <c r="BG80" s="5">
        <v>266</v>
      </c>
      <c r="BH80" s="5">
        <v>1079</v>
      </c>
      <c r="BI80" s="5">
        <v>1245</v>
      </c>
      <c r="BJ80" s="5">
        <v>3574</v>
      </c>
      <c r="BK80" s="5">
        <v>221</v>
      </c>
      <c r="BL80" s="5">
        <v>2648</v>
      </c>
      <c r="BM80" s="5"/>
      <c r="BN80" s="5">
        <v>617</v>
      </c>
      <c r="BO80" s="5">
        <v>114</v>
      </c>
      <c r="BP80" s="5">
        <v>0</v>
      </c>
      <c r="BQ80" s="5">
        <v>7342</v>
      </c>
      <c r="BR80" s="5">
        <v>12497</v>
      </c>
      <c r="BS80" s="5">
        <v>33</v>
      </c>
      <c r="BT80" s="5">
        <v>713</v>
      </c>
      <c r="BU80" s="5">
        <v>841</v>
      </c>
      <c r="BV80" s="5"/>
      <c r="BW80" s="5">
        <v>14</v>
      </c>
      <c r="BX80" s="5">
        <v>271</v>
      </c>
      <c r="BY80" s="5"/>
      <c r="BZ80" s="5">
        <v>2163</v>
      </c>
      <c r="CA80" s="5">
        <v>2</v>
      </c>
      <c r="CB80" s="5">
        <v>0</v>
      </c>
      <c r="CC80" s="5">
        <v>12742</v>
      </c>
      <c r="CD80" s="5">
        <v>56536</v>
      </c>
      <c r="CE80" s="5">
        <v>46688</v>
      </c>
      <c r="CF80" s="5">
        <v>13138</v>
      </c>
      <c r="CG80" s="5">
        <v>0</v>
      </c>
      <c r="CH80" s="5">
        <v>0</v>
      </c>
      <c r="CI80" s="5">
        <v>12</v>
      </c>
      <c r="CJ80" s="5">
        <v>238</v>
      </c>
      <c r="CK80" s="5">
        <v>173</v>
      </c>
      <c r="CL80" s="5"/>
      <c r="CM80" s="5"/>
      <c r="CN80" s="5"/>
      <c r="CO80" s="5"/>
      <c r="CP80" s="5"/>
      <c r="CQ80" s="5"/>
      <c r="CR80" s="5"/>
      <c r="CS80" s="5"/>
      <c r="CT80" s="5" t="s">
        <v>82</v>
      </c>
      <c r="CU80" s="5" t="s">
        <v>82</v>
      </c>
      <c r="CV80" s="5" t="s">
        <v>82</v>
      </c>
      <c r="CW80" s="5">
        <v>0</v>
      </c>
      <c r="CX80" s="5">
        <v>0</v>
      </c>
      <c r="CY80" s="5">
        <v>0</v>
      </c>
      <c r="DA80" s="6"/>
      <c r="DD80" s="6">
        <f t="shared" si="19"/>
        <v>351077</v>
      </c>
      <c r="DE80" s="6">
        <f t="shared" si="20"/>
        <v>157958</v>
      </c>
      <c r="DF80" s="16">
        <f t="shared" si="21"/>
        <v>509035</v>
      </c>
      <c r="DK80" s="6">
        <f t="shared" si="22"/>
        <v>59999</v>
      </c>
      <c r="DL80" s="6">
        <f t="shared" si="23"/>
        <v>77900</v>
      </c>
      <c r="DM80" s="6">
        <f t="shared" si="17"/>
        <v>11858</v>
      </c>
      <c r="DN80" s="6">
        <f t="shared" si="18"/>
        <v>8201</v>
      </c>
      <c r="DO80" s="6">
        <f t="shared" si="24"/>
        <v>262616</v>
      </c>
      <c r="DP80" s="6">
        <f t="shared" si="32"/>
        <v>68948</v>
      </c>
      <c r="DQ80" s="6"/>
      <c r="DR80" s="6">
        <f t="shared" si="25"/>
        <v>12754</v>
      </c>
      <c r="DS80" s="6">
        <f t="shared" si="26"/>
        <v>0</v>
      </c>
      <c r="DT80" s="6">
        <f t="shared" si="27"/>
        <v>6759</v>
      </c>
      <c r="DU80" s="6"/>
      <c r="DV80" s="6"/>
      <c r="DW80" s="6">
        <f t="shared" si="28"/>
        <v>509035</v>
      </c>
      <c r="DY80" s="6">
        <f t="shared" si="29"/>
        <v>269375</v>
      </c>
      <c r="DZ80" s="6">
        <f t="shared" si="30"/>
        <v>0</v>
      </c>
      <c r="EB80" s="6">
        <f t="shared" si="31"/>
        <v>509035</v>
      </c>
      <c r="EC80" s="6"/>
      <c r="ED80" s="6"/>
      <c r="EF80" s="6"/>
      <c r="EG80" s="6"/>
    </row>
    <row r="81" spans="2:137" ht="14">
      <c r="B81" s="4">
        <v>34425</v>
      </c>
      <c r="C81" s="5">
        <v>0</v>
      </c>
      <c r="D81" s="5">
        <v>0</v>
      </c>
      <c r="E81" s="5">
        <v>0</v>
      </c>
      <c r="F81" s="5" t="s">
        <v>82</v>
      </c>
      <c r="G81" s="5" t="s">
        <v>82</v>
      </c>
      <c r="H81" s="5">
        <v>0</v>
      </c>
      <c r="I81" s="5">
        <v>0</v>
      </c>
      <c r="J81" s="5">
        <v>0</v>
      </c>
      <c r="K81" s="5">
        <v>0</v>
      </c>
      <c r="L81" s="5"/>
      <c r="M81" s="5">
        <v>34791</v>
      </c>
      <c r="N81" s="5">
        <v>3266</v>
      </c>
      <c r="O81" s="5"/>
      <c r="P81" s="5">
        <v>7617</v>
      </c>
      <c r="Q81" s="5">
        <v>1292</v>
      </c>
      <c r="R81" s="5">
        <v>1446</v>
      </c>
      <c r="S81" s="5">
        <v>2870</v>
      </c>
      <c r="T81" s="5">
        <v>12016</v>
      </c>
      <c r="U81" s="5"/>
      <c r="V81" s="5"/>
      <c r="W81" s="5">
        <v>8913</v>
      </c>
      <c r="X81" s="5">
        <v>0</v>
      </c>
      <c r="Y81" s="5">
        <v>885</v>
      </c>
      <c r="Z81" s="5">
        <v>30</v>
      </c>
      <c r="AA81" s="155"/>
      <c r="AB81" s="5">
        <v>23</v>
      </c>
      <c r="AC81" s="5">
        <v>0</v>
      </c>
      <c r="AD81" s="5">
        <v>2</v>
      </c>
      <c r="AE81" s="5">
        <v>26</v>
      </c>
      <c r="AF81" s="5">
        <v>5</v>
      </c>
      <c r="AG81" s="5">
        <v>52</v>
      </c>
      <c r="AH81" s="5"/>
      <c r="AI81" s="5"/>
      <c r="AJ81" s="5">
        <v>38</v>
      </c>
      <c r="AK81" s="5">
        <v>0</v>
      </c>
      <c r="AL81" s="5">
        <v>67461</v>
      </c>
      <c r="AM81" s="5">
        <v>3411</v>
      </c>
      <c r="AN81" s="5">
        <v>2385</v>
      </c>
      <c r="AO81" s="5">
        <v>27</v>
      </c>
      <c r="AP81" s="5">
        <v>8</v>
      </c>
      <c r="AQ81" s="5">
        <v>0</v>
      </c>
      <c r="AR81" s="5">
        <v>0</v>
      </c>
      <c r="AS81" s="5">
        <v>1904</v>
      </c>
      <c r="AT81" s="5" t="s">
        <v>82</v>
      </c>
      <c r="AU81" s="5">
        <v>725</v>
      </c>
      <c r="AV81" s="5">
        <v>1149</v>
      </c>
      <c r="AW81" s="5">
        <v>1704</v>
      </c>
      <c r="AX81" s="5">
        <v>6053</v>
      </c>
      <c r="AY81" s="155"/>
      <c r="AZ81" s="155"/>
      <c r="BA81" s="155">
        <v>0</v>
      </c>
      <c r="BB81" s="155"/>
      <c r="BC81" s="5">
        <v>1487</v>
      </c>
      <c r="BD81" s="5"/>
      <c r="BE81" s="5">
        <v>59957</v>
      </c>
      <c r="BF81" s="5">
        <v>130051</v>
      </c>
      <c r="BG81" s="5">
        <v>274</v>
      </c>
      <c r="BH81" s="5">
        <v>1132</v>
      </c>
      <c r="BI81" s="5">
        <v>1345</v>
      </c>
      <c r="BJ81" s="5">
        <v>3632</v>
      </c>
      <c r="BK81" s="5">
        <v>219</v>
      </c>
      <c r="BL81" s="5">
        <v>2697</v>
      </c>
      <c r="BM81" s="5"/>
      <c r="BN81" s="5">
        <v>488</v>
      </c>
      <c r="BO81" s="5">
        <v>113</v>
      </c>
      <c r="BP81" s="5">
        <v>0</v>
      </c>
      <c r="BQ81" s="5">
        <v>7368</v>
      </c>
      <c r="BR81" s="5">
        <v>12388</v>
      </c>
      <c r="BS81" s="5">
        <v>33</v>
      </c>
      <c r="BT81" s="5">
        <v>719</v>
      </c>
      <c r="BU81" s="5">
        <v>854</v>
      </c>
      <c r="BV81" s="5"/>
      <c r="BW81" s="5">
        <v>14</v>
      </c>
      <c r="BX81" s="5">
        <v>275</v>
      </c>
      <c r="BY81" s="5"/>
      <c r="BZ81" s="5">
        <v>1991</v>
      </c>
      <c r="CA81" s="5">
        <v>3</v>
      </c>
      <c r="CB81" s="5">
        <v>0</v>
      </c>
      <c r="CC81" s="5">
        <v>13232</v>
      </c>
      <c r="CD81" s="5">
        <v>58125</v>
      </c>
      <c r="CE81" s="5">
        <v>49649</v>
      </c>
      <c r="CF81" s="5">
        <v>13276</v>
      </c>
      <c r="CG81" s="5">
        <v>0</v>
      </c>
      <c r="CH81" s="5">
        <v>0</v>
      </c>
      <c r="CI81" s="5">
        <v>13</v>
      </c>
      <c r="CJ81" s="5">
        <v>220</v>
      </c>
      <c r="CK81" s="5">
        <v>189</v>
      </c>
      <c r="CL81" s="5"/>
      <c r="CM81" s="5"/>
      <c r="CN81" s="5"/>
      <c r="CO81" s="5"/>
      <c r="CP81" s="5"/>
      <c r="CQ81" s="5"/>
      <c r="CR81" s="5"/>
      <c r="CS81" s="5"/>
      <c r="CT81" s="5" t="s">
        <v>82</v>
      </c>
      <c r="CU81" s="5" t="s">
        <v>82</v>
      </c>
      <c r="CV81" s="5" t="s">
        <v>82</v>
      </c>
      <c r="CW81" s="5">
        <v>0</v>
      </c>
      <c r="CX81" s="5">
        <v>0</v>
      </c>
      <c r="CY81" s="5">
        <v>0</v>
      </c>
      <c r="DA81" s="6"/>
      <c r="DD81" s="6">
        <f t="shared" si="19"/>
        <v>358257</v>
      </c>
      <c r="DE81" s="6">
        <f t="shared" si="20"/>
        <v>159586</v>
      </c>
      <c r="DF81" s="16">
        <f t="shared" si="21"/>
        <v>517843</v>
      </c>
      <c r="DK81" s="6">
        <f t="shared" si="22"/>
        <v>60195</v>
      </c>
      <c r="DL81" s="6">
        <f t="shared" si="23"/>
        <v>78877</v>
      </c>
      <c r="DM81" s="6">
        <f t="shared" si="17"/>
        <v>12016</v>
      </c>
      <c r="DN81" s="6">
        <f t="shared" si="18"/>
        <v>8498</v>
      </c>
      <c r="DO81" s="6">
        <f t="shared" si="24"/>
        <v>268470</v>
      </c>
      <c r="DP81" s="6">
        <f t="shared" si="32"/>
        <v>69664</v>
      </c>
      <c r="DQ81" s="6"/>
      <c r="DR81" s="6">
        <f t="shared" si="25"/>
        <v>13245</v>
      </c>
      <c r="DS81" s="6">
        <f t="shared" si="26"/>
        <v>0</v>
      </c>
      <c r="DT81" s="6">
        <f t="shared" si="27"/>
        <v>6878</v>
      </c>
      <c r="DU81" s="6"/>
      <c r="DV81" s="6"/>
      <c r="DW81" s="6">
        <f t="shared" si="28"/>
        <v>517843</v>
      </c>
      <c r="DY81" s="6">
        <f t="shared" si="29"/>
        <v>275348</v>
      </c>
      <c r="DZ81" s="6">
        <f t="shared" si="30"/>
        <v>0</v>
      </c>
      <c r="EB81" s="6">
        <f t="shared" si="31"/>
        <v>517843</v>
      </c>
      <c r="EC81" s="6"/>
      <c r="ED81" s="6"/>
      <c r="EF81" s="6"/>
      <c r="EG81" s="6"/>
    </row>
    <row r="82" spans="2:137" ht="14">
      <c r="B82" s="4">
        <v>34455</v>
      </c>
      <c r="C82" s="5">
        <v>0</v>
      </c>
      <c r="D82" s="5">
        <v>0</v>
      </c>
      <c r="E82" s="5">
        <v>0</v>
      </c>
      <c r="F82" s="5" t="s">
        <v>82</v>
      </c>
      <c r="G82" s="5" t="s">
        <v>82</v>
      </c>
      <c r="H82" s="5">
        <v>0</v>
      </c>
      <c r="I82" s="5">
        <v>0</v>
      </c>
      <c r="J82" s="5">
        <v>0</v>
      </c>
      <c r="K82" s="5">
        <v>0</v>
      </c>
      <c r="L82" s="5"/>
      <c r="M82" s="5">
        <v>34717</v>
      </c>
      <c r="N82" s="5">
        <v>3340</v>
      </c>
      <c r="O82" s="5"/>
      <c r="P82" s="5">
        <v>7662</v>
      </c>
      <c r="Q82" s="5">
        <v>1296</v>
      </c>
      <c r="R82" s="5">
        <v>1444</v>
      </c>
      <c r="S82" s="5">
        <v>2892</v>
      </c>
      <c r="T82" s="5">
        <v>12189</v>
      </c>
      <c r="U82" s="5"/>
      <c r="V82" s="5"/>
      <c r="W82" s="5">
        <v>8958</v>
      </c>
      <c r="X82" s="5">
        <v>0</v>
      </c>
      <c r="Y82" s="5">
        <v>884</v>
      </c>
      <c r="Z82" s="5">
        <v>32</v>
      </c>
      <c r="AA82" s="155"/>
      <c r="AB82" s="5">
        <v>26</v>
      </c>
      <c r="AC82" s="5">
        <v>0</v>
      </c>
      <c r="AD82" s="5">
        <v>3</v>
      </c>
      <c r="AE82" s="5">
        <v>23</v>
      </c>
      <c r="AF82" s="5">
        <v>5</v>
      </c>
      <c r="AG82" s="5">
        <v>58</v>
      </c>
      <c r="AH82" s="5"/>
      <c r="AI82" s="5"/>
      <c r="AJ82" s="5">
        <v>36</v>
      </c>
      <c r="AK82" s="5">
        <v>0</v>
      </c>
      <c r="AL82" s="5">
        <v>67988</v>
      </c>
      <c r="AM82" s="5">
        <v>3399</v>
      </c>
      <c r="AN82" s="5">
        <v>2435</v>
      </c>
      <c r="AO82" s="5">
        <v>30</v>
      </c>
      <c r="AP82" s="5">
        <v>9</v>
      </c>
      <c r="AQ82" s="5">
        <v>0</v>
      </c>
      <c r="AR82" s="5">
        <v>0</v>
      </c>
      <c r="AS82" s="5">
        <v>1921</v>
      </c>
      <c r="AT82" s="5" t="s">
        <v>82</v>
      </c>
      <c r="AU82" s="5">
        <v>725</v>
      </c>
      <c r="AV82" s="5">
        <v>1156</v>
      </c>
      <c r="AW82" s="5">
        <v>1712</v>
      </c>
      <c r="AX82" s="5">
        <v>6174</v>
      </c>
      <c r="AY82" s="155"/>
      <c r="AZ82" s="155"/>
      <c r="BA82" s="155">
        <v>0</v>
      </c>
      <c r="BB82" s="155"/>
      <c r="BC82" s="5">
        <v>1493</v>
      </c>
      <c r="BD82" s="5"/>
      <c r="BE82" s="5">
        <v>59614</v>
      </c>
      <c r="BF82" s="5">
        <v>129664</v>
      </c>
      <c r="BG82" s="5">
        <v>280</v>
      </c>
      <c r="BH82" s="5">
        <v>1012</v>
      </c>
      <c r="BI82" s="5">
        <v>1245</v>
      </c>
      <c r="BJ82" s="5">
        <v>3671</v>
      </c>
      <c r="BK82" s="5">
        <v>205</v>
      </c>
      <c r="BL82" s="5">
        <v>2683</v>
      </c>
      <c r="BM82" s="5"/>
      <c r="BN82" s="5">
        <v>461</v>
      </c>
      <c r="BO82" s="5">
        <v>111</v>
      </c>
      <c r="BP82" s="5">
        <v>0</v>
      </c>
      <c r="BQ82" s="5">
        <v>7339</v>
      </c>
      <c r="BR82" s="5">
        <v>12258</v>
      </c>
      <c r="BS82" s="5">
        <v>34</v>
      </c>
      <c r="BT82" s="5">
        <v>726</v>
      </c>
      <c r="BU82" s="5">
        <v>864</v>
      </c>
      <c r="BV82" s="5"/>
      <c r="BW82" s="5">
        <v>12</v>
      </c>
      <c r="BX82" s="5">
        <v>272</v>
      </c>
      <c r="BY82" s="5"/>
      <c r="BZ82" s="5">
        <v>1812</v>
      </c>
      <c r="CA82" s="5">
        <v>2</v>
      </c>
      <c r="CB82" s="5">
        <v>0</v>
      </c>
      <c r="CC82" s="5">
        <v>13306</v>
      </c>
      <c r="CD82" s="5">
        <v>58390</v>
      </c>
      <c r="CE82" s="5">
        <v>51251</v>
      </c>
      <c r="CF82" s="5">
        <v>13226</v>
      </c>
      <c r="CG82" s="5">
        <v>0</v>
      </c>
      <c r="CH82" s="5">
        <v>0</v>
      </c>
      <c r="CI82" s="5">
        <v>13</v>
      </c>
      <c r="CJ82" s="5">
        <v>210</v>
      </c>
      <c r="CK82" s="5">
        <v>190</v>
      </c>
      <c r="CL82" s="5"/>
      <c r="CM82" s="5"/>
      <c r="CN82" s="5"/>
      <c r="CO82" s="5"/>
      <c r="CP82" s="5"/>
      <c r="CQ82" s="5"/>
      <c r="CR82" s="5"/>
      <c r="CS82" s="5"/>
      <c r="CT82" s="5" t="s">
        <v>82</v>
      </c>
      <c r="CU82" s="5" t="s">
        <v>82</v>
      </c>
      <c r="CV82" s="5" t="s">
        <v>82</v>
      </c>
      <c r="CW82" s="5">
        <v>0</v>
      </c>
      <c r="CX82" s="5">
        <v>0</v>
      </c>
      <c r="CY82" s="5">
        <v>0</v>
      </c>
      <c r="DA82" s="6"/>
      <c r="DD82" s="6">
        <f t="shared" si="19"/>
        <v>358851</v>
      </c>
      <c r="DE82" s="6">
        <f t="shared" si="20"/>
        <v>160607</v>
      </c>
      <c r="DF82" s="16">
        <f t="shared" si="21"/>
        <v>519458</v>
      </c>
      <c r="DK82" s="6">
        <f t="shared" si="22"/>
        <v>60309</v>
      </c>
      <c r="DL82" s="6">
        <f t="shared" si="23"/>
        <v>79433</v>
      </c>
      <c r="DM82" s="6">
        <f t="shared" si="17"/>
        <v>12189</v>
      </c>
      <c r="DN82" s="6">
        <f t="shared" si="18"/>
        <v>8676</v>
      </c>
      <c r="DO82" s="6">
        <f t="shared" si="24"/>
        <v>269474</v>
      </c>
      <c r="DP82" s="6">
        <f t="shared" si="32"/>
        <v>69152</v>
      </c>
      <c r="DQ82" s="6"/>
      <c r="DR82" s="6">
        <f t="shared" si="25"/>
        <v>13319</v>
      </c>
      <c r="DS82" s="6">
        <f t="shared" si="26"/>
        <v>0</v>
      </c>
      <c r="DT82" s="6">
        <f t="shared" si="27"/>
        <v>6906</v>
      </c>
      <c r="DU82" s="6"/>
      <c r="DV82" s="6"/>
      <c r="DW82" s="6">
        <f t="shared" si="28"/>
        <v>519458</v>
      </c>
      <c r="DY82" s="6">
        <f t="shared" si="29"/>
        <v>276380</v>
      </c>
      <c r="DZ82" s="6">
        <f t="shared" si="30"/>
        <v>0</v>
      </c>
      <c r="EB82" s="6">
        <f t="shared" si="31"/>
        <v>519458</v>
      </c>
      <c r="EC82" s="6"/>
      <c r="ED82" s="6"/>
      <c r="EF82" s="6"/>
      <c r="EG82" s="6"/>
    </row>
    <row r="83" spans="2:137" ht="14">
      <c r="B83" s="4">
        <v>34486</v>
      </c>
      <c r="C83" s="5">
        <v>0</v>
      </c>
      <c r="D83" s="5">
        <v>0</v>
      </c>
      <c r="E83" s="5">
        <v>0</v>
      </c>
      <c r="F83" s="5" t="s">
        <v>82</v>
      </c>
      <c r="G83" s="5" t="s">
        <v>82</v>
      </c>
      <c r="H83" s="5">
        <v>0</v>
      </c>
      <c r="I83" s="5">
        <v>0</v>
      </c>
      <c r="J83" s="5">
        <v>0</v>
      </c>
      <c r="K83" s="5">
        <v>0</v>
      </c>
      <c r="L83" s="5"/>
      <c r="M83" s="5">
        <v>34694</v>
      </c>
      <c r="N83" s="5">
        <v>3335</v>
      </c>
      <c r="O83" s="5"/>
      <c r="P83" s="5">
        <v>7734</v>
      </c>
      <c r="Q83" s="5">
        <v>1301</v>
      </c>
      <c r="R83" s="5">
        <v>1449</v>
      </c>
      <c r="S83" s="5">
        <v>2955</v>
      </c>
      <c r="T83" s="5">
        <v>12300</v>
      </c>
      <c r="U83" s="5"/>
      <c r="V83" s="5"/>
      <c r="W83" s="5">
        <v>8981</v>
      </c>
      <c r="X83" s="5">
        <v>0</v>
      </c>
      <c r="Y83" s="5">
        <v>885</v>
      </c>
      <c r="Z83" s="5">
        <v>33</v>
      </c>
      <c r="AA83" s="155"/>
      <c r="AB83" s="5">
        <v>26</v>
      </c>
      <c r="AC83" s="5">
        <v>0</v>
      </c>
      <c r="AD83" s="5">
        <v>2</v>
      </c>
      <c r="AE83" s="5">
        <v>24</v>
      </c>
      <c r="AF83" s="5">
        <v>5</v>
      </c>
      <c r="AG83" s="5">
        <v>56</v>
      </c>
      <c r="AH83" s="5"/>
      <c r="AI83" s="5"/>
      <c r="AJ83" s="5">
        <v>36</v>
      </c>
      <c r="AK83" s="5">
        <v>0</v>
      </c>
      <c r="AL83" s="5">
        <v>68397</v>
      </c>
      <c r="AM83" s="5">
        <v>3420</v>
      </c>
      <c r="AN83" s="5">
        <v>2498</v>
      </c>
      <c r="AO83" s="5">
        <v>35</v>
      </c>
      <c r="AP83" s="5">
        <v>10</v>
      </c>
      <c r="AQ83" s="5">
        <v>0</v>
      </c>
      <c r="AR83" s="5">
        <v>0</v>
      </c>
      <c r="AS83" s="5">
        <v>1994</v>
      </c>
      <c r="AT83" s="5" t="s">
        <v>82</v>
      </c>
      <c r="AU83" s="5">
        <v>735</v>
      </c>
      <c r="AV83" s="5">
        <v>1163</v>
      </c>
      <c r="AW83" s="5">
        <v>1725</v>
      </c>
      <c r="AX83" s="5">
        <v>6245</v>
      </c>
      <c r="AY83" s="155"/>
      <c r="AZ83" s="155"/>
      <c r="BA83" s="155">
        <v>0</v>
      </c>
      <c r="BB83" s="155"/>
      <c r="BC83" s="5">
        <v>1519</v>
      </c>
      <c r="BD83" s="5"/>
      <c r="BE83" s="5">
        <v>58807</v>
      </c>
      <c r="BF83" s="5">
        <v>128687</v>
      </c>
      <c r="BG83" s="5">
        <v>275</v>
      </c>
      <c r="BH83" s="5">
        <v>929</v>
      </c>
      <c r="BI83" s="5">
        <v>1161</v>
      </c>
      <c r="BJ83" s="5">
        <v>3761</v>
      </c>
      <c r="BK83" s="5">
        <v>147</v>
      </c>
      <c r="BL83" s="5">
        <v>2700</v>
      </c>
      <c r="BM83" s="5"/>
      <c r="BN83" s="5">
        <v>492</v>
      </c>
      <c r="BO83" s="5">
        <v>109</v>
      </c>
      <c r="BP83" s="5">
        <v>0</v>
      </c>
      <c r="BQ83" s="5">
        <v>7544</v>
      </c>
      <c r="BR83" s="5">
        <v>12558</v>
      </c>
      <c r="BS83" s="5">
        <v>32</v>
      </c>
      <c r="BT83" s="5">
        <v>655</v>
      </c>
      <c r="BU83" s="5">
        <v>813</v>
      </c>
      <c r="BV83" s="5"/>
      <c r="BW83" s="5">
        <v>13</v>
      </c>
      <c r="BX83" s="5">
        <v>273</v>
      </c>
      <c r="BY83" s="5"/>
      <c r="BZ83" s="5">
        <v>1664</v>
      </c>
      <c r="CA83" s="5">
        <v>2</v>
      </c>
      <c r="CB83" s="5">
        <v>0</v>
      </c>
      <c r="CC83" s="5">
        <v>13174</v>
      </c>
      <c r="CD83" s="5">
        <v>58534</v>
      </c>
      <c r="CE83" s="5">
        <v>52932</v>
      </c>
      <c r="CF83" s="5">
        <v>13189</v>
      </c>
      <c r="CG83" s="5">
        <v>0</v>
      </c>
      <c r="CH83" s="5">
        <v>0</v>
      </c>
      <c r="CI83" s="5">
        <v>11</v>
      </c>
      <c r="CJ83" s="5">
        <v>193</v>
      </c>
      <c r="CK83" s="5">
        <v>176</v>
      </c>
      <c r="CL83" s="5"/>
      <c r="CM83" s="5"/>
      <c r="CN83" s="5"/>
      <c r="CO83" s="5"/>
      <c r="CP83" s="5"/>
      <c r="CQ83" s="5"/>
      <c r="CR83" s="5"/>
      <c r="CS83" s="5"/>
      <c r="CT83" s="5" t="s">
        <v>82</v>
      </c>
      <c r="CU83" s="5" t="s">
        <v>82</v>
      </c>
      <c r="CV83" s="5" t="s">
        <v>82</v>
      </c>
      <c r="CW83" s="5">
        <v>0</v>
      </c>
      <c r="CX83" s="5">
        <v>0</v>
      </c>
      <c r="CY83" s="5">
        <v>0</v>
      </c>
      <c r="DA83" s="6"/>
      <c r="DD83" s="6">
        <f t="shared" si="19"/>
        <v>358831</v>
      </c>
      <c r="DE83" s="6">
        <f t="shared" si="20"/>
        <v>161557</v>
      </c>
      <c r="DF83" s="16">
        <f t="shared" si="21"/>
        <v>520388</v>
      </c>
      <c r="DK83" s="6">
        <f t="shared" si="22"/>
        <v>60449</v>
      </c>
      <c r="DL83" s="6">
        <f t="shared" si="23"/>
        <v>79999</v>
      </c>
      <c r="DM83" s="6">
        <f t="shared" si="17"/>
        <v>12300</v>
      </c>
      <c r="DN83" s="6">
        <f t="shared" si="18"/>
        <v>8809</v>
      </c>
      <c r="DO83" s="6">
        <f t="shared" si="24"/>
        <v>270210</v>
      </c>
      <c r="DP83" s="6">
        <f t="shared" si="32"/>
        <v>68427</v>
      </c>
      <c r="DQ83" s="6"/>
      <c r="DR83" s="6">
        <f t="shared" si="25"/>
        <v>13185</v>
      </c>
      <c r="DS83" s="6">
        <f t="shared" si="26"/>
        <v>0</v>
      </c>
      <c r="DT83" s="6">
        <f t="shared" si="27"/>
        <v>7009</v>
      </c>
      <c r="DU83" s="6"/>
      <c r="DV83" s="6"/>
      <c r="DW83" s="6">
        <f t="shared" si="28"/>
        <v>520388</v>
      </c>
      <c r="DY83" s="6">
        <f t="shared" si="29"/>
        <v>277219</v>
      </c>
      <c r="DZ83" s="6">
        <f t="shared" si="30"/>
        <v>0</v>
      </c>
      <c r="EB83" s="6">
        <f t="shared" si="31"/>
        <v>520388</v>
      </c>
      <c r="EC83" s="6"/>
      <c r="ED83" s="6"/>
      <c r="EF83" s="6"/>
      <c r="EG83" s="6"/>
    </row>
    <row r="84" spans="2:137" ht="14">
      <c r="B84" s="4">
        <v>34516</v>
      </c>
      <c r="C84" s="5">
        <v>0</v>
      </c>
      <c r="D84" s="5">
        <v>0</v>
      </c>
      <c r="E84" s="5">
        <v>0</v>
      </c>
      <c r="F84" s="5" t="s">
        <v>82</v>
      </c>
      <c r="G84" s="5" t="s">
        <v>82</v>
      </c>
      <c r="H84" s="5">
        <v>0</v>
      </c>
      <c r="I84" s="5">
        <v>0</v>
      </c>
      <c r="J84" s="5">
        <v>0</v>
      </c>
      <c r="K84" s="5">
        <v>0</v>
      </c>
      <c r="L84" s="5"/>
      <c r="M84" s="5">
        <v>34713</v>
      </c>
      <c r="N84" s="5">
        <v>3375</v>
      </c>
      <c r="O84" s="5"/>
      <c r="P84" s="5">
        <v>7808</v>
      </c>
      <c r="Q84" s="5">
        <v>1304</v>
      </c>
      <c r="R84" s="5">
        <v>1443</v>
      </c>
      <c r="S84" s="5">
        <v>2979</v>
      </c>
      <c r="T84" s="5">
        <v>12451</v>
      </c>
      <c r="U84" s="5"/>
      <c r="V84" s="5"/>
      <c r="W84" s="5">
        <v>9043</v>
      </c>
      <c r="X84" s="5">
        <v>0</v>
      </c>
      <c r="Y84" s="5">
        <v>880</v>
      </c>
      <c r="Z84" s="5">
        <v>34</v>
      </c>
      <c r="AA84" s="155"/>
      <c r="AB84" s="5">
        <v>25</v>
      </c>
      <c r="AC84" s="5">
        <v>0</v>
      </c>
      <c r="AD84" s="5">
        <v>3</v>
      </c>
      <c r="AE84" s="5">
        <v>23</v>
      </c>
      <c r="AF84" s="5">
        <v>6</v>
      </c>
      <c r="AG84" s="5">
        <v>52</v>
      </c>
      <c r="AH84" s="5"/>
      <c r="AI84" s="5"/>
      <c r="AJ84" s="5">
        <v>36</v>
      </c>
      <c r="AK84" s="5">
        <v>0</v>
      </c>
      <c r="AL84" s="5">
        <v>68998</v>
      </c>
      <c r="AM84" s="5">
        <v>3441</v>
      </c>
      <c r="AN84" s="5">
        <v>2584</v>
      </c>
      <c r="AO84" s="5">
        <v>38</v>
      </c>
      <c r="AP84" s="5">
        <v>9</v>
      </c>
      <c r="AQ84" s="5">
        <v>0</v>
      </c>
      <c r="AR84" s="5">
        <v>0</v>
      </c>
      <c r="AS84" s="5">
        <v>2038</v>
      </c>
      <c r="AT84" s="5" t="s">
        <v>82</v>
      </c>
      <c r="AU84" s="5">
        <v>750</v>
      </c>
      <c r="AV84" s="5">
        <v>1170</v>
      </c>
      <c r="AW84" s="5">
        <v>1743</v>
      </c>
      <c r="AX84" s="5">
        <v>6335</v>
      </c>
      <c r="AY84" s="155"/>
      <c r="AZ84" s="155"/>
      <c r="BA84" s="155">
        <v>0</v>
      </c>
      <c r="BB84" s="155"/>
      <c r="BC84" s="5">
        <v>1525</v>
      </c>
      <c r="BD84" s="5"/>
      <c r="BE84" s="5">
        <v>58341</v>
      </c>
      <c r="BF84" s="5">
        <v>127900</v>
      </c>
      <c r="BG84" s="5">
        <v>261</v>
      </c>
      <c r="BH84" s="5">
        <v>868</v>
      </c>
      <c r="BI84" s="5">
        <v>1079</v>
      </c>
      <c r="BJ84" s="5">
        <v>3792</v>
      </c>
      <c r="BK84" s="5">
        <v>141</v>
      </c>
      <c r="BL84" s="5">
        <v>2737</v>
      </c>
      <c r="BM84" s="5"/>
      <c r="BN84" s="5">
        <v>510</v>
      </c>
      <c r="BO84" s="5">
        <v>108</v>
      </c>
      <c r="BP84" s="5">
        <v>0</v>
      </c>
      <c r="BQ84" s="5">
        <v>7845</v>
      </c>
      <c r="BR84" s="5">
        <v>12851</v>
      </c>
      <c r="BS84" s="5">
        <v>32</v>
      </c>
      <c r="BT84" s="5">
        <v>647</v>
      </c>
      <c r="BU84" s="5">
        <v>790</v>
      </c>
      <c r="BV84" s="5"/>
      <c r="BW84" s="5">
        <v>16</v>
      </c>
      <c r="BX84" s="5">
        <v>280</v>
      </c>
      <c r="BY84" s="5"/>
      <c r="BZ84" s="5">
        <v>1539</v>
      </c>
      <c r="CA84" s="5">
        <v>2</v>
      </c>
      <c r="CB84" s="5">
        <v>0</v>
      </c>
      <c r="CC84" s="5">
        <v>13336</v>
      </c>
      <c r="CD84" s="5">
        <v>59017</v>
      </c>
      <c r="CE84" s="5">
        <v>54394</v>
      </c>
      <c r="CF84" s="5">
        <v>13206</v>
      </c>
      <c r="CG84" s="5">
        <v>0</v>
      </c>
      <c r="CH84" s="5">
        <v>0</v>
      </c>
      <c r="CI84" s="5">
        <v>12</v>
      </c>
      <c r="CJ84" s="5">
        <v>191</v>
      </c>
      <c r="CK84" s="5">
        <v>179</v>
      </c>
      <c r="CL84" s="5"/>
      <c r="CM84" s="5"/>
      <c r="CN84" s="5"/>
      <c r="CO84" s="5"/>
      <c r="CP84" s="5"/>
      <c r="CQ84" s="5"/>
      <c r="CR84" s="5"/>
      <c r="CS84" s="5"/>
      <c r="CT84" s="5" t="s">
        <v>82</v>
      </c>
      <c r="CU84" s="5" t="s">
        <v>82</v>
      </c>
      <c r="CV84" s="5" t="s">
        <v>82</v>
      </c>
      <c r="CW84" s="5">
        <v>0</v>
      </c>
      <c r="CX84" s="5">
        <v>0</v>
      </c>
      <c r="CY84" s="5">
        <v>0</v>
      </c>
      <c r="DA84" s="6"/>
      <c r="DD84" s="6">
        <f t="shared" si="19"/>
        <v>360074</v>
      </c>
      <c r="DE84" s="6">
        <f t="shared" si="20"/>
        <v>162806</v>
      </c>
      <c r="DF84" s="16">
        <f t="shared" si="21"/>
        <v>522880</v>
      </c>
      <c r="DK84" s="6">
        <f t="shared" si="22"/>
        <v>60665</v>
      </c>
      <c r="DL84" s="6">
        <f t="shared" si="23"/>
        <v>80710</v>
      </c>
      <c r="DM84" s="6">
        <f t="shared" si="17"/>
        <v>12451</v>
      </c>
      <c r="DN84" s="6">
        <f t="shared" si="18"/>
        <v>8980</v>
      </c>
      <c r="DO84" s="6">
        <f t="shared" si="24"/>
        <v>271445</v>
      </c>
      <c r="DP84" s="6">
        <f t="shared" si="32"/>
        <v>68211</v>
      </c>
      <c r="DQ84" s="6"/>
      <c r="DR84" s="6">
        <f t="shared" si="25"/>
        <v>13348</v>
      </c>
      <c r="DS84" s="6">
        <f t="shared" si="26"/>
        <v>0</v>
      </c>
      <c r="DT84" s="6">
        <f t="shared" si="27"/>
        <v>7070</v>
      </c>
      <c r="DU84" s="6"/>
      <c r="DV84" s="6"/>
      <c r="DW84" s="6">
        <f t="shared" si="28"/>
        <v>522880</v>
      </c>
      <c r="DY84" s="6">
        <f t="shared" si="29"/>
        <v>278515</v>
      </c>
      <c r="DZ84" s="6">
        <f t="shared" si="30"/>
        <v>0</v>
      </c>
      <c r="EB84" s="6">
        <f t="shared" si="31"/>
        <v>522880</v>
      </c>
      <c r="EC84" s="6"/>
      <c r="ED84" s="6"/>
      <c r="EF84" s="6"/>
      <c r="EG84" s="6"/>
    </row>
    <row r="85" spans="2:137" ht="14">
      <c r="B85" s="4">
        <v>34547</v>
      </c>
      <c r="C85" s="5">
        <v>0</v>
      </c>
      <c r="D85" s="5">
        <v>0</v>
      </c>
      <c r="E85" s="5">
        <v>0</v>
      </c>
      <c r="F85" s="5" t="s">
        <v>82</v>
      </c>
      <c r="G85" s="5" t="s">
        <v>82</v>
      </c>
      <c r="H85" s="5">
        <v>0</v>
      </c>
      <c r="I85" s="5">
        <v>0</v>
      </c>
      <c r="J85" s="5">
        <v>0</v>
      </c>
      <c r="K85" s="5">
        <v>0</v>
      </c>
      <c r="L85" s="5"/>
      <c r="M85" s="5">
        <v>34733</v>
      </c>
      <c r="N85" s="5">
        <v>3420</v>
      </c>
      <c r="O85" s="5"/>
      <c r="P85" s="5">
        <v>7873</v>
      </c>
      <c r="Q85" s="5">
        <v>1350</v>
      </c>
      <c r="R85" s="5">
        <v>1447</v>
      </c>
      <c r="S85" s="5">
        <v>3122</v>
      </c>
      <c r="T85" s="5">
        <v>12545</v>
      </c>
      <c r="U85" s="5"/>
      <c r="V85" s="5"/>
      <c r="W85" s="5">
        <v>8790</v>
      </c>
      <c r="X85" s="5">
        <v>0</v>
      </c>
      <c r="Y85" s="5">
        <v>879</v>
      </c>
      <c r="Z85" s="5">
        <v>33</v>
      </c>
      <c r="AA85" s="155"/>
      <c r="AB85" s="5">
        <v>27</v>
      </c>
      <c r="AC85" s="5">
        <v>0</v>
      </c>
      <c r="AD85" s="5">
        <v>4</v>
      </c>
      <c r="AE85" s="5">
        <v>25</v>
      </c>
      <c r="AF85" s="5">
        <v>6</v>
      </c>
      <c r="AG85" s="5">
        <v>53</v>
      </c>
      <c r="AH85" s="5"/>
      <c r="AI85" s="5"/>
      <c r="AJ85" s="5">
        <v>37</v>
      </c>
      <c r="AK85" s="5">
        <v>0</v>
      </c>
      <c r="AL85" s="5">
        <v>69585</v>
      </c>
      <c r="AM85" s="5">
        <v>3434</v>
      </c>
      <c r="AN85" s="5">
        <v>2618</v>
      </c>
      <c r="AO85" s="5">
        <v>43</v>
      </c>
      <c r="AP85" s="5">
        <v>5</v>
      </c>
      <c r="AQ85" s="5">
        <v>0</v>
      </c>
      <c r="AR85" s="5">
        <v>0</v>
      </c>
      <c r="AS85" s="5">
        <v>2085</v>
      </c>
      <c r="AT85" s="5" t="s">
        <v>82</v>
      </c>
      <c r="AU85" s="5">
        <v>756</v>
      </c>
      <c r="AV85" s="5">
        <v>1177</v>
      </c>
      <c r="AW85" s="5">
        <v>1767</v>
      </c>
      <c r="AX85" s="5">
        <v>6441</v>
      </c>
      <c r="AY85" s="155"/>
      <c r="AZ85" s="155"/>
      <c r="BA85" s="155">
        <v>0</v>
      </c>
      <c r="BB85" s="155"/>
      <c r="BC85" s="5">
        <v>1361</v>
      </c>
      <c r="BD85" s="5"/>
      <c r="BE85" s="5">
        <v>57953</v>
      </c>
      <c r="BF85" s="5">
        <v>127486</v>
      </c>
      <c r="BG85" s="5">
        <v>255</v>
      </c>
      <c r="BH85" s="5">
        <v>767</v>
      </c>
      <c r="BI85" s="5">
        <v>989</v>
      </c>
      <c r="BJ85" s="5">
        <v>3816</v>
      </c>
      <c r="BK85" s="5">
        <v>131</v>
      </c>
      <c r="BL85" s="5">
        <v>2748</v>
      </c>
      <c r="BM85" s="5"/>
      <c r="BN85" s="5">
        <v>509</v>
      </c>
      <c r="BO85" s="5">
        <v>101</v>
      </c>
      <c r="BP85" s="5">
        <v>0</v>
      </c>
      <c r="BQ85" s="5">
        <v>8090</v>
      </c>
      <c r="BR85" s="5">
        <v>13217</v>
      </c>
      <c r="BS85" s="5">
        <v>32</v>
      </c>
      <c r="BT85" s="5">
        <v>653</v>
      </c>
      <c r="BU85" s="5">
        <v>792</v>
      </c>
      <c r="BV85" s="5"/>
      <c r="BW85" s="5">
        <v>18</v>
      </c>
      <c r="BX85" s="5">
        <v>282</v>
      </c>
      <c r="BY85" s="5"/>
      <c r="BZ85" s="5">
        <v>1473</v>
      </c>
      <c r="CA85" s="5">
        <v>3</v>
      </c>
      <c r="CB85" s="5">
        <v>0</v>
      </c>
      <c r="CC85" s="5">
        <v>13207</v>
      </c>
      <c r="CD85" s="5">
        <v>58756</v>
      </c>
      <c r="CE85" s="5">
        <v>54875</v>
      </c>
      <c r="CF85" s="5">
        <v>13147</v>
      </c>
      <c r="CG85" s="5">
        <v>0</v>
      </c>
      <c r="CH85" s="5">
        <v>0</v>
      </c>
      <c r="CI85" s="5">
        <v>16</v>
      </c>
      <c r="CJ85" s="5">
        <v>192</v>
      </c>
      <c r="CK85" s="5">
        <v>176</v>
      </c>
      <c r="CL85" s="5"/>
      <c r="CM85" s="5"/>
      <c r="CN85" s="5"/>
      <c r="CO85" s="5"/>
      <c r="CP85" s="5"/>
      <c r="CQ85" s="5"/>
      <c r="CR85" s="5"/>
      <c r="CS85" s="5"/>
      <c r="CT85" s="5" t="s">
        <v>82</v>
      </c>
      <c r="CU85" s="5" t="s">
        <v>82</v>
      </c>
      <c r="CV85" s="5" t="s">
        <v>82</v>
      </c>
      <c r="CW85" s="5">
        <v>0</v>
      </c>
      <c r="CX85" s="5">
        <v>0</v>
      </c>
      <c r="CY85" s="5">
        <v>0</v>
      </c>
      <c r="DA85" s="6"/>
      <c r="DD85" s="6">
        <f t="shared" si="19"/>
        <v>359684</v>
      </c>
      <c r="DE85" s="6">
        <f t="shared" si="20"/>
        <v>163616</v>
      </c>
      <c r="DF85" s="16">
        <f t="shared" si="21"/>
        <v>523300</v>
      </c>
      <c r="DK85" s="6">
        <f t="shared" si="22"/>
        <v>60735</v>
      </c>
      <c r="DL85" s="6">
        <f t="shared" si="23"/>
        <v>81219</v>
      </c>
      <c r="DM85" s="6">
        <f t="shared" si="17"/>
        <v>12545</v>
      </c>
      <c r="DN85" s="6">
        <f t="shared" si="18"/>
        <v>9117</v>
      </c>
      <c r="DO85" s="6">
        <f t="shared" si="24"/>
        <v>271388</v>
      </c>
      <c r="DP85" s="6">
        <f t="shared" si="32"/>
        <v>67972</v>
      </c>
      <c r="DQ85" s="6"/>
      <c r="DR85" s="6">
        <f t="shared" si="25"/>
        <v>13223</v>
      </c>
      <c r="DS85" s="6">
        <f t="shared" si="26"/>
        <v>0</v>
      </c>
      <c r="DT85" s="6">
        <f t="shared" si="27"/>
        <v>7101</v>
      </c>
      <c r="DU85" s="6"/>
      <c r="DV85" s="6"/>
      <c r="DW85" s="6">
        <f t="shared" si="28"/>
        <v>523300</v>
      </c>
      <c r="DY85" s="6">
        <f t="shared" si="29"/>
        <v>278489</v>
      </c>
      <c r="DZ85" s="6">
        <f t="shared" si="30"/>
        <v>0</v>
      </c>
      <c r="EB85" s="6">
        <f t="shared" si="31"/>
        <v>523300</v>
      </c>
      <c r="EC85" s="6"/>
      <c r="ED85" s="6"/>
      <c r="EF85" s="6"/>
      <c r="EG85" s="6"/>
    </row>
    <row r="86" spans="2:137" ht="14">
      <c r="B86" s="4">
        <v>34578</v>
      </c>
      <c r="C86" s="5">
        <v>0</v>
      </c>
      <c r="D86" s="5">
        <v>0</v>
      </c>
      <c r="E86" s="5">
        <v>0</v>
      </c>
      <c r="F86" s="5" t="s">
        <v>82</v>
      </c>
      <c r="G86" s="5" t="s">
        <v>82</v>
      </c>
      <c r="H86" s="5">
        <v>0</v>
      </c>
      <c r="I86" s="5">
        <v>0</v>
      </c>
      <c r="J86" s="5">
        <v>0</v>
      </c>
      <c r="K86" s="5">
        <v>0</v>
      </c>
      <c r="L86" s="5"/>
      <c r="M86" s="5">
        <v>34745</v>
      </c>
      <c r="N86" s="5">
        <v>3451</v>
      </c>
      <c r="O86" s="5"/>
      <c r="P86" s="5">
        <v>8029</v>
      </c>
      <c r="Q86" s="5">
        <v>1421</v>
      </c>
      <c r="R86" s="5">
        <v>1467</v>
      </c>
      <c r="S86" s="5">
        <v>3164</v>
      </c>
      <c r="T86" s="5">
        <v>12642</v>
      </c>
      <c r="U86" s="5"/>
      <c r="V86" s="5"/>
      <c r="W86" s="5">
        <v>8612</v>
      </c>
      <c r="X86" s="5">
        <v>0</v>
      </c>
      <c r="Y86" s="5">
        <v>869</v>
      </c>
      <c r="Z86" s="5">
        <v>31</v>
      </c>
      <c r="AA86" s="155"/>
      <c r="AB86" s="5">
        <v>26</v>
      </c>
      <c r="AC86" s="5">
        <v>0</v>
      </c>
      <c r="AD86" s="5">
        <v>6</v>
      </c>
      <c r="AE86" s="5">
        <v>27</v>
      </c>
      <c r="AF86" s="5">
        <v>7</v>
      </c>
      <c r="AG86" s="5">
        <v>52</v>
      </c>
      <c r="AH86" s="5"/>
      <c r="AI86" s="5"/>
      <c r="AJ86" s="5">
        <v>38</v>
      </c>
      <c r="AK86" s="5">
        <v>0</v>
      </c>
      <c r="AL86" s="5">
        <v>70094</v>
      </c>
      <c r="AM86" s="5">
        <v>3457</v>
      </c>
      <c r="AN86" s="5">
        <v>2679</v>
      </c>
      <c r="AO86" s="5">
        <v>38</v>
      </c>
      <c r="AP86" s="5">
        <v>3</v>
      </c>
      <c r="AQ86" s="5">
        <v>0</v>
      </c>
      <c r="AR86" s="5">
        <v>0</v>
      </c>
      <c r="AS86" s="5">
        <v>2080</v>
      </c>
      <c r="AT86" s="5" t="s">
        <v>82</v>
      </c>
      <c r="AU86" s="5">
        <v>785</v>
      </c>
      <c r="AV86" s="5">
        <v>1177</v>
      </c>
      <c r="AW86" s="5">
        <v>1770</v>
      </c>
      <c r="AX86" s="5">
        <v>6567</v>
      </c>
      <c r="AY86" s="155"/>
      <c r="AZ86" s="155"/>
      <c r="BA86" s="155">
        <v>0</v>
      </c>
      <c r="BB86" s="155"/>
      <c r="BC86" s="5">
        <v>1354</v>
      </c>
      <c r="BD86" s="5"/>
      <c r="BE86" s="5">
        <v>57831</v>
      </c>
      <c r="BF86" s="5">
        <v>127179</v>
      </c>
      <c r="BG86" s="5">
        <v>253</v>
      </c>
      <c r="BH86" s="5">
        <v>748</v>
      </c>
      <c r="BI86" s="5">
        <v>937</v>
      </c>
      <c r="BJ86" s="5">
        <v>3843</v>
      </c>
      <c r="BK86" s="5">
        <v>129</v>
      </c>
      <c r="BL86" s="5">
        <v>2766</v>
      </c>
      <c r="BM86" s="5"/>
      <c r="BN86" s="5">
        <v>587</v>
      </c>
      <c r="BO86" s="5">
        <v>95</v>
      </c>
      <c r="BP86" s="5">
        <v>0</v>
      </c>
      <c r="BQ86" s="5">
        <v>8278</v>
      </c>
      <c r="BR86" s="5">
        <v>13545</v>
      </c>
      <c r="BS86" s="5">
        <v>31</v>
      </c>
      <c r="BT86" s="5">
        <v>612</v>
      </c>
      <c r="BU86" s="5">
        <v>746</v>
      </c>
      <c r="BV86" s="5"/>
      <c r="BW86" s="5">
        <v>18</v>
      </c>
      <c r="BX86" s="5">
        <v>276</v>
      </c>
      <c r="BY86" s="5"/>
      <c r="BZ86" s="5">
        <v>1349</v>
      </c>
      <c r="CA86" s="5">
        <v>3</v>
      </c>
      <c r="CB86" s="5">
        <v>0</v>
      </c>
      <c r="CC86" s="5">
        <v>13273</v>
      </c>
      <c r="CD86" s="5">
        <v>58811</v>
      </c>
      <c r="CE86" s="5">
        <v>55733</v>
      </c>
      <c r="CF86" s="5">
        <v>13271</v>
      </c>
      <c r="CG86" s="5">
        <v>0</v>
      </c>
      <c r="CH86" s="5">
        <v>0</v>
      </c>
      <c r="CI86" s="5">
        <v>22</v>
      </c>
      <c r="CJ86" s="5">
        <v>196</v>
      </c>
      <c r="CK86" s="5">
        <v>178</v>
      </c>
      <c r="CL86" s="5"/>
      <c r="CM86" s="5"/>
      <c r="CN86" s="5"/>
      <c r="CO86" s="5"/>
      <c r="CP86" s="5"/>
      <c r="CQ86" s="5"/>
      <c r="CR86" s="5"/>
      <c r="CS86" s="5"/>
      <c r="CT86" s="5" t="s">
        <v>82</v>
      </c>
      <c r="CU86" s="5" t="s">
        <v>82</v>
      </c>
      <c r="CV86" s="5" t="s">
        <v>82</v>
      </c>
      <c r="CW86" s="5">
        <v>0</v>
      </c>
      <c r="CX86" s="5">
        <v>0</v>
      </c>
      <c r="CY86" s="5">
        <v>0</v>
      </c>
      <c r="DA86" s="6"/>
      <c r="DD86" s="6">
        <f t="shared" si="19"/>
        <v>360710</v>
      </c>
      <c r="DE86" s="6">
        <f t="shared" si="20"/>
        <v>164591</v>
      </c>
      <c r="DF86" s="16">
        <f t="shared" si="21"/>
        <v>525301</v>
      </c>
      <c r="DK86" s="6">
        <f t="shared" si="22"/>
        <v>60889</v>
      </c>
      <c r="DL86" s="6">
        <f t="shared" si="23"/>
        <v>81759</v>
      </c>
      <c r="DM86" s="6">
        <f t="shared" si="17"/>
        <v>12642</v>
      </c>
      <c r="DN86" s="6">
        <f t="shared" si="18"/>
        <v>9301</v>
      </c>
      <c r="DO86" s="6">
        <f t="shared" si="24"/>
        <v>272221</v>
      </c>
      <c r="DP86" s="6">
        <f t="shared" si="32"/>
        <v>68056</v>
      </c>
      <c r="DQ86" s="6"/>
      <c r="DR86" s="6">
        <f t="shared" si="25"/>
        <v>13295</v>
      </c>
      <c r="DS86" s="6">
        <f t="shared" si="26"/>
        <v>0</v>
      </c>
      <c r="DT86" s="6">
        <f t="shared" si="27"/>
        <v>7138</v>
      </c>
      <c r="DU86" s="6"/>
      <c r="DV86" s="6"/>
      <c r="DW86" s="6">
        <f t="shared" si="28"/>
        <v>525301</v>
      </c>
      <c r="DY86" s="6">
        <f t="shared" si="29"/>
        <v>279359</v>
      </c>
      <c r="DZ86" s="6">
        <f t="shared" si="30"/>
        <v>0</v>
      </c>
      <c r="EB86" s="6">
        <f t="shared" si="31"/>
        <v>525301</v>
      </c>
      <c r="EC86" s="6"/>
      <c r="ED86" s="6"/>
      <c r="EF86" s="6"/>
      <c r="EG86" s="6"/>
    </row>
    <row r="87" spans="2:137" ht="14">
      <c r="B87" s="4">
        <v>34608</v>
      </c>
      <c r="C87" s="5">
        <v>0</v>
      </c>
      <c r="D87" s="5">
        <v>0</v>
      </c>
      <c r="E87" s="5">
        <v>0</v>
      </c>
      <c r="F87" s="5" t="s">
        <v>82</v>
      </c>
      <c r="G87" s="5" t="s">
        <v>82</v>
      </c>
      <c r="H87" s="5">
        <v>0</v>
      </c>
      <c r="I87" s="5">
        <v>0</v>
      </c>
      <c r="J87" s="5">
        <v>0</v>
      </c>
      <c r="K87" s="5">
        <v>0</v>
      </c>
      <c r="L87" s="5"/>
      <c r="M87" s="5">
        <v>34753</v>
      </c>
      <c r="N87" s="5">
        <v>3450</v>
      </c>
      <c r="O87" s="5"/>
      <c r="P87" s="5">
        <v>8039</v>
      </c>
      <c r="Q87" s="5">
        <v>1487</v>
      </c>
      <c r="R87" s="5">
        <v>1451</v>
      </c>
      <c r="S87" s="5">
        <v>3244</v>
      </c>
      <c r="T87" s="5">
        <v>12732</v>
      </c>
      <c r="U87" s="5"/>
      <c r="V87" s="5"/>
      <c r="W87" s="5">
        <v>8547</v>
      </c>
      <c r="X87" s="5">
        <v>0</v>
      </c>
      <c r="Y87" s="5">
        <v>870</v>
      </c>
      <c r="Z87" s="5">
        <v>30</v>
      </c>
      <c r="AA87" s="155"/>
      <c r="AB87" s="5">
        <v>27</v>
      </c>
      <c r="AC87" s="5">
        <v>0</v>
      </c>
      <c r="AD87" s="5">
        <v>6</v>
      </c>
      <c r="AE87" s="5">
        <v>28</v>
      </c>
      <c r="AF87" s="5">
        <v>7</v>
      </c>
      <c r="AG87" s="5">
        <v>54</v>
      </c>
      <c r="AH87" s="5"/>
      <c r="AI87" s="5"/>
      <c r="AJ87" s="5">
        <v>36</v>
      </c>
      <c r="AK87" s="5">
        <v>0</v>
      </c>
      <c r="AL87" s="5">
        <v>70722</v>
      </c>
      <c r="AM87" s="5">
        <v>3492</v>
      </c>
      <c r="AN87" s="5">
        <v>2778</v>
      </c>
      <c r="AO87" s="5">
        <v>41</v>
      </c>
      <c r="AP87" s="5">
        <v>3</v>
      </c>
      <c r="AQ87" s="5">
        <v>0</v>
      </c>
      <c r="AR87" s="5">
        <v>0</v>
      </c>
      <c r="AS87" s="5">
        <v>2043</v>
      </c>
      <c r="AT87" s="5" t="s">
        <v>82</v>
      </c>
      <c r="AU87" s="5">
        <v>793</v>
      </c>
      <c r="AV87" s="5">
        <v>1200</v>
      </c>
      <c r="AW87" s="5">
        <v>1777</v>
      </c>
      <c r="AX87" s="5">
        <v>6671</v>
      </c>
      <c r="AY87" s="155"/>
      <c r="AZ87" s="155"/>
      <c r="BA87" s="155">
        <v>0</v>
      </c>
      <c r="BB87" s="155"/>
      <c r="BC87" s="5">
        <v>1342</v>
      </c>
      <c r="BD87" s="5"/>
      <c r="BE87" s="5">
        <v>57559</v>
      </c>
      <c r="BF87" s="5">
        <v>126715</v>
      </c>
      <c r="BG87" s="5">
        <v>251</v>
      </c>
      <c r="BH87" s="5">
        <v>728</v>
      </c>
      <c r="BI87" s="5">
        <v>887</v>
      </c>
      <c r="BJ87" s="5">
        <v>3895</v>
      </c>
      <c r="BK87" s="5">
        <v>119</v>
      </c>
      <c r="BL87" s="5">
        <v>2748</v>
      </c>
      <c r="BM87" s="5"/>
      <c r="BN87" s="5">
        <v>648</v>
      </c>
      <c r="BO87" s="5">
        <v>96</v>
      </c>
      <c r="BP87" s="5">
        <v>0</v>
      </c>
      <c r="BQ87" s="5">
        <v>8495</v>
      </c>
      <c r="BR87" s="5">
        <v>13945</v>
      </c>
      <c r="BS87" s="5">
        <v>32</v>
      </c>
      <c r="BT87" s="5">
        <v>600</v>
      </c>
      <c r="BU87" s="5">
        <v>718</v>
      </c>
      <c r="BV87" s="5"/>
      <c r="BW87" s="5">
        <v>18</v>
      </c>
      <c r="BX87" s="5">
        <v>273</v>
      </c>
      <c r="BY87" s="5"/>
      <c r="BZ87" s="5">
        <v>1292</v>
      </c>
      <c r="CA87" s="5">
        <v>2</v>
      </c>
      <c r="CB87" s="5">
        <v>0</v>
      </c>
      <c r="CC87" s="5">
        <v>13182</v>
      </c>
      <c r="CD87" s="5">
        <v>58957</v>
      </c>
      <c r="CE87" s="5">
        <v>56883</v>
      </c>
      <c r="CF87" s="5">
        <v>13447</v>
      </c>
      <c r="CG87" s="5">
        <v>0</v>
      </c>
      <c r="CH87" s="5">
        <v>0</v>
      </c>
      <c r="CI87" s="5">
        <v>21</v>
      </c>
      <c r="CJ87" s="5">
        <v>198</v>
      </c>
      <c r="CK87" s="5">
        <v>203</v>
      </c>
      <c r="CL87" s="5"/>
      <c r="CM87" s="5"/>
      <c r="CN87" s="5"/>
      <c r="CO87" s="5"/>
      <c r="CP87" s="5"/>
      <c r="CQ87" s="5"/>
      <c r="CR87" s="5"/>
      <c r="CS87" s="5"/>
      <c r="CT87" s="5" t="s">
        <v>82</v>
      </c>
      <c r="CU87" s="5" t="s">
        <v>82</v>
      </c>
      <c r="CV87" s="5" t="s">
        <v>82</v>
      </c>
      <c r="CW87" s="5">
        <v>0</v>
      </c>
      <c r="CX87" s="5">
        <v>0</v>
      </c>
      <c r="CY87" s="5">
        <v>0</v>
      </c>
      <c r="DA87" s="6"/>
      <c r="DD87" s="6">
        <f t="shared" si="19"/>
        <v>361912</v>
      </c>
      <c r="DE87" s="6">
        <f t="shared" si="20"/>
        <v>165623</v>
      </c>
      <c r="DF87" s="16">
        <f t="shared" si="21"/>
        <v>527535</v>
      </c>
      <c r="DK87" s="6">
        <f t="shared" si="22"/>
        <v>60971</v>
      </c>
      <c r="DL87" s="6">
        <f t="shared" si="23"/>
        <v>82414</v>
      </c>
      <c r="DM87" s="6">
        <f t="shared" si="17"/>
        <v>12732</v>
      </c>
      <c r="DN87" s="6">
        <f t="shared" si="18"/>
        <v>9506</v>
      </c>
      <c r="DO87" s="6">
        <f t="shared" si="24"/>
        <v>273512</v>
      </c>
      <c r="DP87" s="6">
        <f t="shared" si="32"/>
        <v>68030</v>
      </c>
      <c r="DQ87" s="6"/>
      <c r="DR87" s="6">
        <f t="shared" si="25"/>
        <v>13203</v>
      </c>
      <c r="DS87" s="6">
        <f t="shared" si="26"/>
        <v>0</v>
      </c>
      <c r="DT87" s="6">
        <f t="shared" si="27"/>
        <v>7167</v>
      </c>
      <c r="DU87" s="6"/>
      <c r="DV87" s="6"/>
      <c r="DW87" s="6">
        <f t="shared" si="28"/>
        <v>527535</v>
      </c>
      <c r="DY87" s="6">
        <f t="shared" si="29"/>
        <v>280679</v>
      </c>
      <c r="DZ87" s="6">
        <f t="shared" si="30"/>
        <v>0</v>
      </c>
      <c r="EB87" s="6">
        <f t="shared" si="31"/>
        <v>527535</v>
      </c>
      <c r="EC87" s="6"/>
      <c r="ED87" s="6"/>
      <c r="EF87" s="6"/>
      <c r="EG87" s="6"/>
    </row>
    <row r="88" spans="2:137" ht="14">
      <c r="B88" s="4">
        <v>34639</v>
      </c>
      <c r="C88" s="5">
        <v>0</v>
      </c>
      <c r="D88" s="5">
        <v>0</v>
      </c>
      <c r="E88" s="5">
        <v>0</v>
      </c>
      <c r="F88" s="5" t="s">
        <v>82</v>
      </c>
      <c r="G88" s="5" t="s">
        <v>82</v>
      </c>
      <c r="H88" s="5">
        <v>0</v>
      </c>
      <c r="I88" s="5">
        <v>0</v>
      </c>
      <c r="J88" s="5">
        <v>0</v>
      </c>
      <c r="K88" s="5">
        <v>0</v>
      </c>
      <c r="L88" s="5"/>
      <c r="M88" s="5">
        <v>34699</v>
      </c>
      <c r="N88" s="5">
        <v>3458</v>
      </c>
      <c r="O88" s="5"/>
      <c r="P88" s="5">
        <v>7889</v>
      </c>
      <c r="Q88" s="5">
        <v>1681</v>
      </c>
      <c r="R88" s="5">
        <v>1471</v>
      </c>
      <c r="S88" s="5">
        <v>3460</v>
      </c>
      <c r="T88" s="5">
        <v>12860</v>
      </c>
      <c r="U88" s="5"/>
      <c r="V88" s="5"/>
      <c r="W88" s="5">
        <v>8320</v>
      </c>
      <c r="X88" s="5">
        <v>0</v>
      </c>
      <c r="Y88" s="5">
        <v>858</v>
      </c>
      <c r="Z88" s="5">
        <v>30</v>
      </c>
      <c r="AA88" s="155"/>
      <c r="AB88" s="5">
        <v>26</v>
      </c>
      <c r="AC88" s="5">
        <v>0</v>
      </c>
      <c r="AD88" s="5">
        <v>7</v>
      </c>
      <c r="AE88" s="5">
        <v>28</v>
      </c>
      <c r="AF88" s="5">
        <v>8</v>
      </c>
      <c r="AG88" s="5">
        <v>54</v>
      </c>
      <c r="AH88" s="5"/>
      <c r="AI88" s="5"/>
      <c r="AJ88" s="5">
        <v>34</v>
      </c>
      <c r="AK88" s="5">
        <v>0</v>
      </c>
      <c r="AL88" s="5">
        <v>71207</v>
      </c>
      <c r="AM88" s="5">
        <v>3494</v>
      </c>
      <c r="AN88" s="5">
        <v>2840</v>
      </c>
      <c r="AO88" s="5">
        <v>40</v>
      </c>
      <c r="AP88" s="5">
        <v>1</v>
      </c>
      <c r="AQ88" s="5">
        <v>0</v>
      </c>
      <c r="AR88" s="5">
        <v>0</v>
      </c>
      <c r="AS88" s="5">
        <v>2001</v>
      </c>
      <c r="AT88" s="5" t="s">
        <v>82</v>
      </c>
      <c r="AU88" s="5">
        <v>814</v>
      </c>
      <c r="AV88" s="5">
        <v>1198</v>
      </c>
      <c r="AW88" s="5">
        <v>1789</v>
      </c>
      <c r="AX88" s="5">
        <v>6743</v>
      </c>
      <c r="AY88" s="155"/>
      <c r="AZ88" s="155"/>
      <c r="BA88" s="155">
        <v>0</v>
      </c>
      <c r="BB88" s="155"/>
      <c r="BC88" s="5">
        <v>1320</v>
      </c>
      <c r="BD88" s="5"/>
      <c r="BE88" s="5">
        <v>57125</v>
      </c>
      <c r="BF88" s="5">
        <v>126085</v>
      </c>
      <c r="BG88" s="5">
        <v>251</v>
      </c>
      <c r="BH88" s="5">
        <v>707</v>
      </c>
      <c r="BI88" s="5">
        <v>860</v>
      </c>
      <c r="BJ88" s="5">
        <v>4008</v>
      </c>
      <c r="BK88" s="5">
        <v>109</v>
      </c>
      <c r="BL88" s="5">
        <v>2747</v>
      </c>
      <c r="BM88" s="5"/>
      <c r="BN88" s="5">
        <v>715</v>
      </c>
      <c r="BO88" s="5">
        <v>92</v>
      </c>
      <c r="BP88" s="5">
        <v>0</v>
      </c>
      <c r="BQ88" s="5">
        <v>8658</v>
      </c>
      <c r="BR88" s="5">
        <v>14270</v>
      </c>
      <c r="BS88" s="5">
        <v>32</v>
      </c>
      <c r="BT88" s="5">
        <v>553</v>
      </c>
      <c r="BU88" s="5">
        <v>685</v>
      </c>
      <c r="BV88" s="5"/>
      <c r="BW88" s="5">
        <v>15</v>
      </c>
      <c r="BX88" s="5">
        <v>274</v>
      </c>
      <c r="BY88" s="5"/>
      <c r="BZ88" s="5">
        <v>1250</v>
      </c>
      <c r="CA88" s="5">
        <v>4</v>
      </c>
      <c r="CB88" s="5">
        <v>0</v>
      </c>
      <c r="CC88" s="5">
        <v>13003</v>
      </c>
      <c r="CD88" s="5">
        <v>59294</v>
      </c>
      <c r="CE88" s="5">
        <v>58162</v>
      </c>
      <c r="CF88" s="5">
        <v>13540</v>
      </c>
      <c r="CG88" s="5">
        <v>0</v>
      </c>
      <c r="CH88" s="5">
        <v>0</v>
      </c>
      <c r="CI88" s="5">
        <v>16</v>
      </c>
      <c r="CJ88" s="5">
        <v>185</v>
      </c>
      <c r="CK88" s="5">
        <v>198</v>
      </c>
      <c r="CL88" s="5"/>
      <c r="CM88" s="5"/>
      <c r="CN88" s="5"/>
      <c r="CO88" s="5"/>
      <c r="CP88" s="5"/>
      <c r="CQ88" s="5"/>
      <c r="CR88" s="5"/>
      <c r="CS88" s="5"/>
      <c r="CT88" s="5" t="s">
        <v>82</v>
      </c>
      <c r="CU88" s="5" t="s">
        <v>82</v>
      </c>
      <c r="CV88" s="5" t="s">
        <v>82</v>
      </c>
      <c r="CW88" s="5">
        <v>0</v>
      </c>
      <c r="CX88" s="5">
        <v>0</v>
      </c>
      <c r="CY88" s="5">
        <v>0</v>
      </c>
      <c r="DA88" s="6"/>
      <c r="DD88" s="6">
        <f t="shared" si="19"/>
        <v>362838</v>
      </c>
      <c r="DE88" s="6">
        <f t="shared" si="20"/>
        <v>166330</v>
      </c>
      <c r="DF88" s="16">
        <f t="shared" si="21"/>
        <v>529168</v>
      </c>
      <c r="DK88" s="6">
        <f t="shared" si="22"/>
        <v>60978</v>
      </c>
      <c r="DL88" s="6">
        <f t="shared" si="23"/>
        <v>82854</v>
      </c>
      <c r="DM88" s="6">
        <f t="shared" si="17"/>
        <v>12860</v>
      </c>
      <c r="DN88" s="6">
        <f t="shared" si="18"/>
        <v>9638</v>
      </c>
      <c r="DO88" s="6">
        <f t="shared" si="24"/>
        <v>274781</v>
      </c>
      <c r="DP88" s="6">
        <f t="shared" si="32"/>
        <v>67758</v>
      </c>
      <c r="DQ88" s="6"/>
      <c r="DR88" s="6">
        <f t="shared" si="25"/>
        <v>13019</v>
      </c>
      <c r="DS88" s="6">
        <f t="shared" si="26"/>
        <v>0</v>
      </c>
      <c r="DT88" s="6">
        <f t="shared" si="27"/>
        <v>7280</v>
      </c>
      <c r="DU88" s="6"/>
      <c r="DV88" s="6"/>
      <c r="DW88" s="6">
        <f t="shared" si="28"/>
        <v>529168</v>
      </c>
      <c r="DY88" s="6">
        <f t="shared" si="29"/>
        <v>282061</v>
      </c>
      <c r="DZ88" s="6">
        <f t="shared" si="30"/>
        <v>0</v>
      </c>
      <c r="EB88" s="6">
        <f t="shared" si="31"/>
        <v>529168</v>
      </c>
      <c r="EC88" s="6"/>
      <c r="ED88" s="6"/>
      <c r="EF88" s="6"/>
      <c r="EG88" s="6"/>
    </row>
    <row r="89" spans="2:137" ht="14">
      <c r="B89" s="4">
        <v>34669</v>
      </c>
      <c r="C89" s="5">
        <v>0</v>
      </c>
      <c r="D89" s="5">
        <v>0</v>
      </c>
      <c r="E89" s="5">
        <v>0</v>
      </c>
      <c r="F89" s="5" t="s">
        <v>82</v>
      </c>
      <c r="G89" s="5" t="s">
        <v>82</v>
      </c>
      <c r="H89" s="5">
        <v>0</v>
      </c>
      <c r="I89" s="5">
        <v>0</v>
      </c>
      <c r="J89" s="5">
        <v>0</v>
      </c>
      <c r="K89" s="5">
        <v>0</v>
      </c>
      <c r="L89" s="5"/>
      <c r="M89" s="5">
        <v>34657</v>
      </c>
      <c r="N89" s="5">
        <v>3468</v>
      </c>
      <c r="O89" s="5"/>
      <c r="P89" s="5">
        <v>7853</v>
      </c>
      <c r="Q89" s="5">
        <v>1742</v>
      </c>
      <c r="R89" s="5">
        <v>1490</v>
      </c>
      <c r="S89" s="5">
        <v>3551</v>
      </c>
      <c r="T89" s="5">
        <v>12984</v>
      </c>
      <c r="U89" s="5"/>
      <c r="V89" s="5"/>
      <c r="W89" s="5">
        <v>8213</v>
      </c>
      <c r="X89" s="5">
        <v>0</v>
      </c>
      <c r="Y89" s="5">
        <v>858</v>
      </c>
      <c r="Z89" s="5">
        <v>30</v>
      </c>
      <c r="AA89" s="155"/>
      <c r="AB89" s="5">
        <v>27</v>
      </c>
      <c r="AC89" s="5">
        <v>0</v>
      </c>
      <c r="AD89" s="5">
        <v>6</v>
      </c>
      <c r="AE89" s="5">
        <v>28</v>
      </c>
      <c r="AF89" s="5">
        <v>7</v>
      </c>
      <c r="AG89" s="5">
        <v>52</v>
      </c>
      <c r="AH89" s="5"/>
      <c r="AI89" s="5"/>
      <c r="AJ89" s="5">
        <v>34</v>
      </c>
      <c r="AK89" s="5">
        <v>0</v>
      </c>
      <c r="AL89" s="5">
        <v>71902</v>
      </c>
      <c r="AM89" s="5">
        <v>3511</v>
      </c>
      <c r="AN89" s="5">
        <v>2945</v>
      </c>
      <c r="AO89" s="5">
        <v>38</v>
      </c>
      <c r="AP89" s="5">
        <v>2</v>
      </c>
      <c r="AQ89" s="5">
        <v>0</v>
      </c>
      <c r="AR89" s="5">
        <v>0</v>
      </c>
      <c r="AS89" s="5">
        <v>1993</v>
      </c>
      <c r="AT89" s="5" t="s">
        <v>82</v>
      </c>
      <c r="AU89" s="5">
        <v>818</v>
      </c>
      <c r="AV89" s="5">
        <v>1202</v>
      </c>
      <c r="AW89" s="5">
        <v>1822</v>
      </c>
      <c r="AX89" s="5">
        <v>6873</v>
      </c>
      <c r="AY89" s="155"/>
      <c r="AZ89" s="155"/>
      <c r="BA89" s="155">
        <v>0</v>
      </c>
      <c r="BB89" s="155"/>
      <c r="BC89" s="5">
        <v>1324</v>
      </c>
      <c r="BD89" s="5"/>
      <c r="BE89" s="5">
        <v>57553</v>
      </c>
      <c r="BF89" s="5">
        <v>126860</v>
      </c>
      <c r="BG89" s="5">
        <v>250</v>
      </c>
      <c r="BH89" s="5">
        <v>758</v>
      </c>
      <c r="BI89" s="5">
        <v>902</v>
      </c>
      <c r="BJ89" s="5">
        <v>4046</v>
      </c>
      <c r="BK89" s="5">
        <v>109</v>
      </c>
      <c r="BL89" s="5">
        <v>2745</v>
      </c>
      <c r="BM89" s="5"/>
      <c r="BN89" s="5">
        <v>709</v>
      </c>
      <c r="BO89" s="5">
        <v>92</v>
      </c>
      <c r="BP89" s="5">
        <v>0</v>
      </c>
      <c r="BQ89" s="5">
        <v>8633</v>
      </c>
      <c r="BR89" s="5">
        <v>14211</v>
      </c>
      <c r="BS89" s="5">
        <v>28</v>
      </c>
      <c r="BT89" s="5">
        <v>535</v>
      </c>
      <c r="BU89" s="5">
        <v>647</v>
      </c>
      <c r="BV89" s="5"/>
      <c r="BW89" s="5">
        <v>13</v>
      </c>
      <c r="BX89" s="5">
        <v>272</v>
      </c>
      <c r="BY89" s="5"/>
      <c r="BZ89" s="5">
        <v>1186</v>
      </c>
      <c r="CA89" s="5">
        <v>4</v>
      </c>
      <c r="CB89" s="5">
        <v>0</v>
      </c>
      <c r="CC89" s="5">
        <v>12962</v>
      </c>
      <c r="CD89" s="5">
        <v>59860</v>
      </c>
      <c r="CE89" s="5">
        <v>59544</v>
      </c>
      <c r="CF89" s="5">
        <v>13707</v>
      </c>
      <c r="CG89" s="5">
        <v>0</v>
      </c>
      <c r="CH89" s="5">
        <v>0</v>
      </c>
      <c r="CI89" s="5">
        <v>17</v>
      </c>
      <c r="CJ89" s="5">
        <v>180</v>
      </c>
      <c r="CK89" s="5">
        <v>209</v>
      </c>
      <c r="CL89" s="5"/>
      <c r="CM89" s="5"/>
      <c r="CN89" s="5"/>
      <c r="CO89" s="5"/>
      <c r="CP89" s="5"/>
      <c r="CQ89" s="5"/>
      <c r="CR89" s="5"/>
      <c r="CS89" s="5"/>
      <c r="CT89" s="5" t="s">
        <v>82</v>
      </c>
      <c r="CU89" s="5" t="s">
        <v>82</v>
      </c>
      <c r="CV89" s="5" t="s">
        <v>82</v>
      </c>
      <c r="CW89" s="5">
        <v>0</v>
      </c>
      <c r="CX89" s="5">
        <v>0</v>
      </c>
      <c r="CY89" s="5">
        <v>0</v>
      </c>
      <c r="DA89" s="6"/>
      <c r="DD89" s="6">
        <f t="shared" si="19"/>
        <v>366032</v>
      </c>
      <c r="DE89" s="6">
        <f t="shared" si="20"/>
        <v>167430</v>
      </c>
      <c r="DF89" s="16">
        <f t="shared" si="21"/>
        <v>533462</v>
      </c>
      <c r="DK89" s="6">
        <f t="shared" si="22"/>
        <v>60974</v>
      </c>
      <c r="DL89" s="6">
        <f t="shared" si="23"/>
        <v>83600</v>
      </c>
      <c r="DM89" s="6">
        <f t="shared" si="17"/>
        <v>12984</v>
      </c>
      <c r="DN89" s="6">
        <f t="shared" si="18"/>
        <v>9872</v>
      </c>
      <c r="DO89" s="6">
        <f t="shared" si="24"/>
        <v>277552</v>
      </c>
      <c r="DP89" s="6">
        <f t="shared" si="32"/>
        <v>68188</v>
      </c>
      <c r="DQ89" s="6"/>
      <c r="DR89" s="6">
        <f t="shared" si="25"/>
        <v>12979</v>
      </c>
      <c r="DS89" s="6">
        <f t="shared" si="26"/>
        <v>0</v>
      </c>
      <c r="DT89" s="6">
        <f t="shared" si="27"/>
        <v>7313</v>
      </c>
      <c r="DU89" s="6"/>
      <c r="DV89" s="6"/>
      <c r="DW89" s="6">
        <f t="shared" si="28"/>
        <v>533462</v>
      </c>
      <c r="DY89" s="6">
        <f t="shared" si="29"/>
        <v>284865</v>
      </c>
      <c r="DZ89" s="6">
        <f t="shared" si="30"/>
        <v>0</v>
      </c>
      <c r="EB89" s="6">
        <f t="shared" si="31"/>
        <v>533462</v>
      </c>
      <c r="EC89" s="6"/>
      <c r="ED89" s="6"/>
      <c r="EF89" s="6"/>
      <c r="EG89" s="6"/>
    </row>
    <row r="90" spans="2:137" ht="14">
      <c r="B90" s="4">
        <v>34700</v>
      </c>
      <c r="C90" s="5">
        <v>0</v>
      </c>
      <c r="D90" s="5">
        <v>0</v>
      </c>
      <c r="E90" s="5">
        <v>0</v>
      </c>
      <c r="F90" s="5" t="s">
        <v>82</v>
      </c>
      <c r="G90" s="5" t="s">
        <v>82</v>
      </c>
      <c r="H90" s="5">
        <v>0</v>
      </c>
      <c r="I90" s="5">
        <v>0</v>
      </c>
      <c r="J90" s="5">
        <v>0</v>
      </c>
      <c r="K90" s="5">
        <v>0</v>
      </c>
      <c r="L90" s="5"/>
      <c r="M90" s="5">
        <v>34661</v>
      </c>
      <c r="N90" s="5">
        <v>3462</v>
      </c>
      <c r="O90" s="5"/>
      <c r="P90" s="5">
        <v>7773</v>
      </c>
      <c r="Q90" s="5">
        <v>1797</v>
      </c>
      <c r="R90" s="5">
        <v>1483</v>
      </c>
      <c r="S90" s="5">
        <v>3612</v>
      </c>
      <c r="T90" s="5">
        <v>13038</v>
      </c>
      <c r="U90" s="5"/>
      <c r="V90" s="5"/>
      <c r="W90" s="5">
        <v>8131</v>
      </c>
      <c r="X90" s="5">
        <v>0</v>
      </c>
      <c r="Y90" s="5">
        <v>855</v>
      </c>
      <c r="Z90" s="5">
        <v>29</v>
      </c>
      <c r="AA90" s="155"/>
      <c r="AB90" s="5">
        <v>27</v>
      </c>
      <c r="AC90" s="5">
        <v>0</v>
      </c>
      <c r="AD90" s="5">
        <v>7</v>
      </c>
      <c r="AE90" s="5">
        <v>27</v>
      </c>
      <c r="AF90" s="5">
        <v>9</v>
      </c>
      <c r="AG90" s="5">
        <v>54</v>
      </c>
      <c r="AH90" s="5"/>
      <c r="AI90" s="5"/>
      <c r="AJ90" s="5">
        <v>34</v>
      </c>
      <c r="AK90" s="5">
        <v>0</v>
      </c>
      <c r="AL90" s="5">
        <v>72363</v>
      </c>
      <c r="AM90" s="5">
        <v>3536</v>
      </c>
      <c r="AN90" s="5">
        <v>3010</v>
      </c>
      <c r="AO90" s="5">
        <v>36</v>
      </c>
      <c r="AP90" s="5">
        <v>2</v>
      </c>
      <c r="AQ90" s="5">
        <v>0</v>
      </c>
      <c r="AR90" s="5">
        <v>0</v>
      </c>
      <c r="AS90" s="5">
        <v>2010</v>
      </c>
      <c r="AT90" s="5" t="s">
        <v>82</v>
      </c>
      <c r="AU90" s="5">
        <v>836</v>
      </c>
      <c r="AV90" s="5">
        <v>1213</v>
      </c>
      <c r="AW90" s="5">
        <v>1835</v>
      </c>
      <c r="AX90" s="5">
        <v>6938</v>
      </c>
      <c r="AY90" s="155"/>
      <c r="AZ90" s="155"/>
      <c r="BA90" s="155">
        <v>0</v>
      </c>
      <c r="BB90" s="155"/>
      <c r="BC90" s="5">
        <v>1308</v>
      </c>
      <c r="BD90" s="5"/>
      <c r="BE90" s="5">
        <v>57575</v>
      </c>
      <c r="BF90" s="5">
        <v>126997</v>
      </c>
      <c r="BG90" s="5">
        <v>251</v>
      </c>
      <c r="BH90" s="5">
        <v>748</v>
      </c>
      <c r="BI90" s="5">
        <v>891</v>
      </c>
      <c r="BJ90" s="5">
        <v>4098</v>
      </c>
      <c r="BK90" s="5">
        <v>106</v>
      </c>
      <c r="BL90" s="5">
        <v>2732</v>
      </c>
      <c r="BM90" s="5"/>
      <c r="BN90" s="5">
        <v>658</v>
      </c>
      <c r="BO90" s="5">
        <v>83</v>
      </c>
      <c r="BP90" s="5">
        <v>0</v>
      </c>
      <c r="BQ90" s="5">
        <v>8556</v>
      </c>
      <c r="BR90" s="5">
        <v>14027</v>
      </c>
      <c r="BS90" s="5">
        <v>29</v>
      </c>
      <c r="BT90" s="5">
        <v>513</v>
      </c>
      <c r="BU90" s="5">
        <v>613</v>
      </c>
      <c r="BV90" s="5"/>
      <c r="BW90" s="5">
        <v>14</v>
      </c>
      <c r="BX90" s="5">
        <v>259</v>
      </c>
      <c r="BY90" s="5"/>
      <c r="BZ90" s="5">
        <v>1122</v>
      </c>
      <c r="CA90" s="5">
        <v>4</v>
      </c>
      <c r="CB90" s="5">
        <v>0</v>
      </c>
      <c r="CC90" s="5">
        <v>12694</v>
      </c>
      <c r="CD90" s="5">
        <v>59763</v>
      </c>
      <c r="CE90" s="5">
        <v>60646</v>
      </c>
      <c r="CF90" s="5">
        <v>13693</v>
      </c>
      <c r="CG90" s="5">
        <v>0</v>
      </c>
      <c r="CH90" s="5">
        <v>0</v>
      </c>
      <c r="CI90" s="5">
        <v>15</v>
      </c>
      <c r="CJ90" s="5">
        <v>178</v>
      </c>
      <c r="CK90" s="5">
        <v>209</v>
      </c>
      <c r="CL90" s="5"/>
      <c r="CM90" s="5"/>
      <c r="CN90" s="5"/>
      <c r="CO90" s="5"/>
      <c r="CP90" s="5"/>
      <c r="CQ90" s="5"/>
      <c r="CR90" s="5"/>
      <c r="CS90" s="5"/>
      <c r="CT90" s="5" t="s">
        <v>82</v>
      </c>
      <c r="CU90" s="5" t="s">
        <v>82</v>
      </c>
      <c r="CV90" s="5" t="s">
        <v>82</v>
      </c>
      <c r="CW90" s="5">
        <v>0</v>
      </c>
      <c r="CX90" s="5">
        <v>0</v>
      </c>
      <c r="CY90" s="5">
        <v>0</v>
      </c>
      <c r="DA90" s="6"/>
      <c r="DD90" s="6">
        <f t="shared" si="19"/>
        <v>366474</v>
      </c>
      <c r="DE90" s="6">
        <f t="shared" si="20"/>
        <v>168086</v>
      </c>
      <c r="DF90" s="16">
        <f t="shared" si="21"/>
        <v>534560</v>
      </c>
      <c r="DK90" s="6">
        <f t="shared" si="22"/>
        <v>60919</v>
      </c>
      <c r="DL90" s="6">
        <f t="shared" si="23"/>
        <v>84125</v>
      </c>
      <c r="DM90" s="6">
        <f t="shared" si="17"/>
        <v>13038</v>
      </c>
      <c r="DN90" s="6">
        <f t="shared" si="18"/>
        <v>10004</v>
      </c>
      <c r="DO90" s="6">
        <f t="shared" si="24"/>
        <v>278375</v>
      </c>
      <c r="DP90" s="6">
        <f t="shared" si="32"/>
        <v>68050</v>
      </c>
      <c r="DQ90" s="6"/>
      <c r="DR90" s="6">
        <f t="shared" si="25"/>
        <v>12709</v>
      </c>
      <c r="DS90" s="6">
        <f t="shared" si="26"/>
        <v>0</v>
      </c>
      <c r="DT90" s="6">
        <f t="shared" si="27"/>
        <v>7340</v>
      </c>
      <c r="DU90" s="6"/>
      <c r="DV90" s="6"/>
      <c r="DW90" s="6">
        <f t="shared" si="28"/>
        <v>534560</v>
      </c>
      <c r="DY90" s="6">
        <f t="shared" si="29"/>
        <v>285715</v>
      </c>
      <c r="DZ90" s="6">
        <f t="shared" si="30"/>
        <v>0</v>
      </c>
      <c r="EB90" s="6">
        <f t="shared" si="31"/>
        <v>534560</v>
      </c>
      <c r="EC90" s="6"/>
      <c r="ED90" s="6"/>
      <c r="EF90" s="6"/>
      <c r="EG90" s="6"/>
    </row>
    <row r="91" spans="2:137" ht="14">
      <c r="B91" s="4">
        <v>34731</v>
      </c>
      <c r="C91" s="5">
        <v>0</v>
      </c>
      <c r="D91" s="5">
        <v>0</v>
      </c>
      <c r="E91" s="5">
        <v>0</v>
      </c>
      <c r="F91" s="5" t="s">
        <v>82</v>
      </c>
      <c r="G91" s="5" t="s">
        <v>82</v>
      </c>
      <c r="H91" s="5">
        <v>0</v>
      </c>
      <c r="I91" s="5">
        <v>0</v>
      </c>
      <c r="J91" s="5">
        <v>0</v>
      </c>
      <c r="K91" s="5">
        <v>0</v>
      </c>
      <c r="L91" s="5"/>
      <c r="M91" s="5">
        <v>34560</v>
      </c>
      <c r="N91" s="5">
        <v>3427</v>
      </c>
      <c r="O91" s="5"/>
      <c r="P91" s="5">
        <v>7640</v>
      </c>
      <c r="Q91" s="5">
        <v>1873</v>
      </c>
      <c r="R91" s="5">
        <v>1507</v>
      </c>
      <c r="S91" s="5">
        <v>3688</v>
      </c>
      <c r="T91" s="5">
        <v>13103</v>
      </c>
      <c r="U91" s="5"/>
      <c r="V91" s="5"/>
      <c r="W91" s="5">
        <v>7958</v>
      </c>
      <c r="X91" s="5">
        <v>0</v>
      </c>
      <c r="Y91" s="5">
        <v>846</v>
      </c>
      <c r="Z91" s="5">
        <v>29</v>
      </c>
      <c r="AA91" s="155"/>
      <c r="AB91" s="5">
        <v>32</v>
      </c>
      <c r="AC91" s="5">
        <v>0</v>
      </c>
      <c r="AD91" s="5">
        <v>8</v>
      </c>
      <c r="AE91" s="5">
        <v>27</v>
      </c>
      <c r="AF91" s="5">
        <v>11</v>
      </c>
      <c r="AG91" s="5">
        <v>55</v>
      </c>
      <c r="AH91" s="5"/>
      <c r="AI91" s="5"/>
      <c r="AJ91" s="5">
        <v>34</v>
      </c>
      <c r="AK91" s="5">
        <v>0</v>
      </c>
      <c r="AL91" s="5">
        <v>72894</v>
      </c>
      <c r="AM91" s="5">
        <v>3536</v>
      </c>
      <c r="AN91" s="5">
        <v>3059</v>
      </c>
      <c r="AO91" s="5">
        <v>34</v>
      </c>
      <c r="AP91" s="5">
        <v>1</v>
      </c>
      <c r="AQ91" s="5">
        <v>0</v>
      </c>
      <c r="AR91" s="5">
        <v>0</v>
      </c>
      <c r="AS91" s="5">
        <v>2011</v>
      </c>
      <c r="AT91" s="5" t="s">
        <v>82</v>
      </c>
      <c r="AU91" s="5">
        <v>853</v>
      </c>
      <c r="AV91" s="5">
        <v>1225</v>
      </c>
      <c r="AW91" s="5">
        <v>1869</v>
      </c>
      <c r="AX91" s="5">
        <v>6989</v>
      </c>
      <c r="AY91" s="155"/>
      <c r="AZ91" s="155"/>
      <c r="BA91" s="155">
        <v>0</v>
      </c>
      <c r="BB91" s="155"/>
      <c r="BC91" s="5">
        <v>1293</v>
      </c>
      <c r="BD91" s="5"/>
      <c r="BE91" s="5">
        <v>57061</v>
      </c>
      <c r="BF91" s="5">
        <v>126425</v>
      </c>
      <c r="BG91" s="5">
        <v>244</v>
      </c>
      <c r="BH91" s="5">
        <v>753</v>
      </c>
      <c r="BI91" s="5">
        <v>922</v>
      </c>
      <c r="BJ91" s="5">
        <v>4173</v>
      </c>
      <c r="BK91" s="5">
        <v>91</v>
      </c>
      <c r="BL91" s="5">
        <v>2754</v>
      </c>
      <c r="BM91" s="5"/>
      <c r="BN91" s="5">
        <v>635</v>
      </c>
      <c r="BO91" s="5">
        <v>82</v>
      </c>
      <c r="BP91" s="5">
        <v>0</v>
      </c>
      <c r="BQ91" s="5">
        <v>8376</v>
      </c>
      <c r="BR91" s="5">
        <v>13722</v>
      </c>
      <c r="BS91" s="5">
        <v>27</v>
      </c>
      <c r="BT91" s="5">
        <v>516</v>
      </c>
      <c r="BU91" s="5">
        <v>608</v>
      </c>
      <c r="BV91" s="5"/>
      <c r="BW91" s="5">
        <v>10</v>
      </c>
      <c r="BX91" s="5">
        <v>252</v>
      </c>
      <c r="BY91" s="5"/>
      <c r="BZ91" s="5">
        <v>1075</v>
      </c>
      <c r="CA91" s="5">
        <v>3</v>
      </c>
      <c r="CB91" s="5">
        <v>0</v>
      </c>
      <c r="CC91" s="5">
        <v>12807</v>
      </c>
      <c r="CD91" s="5">
        <v>60078</v>
      </c>
      <c r="CE91" s="5">
        <v>61690</v>
      </c>
      <c r="CF91" s="5">
        <v>13780</v>
      </c>
      <c r="CG91" s="5">
        <v>0</v>
      </c>
      <c r="CH91" s="5">
        <v>0</v>
      </c>
      <c r="CI91" s="5">
        <v>19</v>
      </c>
      <c r="CJ91" s="5">
        <v>188</v>
      </c>
      <c r="CK91" s="5">
        <v>213</v>
      </c>
      <c r="CL91" s="5"/>
      <c r="CM91" s="5"/>
      <c r="CN91" s="5"/>
      <c r="CO91" s="5"/>
      <c r="CP91" s="5"/>
      <c r="CQ91" s="5"/>
      <c r="CR91" s="5"/>
      <c r="CS91" s="5"/>
      <c r="CT91" s="5" t="s">
        <v>82</v>
      </c>
      <c r="CU91" s="5" t="s">
        <v>82</v>
      </c>
      <c r="CV91" s="5" t="s">
        <v>82</v>
      </c>
      <c r="CW91" s="5">
        <v>0</v>
      </c>
      <c r="CX91" s="5">
        <v>0</v>
      </c>
      <c r="CY91" s="5">
        <v>0</v>
      </c>
      <c r="DA91" s="6"/>
      <c r="DD91" s="6">
        <f t="shared" si="19"/>
        <v>366504</v>
      </c>
      <c r="DE91" s="6">
        <f t="shared" si="20"/>
        <v>168562</v>
      </c>
      <c r="DF91" s="16">
        <f t="shared" si="21"/>
        <v>535066</v>
      </c>
      <c r="DK91" s="6">
        <f t="shared" si="22"/>
        <v>60653</v>
      </c>
      <c r="DL91" s="6">
        <f t="shared" si="23"/>
        <v>84702</v>
      </c>
      <c r="DM91" s="6">
        <f t="shared" si="17"/>
        <v>13103</v>
      </c>
      <c r="DN91" s="6">
        <f t="shared" si="18"/>
        <v>10104</v>
      </c>
      <c r="DO91" s="6">
        <f t="shared" si="24"/>
        <v>278914</v>
      </c>
      <c r="DP91" s="6">
        <f t="shared" si="32"/>
        <v>67341</v>
      </c>
      <c r="DQ91" s="6"/>
      <c r="DR91" s="6">
        <f t="shared" si="25"/>
        <v>12826</v>
      </c>
      <c r="DS91" s="6">
        <f t="shared" si="26"/>
        <v>0</v>
      </c>
      <c r="DT91" s="6">
        <f t="shared" si="27"/>
        <v>7423</v>
      </c>
      <c r="DU91" s="6"/>
      <c r="DV91" s="6"/>
      <c r="DW91" s="6">
        <f t="shared" si="28"/>
        <v>535066</v>
      </c>
      <c r="DY91" s="6">
        <f t="shared" si="29"/>
        <v>286337</v>
      </c>
      <c r="DZ91" s="6">
        <f t="shared" si="30"/>
        <v>0</v>
      </c>
      <c r="EB91" s="6">
        <f t="shared" si="31"/>
        <v>535066</v>
      </c>
      <c r="EC91" s="6"/>
      <c r="ED91" s="6"/>
      <c r="EF91" s="6"/>
      <c r="EG91" s="6"/>
    </row>
    <row r="92" spans="2:137" ht="14">
      <c r="B92" s="4">
        <v>34759</v>
      </c>
      <c r="C92" s="5">
        <v>0</v>
      </c>
      <c r="D92" s="5">
        <v>0</v>
      </c>
      <c r="E92" s="5">
        <v>0</v>
      </c>
      <c r="F92" s="5" t="s">
        <v>82</v>
      </c>
      <c r="G92" s="5" t="s">
        <v>82</v>
      </c>
      <c r="H92" s="5">
        <v>0</v>
      </c>
      <c r="I92" s="5">
        <v>0</v>
      </c>
      <c r="J92" s="5">
        <v>0</v>
      </c>
      <c r="K92" s="5">
        <v>0</v>
      </c>
      <c r="L92" s="5"/>
      <c r="M92" s="5">
        <v>34520</v>
      </c>
      <c r="N92" s="5">
        <v>3401</v>
      </c>
      <c r="O92" s="5"/>
      <c r="P92" s="5">
        <v>7517</v>
      </c>
      <c r="Q92" s="5">
        <v>2013</v>
      </c>
      <c r="R92" s="5">
        <v>1498</v>
      </c>
      <c r="S92" s="5">
        <v>3927</v>
      </c>
      <c r="T92" s="5">
        <v>13195</v>
      </c>
      <c r="U92" s="5"/>
      <c r="V92" s="5"/>
      <c r="W92" s="5">
        <v>7691</v>
      </c>
      <c r="X92" s="5">
        <v>0</v>
      </c>
      <c r="Y92" s="5">
        <v>842</v>
      </c>
      <c r="Z92" s="5">
        <v>30</v>
      </c>
      <c r="AA92" s="155"/>
      <c r="AB92" s="5">
        <v>34</v>
      </c>
      <c r="AC92" s="5">
        <v>0</v>
      </c>
      <c r="AD92" s="5">
        <v>8</v>
      </c>
      <c r="AE92" s="5">
        <v>28</v>
      </c>
      <c r="AF92" s="5">
        <v>11</v>
      </c>
      <c r="AG92" s="5">
        <v>56</v>
      </c>
      <c r="AH92" s="5"/>
      <c r="AI92" s="5"/>
      <c r="AJ92" s="5">
        <v>31</v>
      </c>
      <c r="AK92" s="5">
        <v>0</v>
      </c>
      <c r="AL92" s="5">
        <v>73436</v>
      </c>
      <c r="AM92" s="5">
        <v>3508</v>
      </c>
      <c r="AN92" s="5">
        <v>3199</v>
      </c>
      <c r="AO92" s="5">
        <v>37</v>
      </c>
      <c r="AP92" s="5">
        <v>2</v>
      </c>
      <c r="AQ92" s="5">
        <v>0</v>
      </c>
      <c r="AR92" s="5">
        <v>0</v>
      </c>
      <c r="AS92" s="5">
        <v>2032</v>
      </c>
      <c r="AT92" s="5" t="s">
        <v>82</v>
      </c>
      <c r="AU92" s="5">
        <v>893</v>
      </c>
      <c r="AV92" s="5">
        <v>1234</v>
      </c>
      <c r="AW92" s="5">
        <v>1910</v>
      </c>
      <c r="AX92" s="5">
        <v>7051</v>
      </c>
      <c r="AY92" s="155"/>
      <c r="AZ92" s="155"/>
      <c r="BA92" s="155">
        <v>0</v>
      </c>
      <c r="BB92" s="155"/>
      <c r="BC92" s="5">
        <v>1263</v>
      </c>
      <c r="BD92" s="5"/>
      <c r="BE92" s="5">
        <v>56758</v>
      </c>
      <c r="BF92" s="5">
        <v>125842</v>
      </c>
      <c r="BG92" s="5">
        <v>246</v>
      </c>
      <c r="BH92" s="5">
        <v>723</v>
      </c>
      <c r="BI92" s="5">
        <v>911</v>
      </c>
      <c r="BJ92" s="5">
        <v>4224</v>
      </c>
      <c r="BK92" s="5">
        <v>90</v>
      </c>
      <c r="BL92" s="5">
        <v>2739</v>
      </c>
      <c r="BM92" s="5"/>
      <c r="BN92" s="5">
        <v>575</v>
      </c>
      <c r="BO92" s="5">
        <v>80</v>
      </c>
      <c r="BP92" s="5">
        <v>0</v>
      </c>
      <c r="BQ92" s="5">
        <v>8235</v>
      </c>
      <c r="BR92" s="5">
        <v>13423</v>
      </c>
      <c r="BS92" s="5">
        <v>28</v>
      </c>
      <c r="BT92" s="5">
        <v>493</v>
      </c>
      <c r="BU92" s="5">
        <v>599</v>
      </c>
      <c r="BV92" s="5"/>
      <c r="BW92" s="5">
        <v>10</v>
      </c>
      <c r="BX92" s="5">
        <v>247</v>
      </c>
      <c r="BY92" s="5"/>
      <c r="BZ92" s="5">
        <v>1022</v>
      </c>
      <c r="CA92" s="5">
        <v>3</v>
      </c>
      <c r="CB92" s="5">
        <v>0</v>
      </c>
      <c r="CC92" s="5">
        <v>12781</v>
      </c>
      <c r="CD92" s="5">
        <v>60366</v>
      </c>
      <c r="CE92" s="5">
        <v>62667</v>
      </c>
      <c r="CF92" s="5">
        <v>13922</v>
      </c>
      <c r="CG92" s="5">
        <v>0</v>
      </c>
      <c r="CH92" s="5">
        <v>0</v>
      </c>
      <c r="CI92" s="5">
        <v>23</v>
      </c>
      <c r="CJ92" s="5">
        <v>194</v>
      </c>
      <c r="CK92" s="5">
        <v>205</v>
      </c>
      <c r="CL92" s="5"/>
      <c r="CM92" s="5"/>
      <c r="CN92" s="5"/>
      <c r="CO92" s="5"/>
      <c r="CP92" s="5"/>
      <c r="CQ92" s="5"/>
      <c r="CR92" s="5"/>
      <c r="CS92" s="5"/>
      <c r="CT92" s="5" t="s">
        <v>82</v>
      </c>
      <c r="CU92" s="5" t="s">
        <v>82</v>
      </c>
      <c r="CV92" s="5" t="s">
        <v>82</v>
      </c>
      <c r="CW92" s="5">
        <v>0</v>
      </c>
      <c r="CX92" s="5">
        <v>0</v>
      </c>
      <c r="CY92" s="5">
        <v>0</v>
      </c>
      <c r="DA92" s="6"/>
      <c r="DD92" s="6">
        <f t="shared" si="19"/>
        <v>366406</v>
      </c>
      <c r="DE92" s="6">
        <f t="shared" si="20"/>
        <v>169367</v>
      </c>
      <c r="DF92" s="16">
        <f t="shared" si="21"/>
        <v>535773</v>
      </c>
      <c r="DK92" s="6">
        <f t="shared" si="22"/>
        <v>60567</v>
      </c>
      <c r="DL92" s="6">
        <f t="shared" si="23"/>
        <v>85297</v>
      </c>
      <c r="DM92" s="6">
        <f t="shared" si="17"/>
        <v>13195</v>
      </c>
      <c r="DN92" s="6">
        <f t="shared" si="18"/>
        <v>10308</v>
      </c>
      <c r="DO92" s="6">
        <f t="shared" si="24"/>
        <v>279362</v>
      </c>
      <c r="DP92" s="6">
        <f t="shared" si="32"/>
        <v>66784</v>
      </c>
      <c r="DQ92" s="6"/>
      <c r="DR92" s="6">
        <f t="shared" si="25"/>
        <v>12804</v>
      </c>
      <c r="DS92" s="6">
        <f t="shared" si="26"/>
        <v>0</v>
      </c>
      <c r="DT92" s="6">
        <f t="shared" si="27"/>
        <v>7456</v>
      </c>
      <c r="DU92" s="6"/>
      <c r="DV92" s="6"/>
      <c r="DW92" s="6">
        <f t="shared" si="28"/>
        <v>535773</v>
      </c>
      <c r="DY92" s="6">
        <f t="shared" si="29"/>
        <v>286818</v>
      </c>
      <c r="DZ92" s="6">
        <f t="shared" si="30"/>
        <v>0</v>
      </c>
      <c r="EB92" s="6">
        <f t="shared" si="31"/>
        <v>535773</v>
      </c>
      <c r="EC92" s="6"/>
      <c r="ED92" s="6"/>
      <c r="EF92" s="6"/>
      <c r="EG92" s="6"/>
    </row>
    <row r="93" spans="2:137" ht="14">
      <c r="B93" s="4">
        <v>34790</v>
      </c>
      <c r="C93" s="5">
        <v>0</v>
      </c>
      <c r="D93" s="5">
        <v>0</v>
      </c>
      <c r="E93" s="5">
        <v>0</v>
      </c>
      <c r="F93" s="5" t="s">
        <v>82</v>
      </c>
      <c r="G93" s="5" t="s">
        <v>82</v>
      </c>
      <c r="H93" s="5">
        <v>0</v>
      </c>
      <c r="I93" s="5">
        <v>0</v>
      </c>
      <c r="J93" s="5">
        <v>0</v>
      </c>
      <c r="K93" s="5">
        <v>0</v>
      </c>
      <c r="L93" s="5"/>
      <c r="M93" s="5">
        <v>34572</v>
      </c>
      <c r="N93" s="5">
        <v>3385</v>
      </c>
      <c r="O93" s="5"/>
      <c r="P93" s="5">
        <v>7248</v>
      </c>
      <c r="Q93" s="5">
        <v>2315</v>
      </c>
      <c r="R93" s="5">
        <v>1511</v>
      </c>
      <c r="S93" s="5">
        <v>4292</v>
      </c>
      <c r="T93" s="5">
        <v>13309</v>
      </c>
      <c r="U93" s="5"/>
      <c r="V93" s="5"/>
      <c r="W93" s="5">
        <v>7319</v>
      </c>
      <c r="X93" s="5">
        <v>0</v>
      </c>
      <c r="Y93" s="5">
        <v>844</v>
      </c>
      <c r="Z93" s="5">
        <v>33</v>
      </c>
      <c r="AA93" s="155"/>
      <c r="AB93" s="5">
        <v>36</v>
      </c>
      <c r="AC93" s="5">
        <v>0</v>
      </c>
      <c r="AD93" s="5">
        <v>7</v>
      </c>
      <c r="AE93" s="5">
        <v>29</v>
      </c>
      <c r="AF93" s="5">
        <v>12</v>
      </c>
      <c r="AG93" s="5">
        <v>57</v>
      </c>
      <c r="AH93" s="5"/>
      <c r="AI93" s="5"/>
      <c r="AJ93" s="5">
        <v>30</v>
      </c>
      <c r="AK93" s="5">
        <v>0</v>
      </c>
      <c r="AL93" s="5">
        <v>74057</v>
      </c>
      <c r="AM93" s="5">
        <v>3540</v>
      </c>
      <c r="AN93" s="5">
        <v>3426</v>
      </c>
      <c r="AO93" s="5">
        <v>40</v>
      </c>
      <c r="AP93" s="5">
        <v>2</v>
      </c>
      <c r="AQ93" s="5">
        <v>0</v>
      </c>
      <c r="AR93" s="5">
        <v>0</v>
      </c>
      <c r="AS93" s="5">
        <v>2051</v>
      </c>
      <c r="AT93" s="5" t="s">
        <v>82</v>
      </c>
      <c r="AU93" s="5">
        <v>944</v>
      </c>
      <c r="AV93" s="5">
        <v>1268</v>
      </c>
      <c r="AW93" s="5">
        <v>1959</v>
      </c>
      <c r="AX93" s="5">
        <v>7154</v>
      </c>
      <c r="AY93" s="155"/>
      <c r="AZ93" s="155"/>
      <c r="BA93" s="155">
        <v>0</v>
      </c>
      <c r="BB93" s="155"/>
      <c r="BC93" s="5">
        <v>1243</v>
      </c>
      <c r="BD93" s="5"/>
      <c r="BE93" s="5">
        <v>56679</v>
      </c>
      <c r="BF93" s="5">
        <v>125849</v>
      </c>
      <c r="BG93" s="5">
        <v>251</v>
      </c>
      <c r="BH93" s="5">
        <v>796</v>
      </c>
      <c r="BI93" s="5">
        <v>971</v>
      </c>
      <c r="BJ93" s="5">
        <v>4289</v>
      </c>
      <c r="BK93" s="5">
        <v>86</v>
      </c>
      <c r="BL93" s="5">
        <v>2768</v>
      </c>
      <c r="BM93" s="5"/>
      <c r="BN93" s="5">
        <v>551</v>
      </c>
      <c r="BO93" s="5">
        <v>81</v>
      </c>
      <c r="BP93" s="5">
        <v>0</v>
      </c>
      <c r="BQ93" s="5">
        <v>8240</v>
      </c>
      <c r="BR93" s="5">
        <v>13309</v>
      </c>
      <c r="BS93" s="5">
        <v>25</v>
      </c>
      <c r="BT93" s="5">
        <v>509</v>
      </c>
      <c r="BU93" s="5">
        <v>601</v>
      </c>
      <c r="BV93" s="5"/>
      <c r="BW93" s="5">
        <v>10</v>
      </c>
      <c r="BX93" s="5">
        <v>243</v>
      </c>
      <c r="BY93" s="5"/>
      <c r="BZ93" s="5">
        <v>967</v>
      </c>
      <c r="CA93" s="5">
        <v>1</v>
      </c>
      <c r="CB93" s="5">
        <v>0</v>
      </c>
      <c r="CC93" s="5">
        <v>13106</v>
      </c>
      <c r="CD93" s="5">
        <v>61338</v>
      </c>
      <c r="CE93" s="5">
        <v>64392</v>
      </c>
      <c r="CF93" s="5">
        <v>13947</v>
      </c>
      <c r="CG93" s="5">
        <v>0</v>
      </c>
      <c r="CH93" s="5">
        <v>0</v>
      </c>
      <c r="CI93" s="5">
        <v>21</v>
      </c>
      <c r="CJ93" s="5">
        <v>197</v>
      </c>
      <c r="CK93" s="5">
        <v>202</v>
      </c>
      <c r="CL93" s="5"/>
      <c r="CM93" s="5"/>
      <c r="CN93" s="5"/>
      <c r="CO93" s="5"/>
      <c r="CP93" s="5"/>
      <c r="CQ93" s="5"/>
      <c r="CR93" s="5"/>
      <c r="CS93" s="5"/>
      <c r="CT93" s="5" t="s">
        <v>82</v>
      </c>
      <c r="CU93" s="5" t="s">
        <v>82</v>
      </c>
      <c r="CV93" s="5" t="s">
        <v>82</v>
      </c>
      <c r="CW93" s="5">
        <v>0</v>
      </c>
      <c r="CX93" s="5">
        <v>0</v>
      </c>
      <c r="CY93" s="5">
        <v>0</v>
      </c>
      <c r="DA93" s="6"/>
      <c r="DD93" s="6">
        <f t="shared" si="19"/>
        <v>369429</v>
      </c>
      <c r="DE93" s="6">
        <f t="shared" si="20"/>
        <v>170683</v>
      </c>
      <c r="DF93" s="16">
        <f t="shared" si="21"/>
        <v>540112</v>
      </c>
      <c r="DK93" s="6">
        <f t="shared" si="22"/>
        <v>60642</v>
      </c>
      <c r="DL93" s="6">
        <f t="shared" si="23"/>
        <v>86093</v>
      </c>
      <c r="DM93" s="6">
        <f t="shared" si="17"/>
        <v>13309</v>
      </c>
      <c r="DN93" s="6">
        <f t="shared" si="18"/>
        <v>10639</v>
      </c>
      <c r="DO93" s="6">
        <f t="shared" si="24"/>
        <v>281976</v>
      </c>
      <c r="DP93" s="6">
        <f t="shared" si="32"/>
        <v>66775</v>
      </c>
      <c r="DQ93" s="6"/>
      <c r="DR93" s="6">
        <f t="shared" si="25"/>
        <v>13127</v>
      </c>
      <c r="DS93" s="6">
        <f t="shared" si="26"/>
        <v>0</v>
      </c>
      <c r="DT93" s="6">
        <f t="shared" si="27"/>
        <v>7551</v>
      </c>
      <c r="DU93" s="6"/>
      <c r="DV93" s="6"/>
      <c r="DW93" s="6">
        <f t="shared" si="28"/>
        <v>540112</v>
      </c>
      <c r="DY93" s="6">
        <f t="shared" si="29"/>
        <v>289527</v>
      </c>
      <c r="DZ93" s="6">
        <f t="shared" si="30"/>
        <v>0</v>
      </c>
      <c r="EB93" s="6">
        <f t="shared" si="31"/>
        <v>540112</v>
      </c>
      <c r="EC93" s="6"/>
      <c r="ED93" s="6"/>
      <c r="EF93" s="6"/>
      <c r="EG93" s="6"/>
    </row>
    <row r="94" spans="2:137" ht="14">
      <c r="B94" s="4">
        <v>34820</v>
      </c>
      <c r="C94" s="5">
        <v>0</v>
      </c>
      <c r="D94" s="5">
        <v>0</v>
      </c>
      <c r="E94" s="5">
        <v>0</v>
      </c>
      <c r="F94" s="5" t="s">
        <v>82</v>
      </c>
      <c r="G94" s="5" t="s">
        <v>82</v>
      </c>
      <c r="H94" s="5">
        <v>0</v>
      </c>
      <c r="I94" s="5">
        <v>0</v>
      </c>
      <c r="J94" s="5">
        <v>0</v>
      </c>
      <c r="K94" s="5">
        <v>0</v>
      </c>
      <c r="L94" s="5"/>
      <c r="M94" s="5">
        <v>34590</v>
      </c>
      <c r="N94" s="5">
        <v>3374</v>
      </c>
      <c r="O94" s="5"/>
      <c r="P94" s="5">
        <v>7095</v>
      </c>
      <c r="Q94" s="5">
        <v>2477</v>
      </c>
      <c r="R94" s="5">
        <v>1506</v>
      </c>
      <c r="S94" s="5">
        <v>4618</v>
      </c>
      <c r="T94" s="5">
        <v>13301</v>
      </c>
      <c r="U94" s="5"/>
      <c r="V94" s="5"/>
      <c r="W94" s="5">
        <v>6999</v>
      </c>
      <c r="X94" s="5">
        <v>0</v>
      </c>
      <c r="Y94" s="5">
        <v>848</v>
      </c>
      <c r="Z94" s="5">
        <v>31</v>
      </c>
      <c r="AA94" s="155"/>
      <c r="AB94" s="5">
        <v>33</v>
      </c>
      <c r="AC94" s="5">
        <v>0</v>
      </c>
      <c r="AD94" s="5">
        <v>8</v>
      </c>
      <c r="AE94" s="5">
        <v>30</v>
      </c>
      <c r="AF94" s="5">
        <v>13</v>
      </c>
      <c r="AG94" s="5">
        <v>60</v>
      </c>
      <c r="AH94" s="5"/>
      <c r="AI94" s="5"/>
      <c r="AJ94" s="5">
        <v>29</v>
      </c>
      <c r="AK94" s="5">
        <v>0</v>
      </c>
      <c r="AL94" s="5">
        <v>74392</v>
      </c>
      <c r="AM94" s="5">
        <v>3549</v>
      </c>
      <c r="AN94" s="5">
        <v>3668</v>
      </c>
      <c r="AO94" s="5">
        <v>40</v>
      </c>
      <c r="AP94" s="5">
        <v>2</v>
      </c>
      <c r="AQ94" s="5">
        <v>0</v>
      </c>
      <c r="AR94" s="5">
        <v>0</v>
      </c>
      <c r="AS94" s="5">
        <v>1973</v>
      </c>
      <c r="AT94" s="5" t="s">
        <v>82</v>
      </c>
      <c r="AU94" s="5">
        <v>974</v>
      </c>
      <c r="AV94" s="5">
        <v>1265</v>
      </c>
      <c r="AW94" s="5">
        <v>1997</v>
      </c>
      <c r="AX94" s="5">
        <v>7212</v>
      </c>
      <c r="AY94" s="155"/>
      <c r="AZ94" s="155"/>
      <c r="BA94" s="155">
        <v>0</v>
      </c>
      <c r="BB94" s="155"/>
      <c r="BC94" s="5">
        <v>1235</v>
      </c>
      <c r="BD94" s="5"/>
      <c r="BE94" s="5">
        <v>55492</v>
      </c>
      <c r="BF94" s="5">
        <v>123920</v>
      </c>
      <c r="BG94" s="5">
        <v>253</v>
      </c>
      <c r="BH94" s="5">
        <v>723</v>
      </c>
      <c r="BI94" s="5">
        <v>890</v>
      </c>
      <c r="BJ94" s="5">
        <v>4327</v>
      </c>
      <c r="BK94" s="5">
        <v>92</v>
      </c>
      <c r="BL94" s="5">
        <v>2796</v>
      </c>
      <c r="BM94" s="5"/>
      <c r="BN94" s="5">
        <v>526</v>
      </c>
      <c r="BO94" s="5">
        <v>92</v>
      </c>
      <c r="BP94" s="5">
        <v>0</v>
      </c>
      <c r="BQ94" s="5">
        <v>8296</v>
      </c>
      <c r="BR94" s="5">
        <v>13505</v>
      </c>
      <c r="BS94" s="5">
        <v>26</v>
      </c>
      <c r="BT94" s="5">
        <v>510</v>
      </c>
      <c r="BU94" s="5">
        <v>602</v>
      </c>
      <c r="BV94" s="5"/>
      <c r="BW94" s="5">
        <v>8</v>
      </c>
      <c r="BX94" s="5">
        <v>241</v>
      </c>
      <c r="BY94" s="5"/>
      <c r="BZ94" s="5">
        <v>919</v>
      </c>
      <c r="CA94" s="5">
        <v>4</v>
      </c>
      <c r="CB94" s="5">
        <v>0</v>
      </c>
      <c r="CC94" s="5">
        <v>12935</v>
      </c>
      <c r="CD94" s="5">
        <v>60987</v>
      </c>
      <c r="CE94" s="5">
        <v>65067</v>
      </c>
      <c r="CF94" s="5">
        <v>13876</v>
      </c>
      <c r="CG94" s="5">
        <v>0</v>
      </c>
      <c r="CH94" s="5">
        <v>0</v>
      </c>
      <c r="CI94" s="5">
        <v>21</v>
      </c>
      <c r="CJ94" s="5">
        <v>175</v>
      </c>
      <c r="CK94" s="5">
        <v>199</v>
      </c>
      <c r="CL94" s="5"/>
      <c r="CM94" s="5"/>
      <c r="CN94" s="5"/>
      <c r="CO94" s="5"/>
      <c r="CP94" s="5"/>
      <c r="CQ94" s="5"/>
      <c r="CR94" s="5"/>
      <c r="CS94" s="5"/>
      <c r="CT94" s="5" t="s">
        <v>82</v>
      </c>
      <c r="CU94" s="5" t="s">
        <v>82</v>
      </c>
      <c r="CV94" s="5" t="s">
        <v>82</v>
      </c>
      <c r="CW94" s="5">
        <v>0</v>
      </c>
      <c r="CX94" s="5">
        <v>0</v>
      </c>
      <c r="CY94" s="5">
        <v>0</v>
      </c>
      <c r="DA94" s="6"/>
      <c r="DD94" s="6">
        <f t="shared" si="19"/>
        <v>366482</v>
      </c>
      <c r="DE94" s="6">
        <f t="shared" si="20"/>
        <v>171319</v>
      </c>
      <c r="DF94" s="16">
        <f t="shared" si="21"/>
        <v>537801</v>
      </c>
      <c r="DK94" s="6">
        <f t="shared" si="22"/>
        <v>60659</v>
      </c>
      <c r="DL94" s="6">
        <f t="shared" si="23"/>
        <v>86417</v>
      </c>
      <c r="DM94" s="6">
        <f t="shared" si="17"/>
        <v>13301</v>
      </c>
      <c r="DN94" s="6">
        <f t="shared" si="18"/>
        <v>10942</v>
      </c>
      <c r="DO94" s="6">
        <f t="shared" si="24"/>
        <v>280362</v>
      </c>
      <c r="DP94" s="6">
        <f t="shared" si="32"/>
        <v>65547</v>
      </c>
      <c r="DQ94" s="6"/>
      <c r="DR94" s="6">
        <f t="shared" si="25"/>
        <v>12956</v>
      </c>
      <c r="DS94" s="6">
        <f t="shared" si="26"/>
        <v>0</v>
      </c>
      <c r="DT94" s="6">
        <f t="shared" si="27"/>
        <v>7617</v>
      </c>
      <c r="DU94" s="6"/>
      <c r="DV94" s="6"/>
      <c r="DW94" s="6">
        <f t="shared" si="28"/>
        <v>537801</v>
      </c>
      <c r="DY94" s="6">
        <f t="shared" si="29"/>
        <v>287979</v>
      </c>
      <c r="DZ94" s="6">
        <f t="shared" si="30"/>
        <v>0</v>
      </c>
      <c r="EB94" s="6">
        <f t="shared" si="31"/>
        <v>537801</v>
      </c>
      <c r="EC94" s="6"/>
      <c r="ED94" s="6"/>
      <c r="EF94" s="6"/>
      <c r="EG94" s="6"/>
    </row>
    <row r="95" spans="2:137" ht="14">
      <c r="B95" s="4">
        <v>34851</v>
      </c>
      <c r="C95" s="5">
        <v>0</v>
      </c>
      <c r="D95" s="5">
        <v>0</v>
      </c>
      <c r="E95" s="5">
        <v>0</v>
      </c>
      <c r="F95" s="5" t="s">
        <v>82</v>
      </c>
      <c r="G95" s="5" t="s">
        <v>82</v>
      </c>
      <c r="H95" s="5">
        <v>0</v>
      </c>
      <c r="I95" s="5">
        <v>0</v>
      </c>
      <c r="J95" s="5">
        <v>0</v>
      </c>
      <c r="K95" s="5">
        <v>0</v>
      </c>
      <c r="L95" s="5"/>
      <c r="M95" s="5">
        <v>34539</v>
      </c>
      <c r="N95" s="5">
        <v>3377</v>
      </c>
      <c r="O95" s="5"/>
      <c r="P95" s="5">
        <v>6947</v>
      </c>
      <c r="Q95" s="5">
        <v>2652</v>
      </c>
      <c r="R95" s="5">
        <v>1499</v>
      </c>
      <c r="S95" s="5">
        <v>4886</v>
      </c>
      <c r="T95" s="5">
        <v>13361</v>
      </c>
      <c r="U95" s="5"/>
      <c r="V95" s="5"/>
      <c r="W95" s="5">
        <v>6795</v>
      </c>
      <c r="X95" s="5">
        <v>0</v>
      </c>
      <c r="Y95" s="5">
        <v>847</v>
      </c>
      <c r="Z95" s="5">
        <v>28</v>
      </c>
      <c r="AA95" s="155"/>
      <c r="AB95" s="5">
        <v>29</v>
      </c>
      <c r="AC95" s="5">
        <v>0</v>
      </c>
      <c r="AD95" s="5">
        <v>7</v>
      </c>
      <c r="AE95" s="5">
        <v>33</v>
      </c>
      <c r="AF95" s="5">
        <v>16</v>
      </c>
      <c r="AG95" s="5">
        <v>64</v>
      </c>
      <c r="AH95" s="5"/>
      <c r="AI95" s="5"/>
      <c r="AJ95" s="5">
        <v>29</v>
      </c>
      <c r="AK95" s="5">
        <v>0</v>
      </c>
      <c r="AL95" s="5">
        <v>74997</v>
      </c>
      <c r="AM95" s="5">
        <v>3558</v>
      </c>
      <c r="AN95" s="5">
        <v>3928</v>
      </c>
      <c r="AO95" s="5">
        <v>41</v>
      </c>
      <c r="AP95" s="5">
        <v>4</v>
      </c>
      <c r="AQ95" s="5">
        <v>0</v>
      </c>
      <c r="AR95" s="5">
        <v>0</v>
      </c>
      <c r="AS95" s="5">
        <v>1969</v>
      </c>
      <c r="AT95" s="5" t="s">
        <v>82</v>
      </c>
      <c r="AU95" s="5">
        <v>1012</v>
      </c>
      <c r="AV95" s="5">
        <v>1273</v>
      </c>
      <c r="AW95" s="5">
        <v>2035</v>
      </c>
      <c r="AX95" s="5">
        <v>7299</v>
      </c>
      <c r="AY95" s="155"/>
      <c r="AZ95" s="155"/>
      <c r="BA95" s="155">
        <v>0</v>
      </c>
      <c r="BB95" s="155"/>
      <c r="BC95" s="5">
        <v>1253</v>
      </c>
      <c r="BD95" s="5"/>
      <c r="BE95" s="5">
        <v>54031</v>
      </c>
      <c r="BF95" s="5">
        <v>121676</v>
      </c>
      <c r="BG95" s="5">
        <v>257</v>
      </c>
      <c r="BH95" s="5">
        <v>671</v>
      </c>
      <c r="BI95" s="5">
        <v>814</v>
      </c>
      <c r="BJ95" s="5">
        <v>4410</v>
      </c>
      <c r="BK95" s="5">
        <v>90</v>
      </c>
      <c r="BL95" s="5">
        <v>2799</v>
      </c>
      <c r="BM95" s="5"/>
      <c r="BN95" s="5">
        <v>593</v>
      </c>
      <c r="BO95" s="5">
        <v>88</v>
      </c>
      <c r="BP95" s="5">
        <v>0</v>
      </c>
      <c r="BQ95" s="5">
        <v>8687</v>
      </c>
      <c r="BR95" s="5">
        <v>14168</v>
      </c>
      <c r="BS95" s="5">
        <v>25</v>
      </c>
      <c r="BT95" s="5">
        <v>495</v>
      </c>
      <c r="BU95" s="5">
        <v>611</v>
      </c>
      <c r="BV95" s="5"/>
      <c r="BW95" s="5">
        <v>7</v>
      </c>
      <c r="BX95" s="5">
        <v>243</v>
      </c>
      <c r="BY95" s="5"/>
      <c r="BZ95" s="5">
        <v>869</v>
      </c>
      <c r="CA95" s="5">
        <v>4</v>
      </c>
      <c r="CB95" s="5">
        <v>0</v>
      </c>
      <c r="CC95" s="5">
        <v>13014</v>
      </c>
      <c r="CD95" s="5">
        <v>61184</v>
      </c>
      <c r="CE95" s="5">
        <v>65940</v>
      </c>
      <c r="CF95" s="5">
        <v>13925</v>
      </c>
      <c r="CG95" s="5">
        <v>0</v>
      </c>
      <c r="CH95" s="5">
        <v>0</v>
      </c>
      <c r="CI95" s="5">
        <v>23</v>
      </c>
      <c r="CJ95" s="5">
        <v>163</v>
      </c>
      <c r="CK95" s="5">
        <v>191</v>
      </c>
      <c r="CL95" s="5"/>
      <c r="CM95" s="5"/>
      <c r="CN95" s="5"/>
      <c r="CO95" s="5"/>
      <c r="CP95" s="5"/>
      <c r="CQ95" s="5"/>
      <c r="CR95" s="5"/>
      <c r="CS95" s="5"/>
      <c r="CT95" s="5" t="s">
        <v>82</v>
      </c>
      <c r="CU95" s="5" t="s">
        <v>82</v>
      </c>
      <c r="CV95" s="5" t="s">
        <v>82</v>
      </c>
      <c r="CW95" s="5">
        <v>0</v>
      </c>
      <c r="CX95" s="5">
        <v>0</v>
      </c>
      <c r="CY95" s="5">
        <v>0</v>
      </c>
      <c r="DA95" s="6"/>
      <c r="DD95" s="6">
        <f t="shared" si="19"/>
        <v>364978</v>
      </c>
      <c r="DE95" s="6">
        <f t="shared" si="20"/>
        <v>172478</v>
      </c>
      <c r="DF95" s="16">
        <f t="shared" si="21"/>
        <v>537456</v>
      </c>
      <c r="DK95" s="6">
        <f t="shared" si="22"/>
        <v>60695</v>
      </c>
      <c r="DL95" s="6">
        <f t="shared" si="23"/>
        <v>87127</v>
      </c>
      <c r="DM95" s="6">
        <f t="shared" si="17"/>
        <v>13361</v>
      </c>
      <c r="DN95" s="6">
        <f t="shared" si="18"/>
        <v>11295</v>
      </c>
      <c r="DO95" s="6">
        <f t="shared" si="24"/>
        <v>279755</v>
      </c>
      <c r="DP95" s="6">
        <f t="shared" si="32"/>
        <v>64477</v>
      </c>
      <c r="DQ95" s="6"/>
      <c r="DR95" s="6">
        <f t="shared" si="25"/>
        <v>13037</v>
      </c>
      <c r="DS95" s="6">
        <f t="shared" si="26"/>
        <v>0</v>
      </c>
      <c r="DT95" s="6">
        <f t="shared" si="27"/>
        <v>7709</v>
      </c>
      <c r="DU95" s="6"/>
      <c r="DV95" s="6"/>
      <c r="DW95" s="6">
        <f t="shared" si="28"/>
        <v>537456</v>
      </c>
      <c r="DY95" s="6">
        <f t="shared" si="29"/>
        <v>287464</v>
      </c>
      <c r="DZ95" s="6">
        <f t="shared" si="30"/>
        <v>0</v>
      </c>
      <c r="EB95" s="6">
        <f t="shared" si="31"/>
        <v>537456</v>
      </c>
      <c r="EC95" s="6"/>
      <c r="ED95" s="6"/>
      <c r="EF95" s="6"/>
      <c r="EG95" s="6"/>
    </row>
    <row r="96" spans="2:137" ht="14">
      <c r="B96" s="4">
        <v>34881</v>
      </c>
      <c r="C96" s="5">
        <v>0</v>
      </c>
      <c r="D96" s="5">
        <v>0</v>
      </c>
      <c r="E96" s="5">
        <v>0</v>
      </c>
      <c r="F96" s="5" t="s">
        <v>82</v>
      </c>
      <c r="G96" s="5" t="s">
        <v>82</v>
      </c>
      <c r="H96" s="5">
        <v>0</v>
      </c>
      <c r="I96" s="5">
        <v>0</v>
      </c>
      <c r="J96" s="5">
        <v>0</v>
      </c>
      <c r="K96" s="5">
        <v>0</v>
      </c>
      <c r="L96" s="5"/>
      <c r="M96" s="5">
        <v>34602</v>
      </c>
      <c r="N96" s="5">
        <v>3354</v>
      </c>
      <c r="O96" s="5"/>
      <c r="P96" s="5">
        <v>6881</v>
      </c>
      <c r="Q96" s="5">
        <v>2809</v>
      </c>
      <c r="R96" s="5">
        <v>1487</v>
      </c>
      <c r="S96" s="5">
        <v>5026</v>
      </c>
      <c r="T96" s="5">
        <v>13387</v>
      </c>
      <c r="U96" s="5"/>
      <c r="V96" s="5"/>
      <c r="W96" s="5">
        <v>6737</v>
      </c>
      <c r="X96" s="5">
        <v>0</v>
      </c>
      <c r="Y96" s="5">
        <v>843</v>
      </c>
      <c r="Z96" s="5">
        <v>30</v>
      </c>
      <c r="AA96" s="155"/>
      <c r="AB96" s="5">
        <v>28</v>
      </c>
      <c r="AC96" s="5">
        <v>0</v>
      </c>
      <c r="AD96" s="5">
        <v>7</v>
      </c>
      <c r="AE96" s="5">
        <v>31</v>
      </c>
      <c r="AF96" s="5">
        <v>19</v>
      </c>
      <c r="AG96" s="5">
        <v>59</v>
      </c>
      <c r="AH96" s="5"/>
      <c r="AI96" s="5"/>
      <c r="AJ96" s="5">
        <v>28</v>
      </c>
      <c r="AK96" s="5">
        <v>0</v>
      </c>
      <c r="AL96" s="5">
        <v>75429</v>
      </c>
      <c r="AM96" s="5">
        <v>3540</v>
      </c>
      <c r="AN96" s="5">
        <v>4078</v>
      </c>
      <c r="AO96" s="5">
        <v>43</v>
      </c>
      <c r="AP96" s="5">
        <v>3</v>
      </c>
      <c r="AQ96" s="5">
        <v>0</v>
      </c>
      <c r="AR96" s="5">
        <v>0</v>
      </c>
      <c r="AS96" s="5">
        <v>1935</v>
      </c>
      <c r="AT96" s="5" t="s">
        <v>82</v>
      </c>
      <c r="AU96" s="5">
        <v>1027</v>
      </c>
      <c r="AV96" s="5">
        <v>1285</v>
      </c>
      <c r="AW96" s="5">
        <v>2059</v>
      </c>
      <c r="AX96" s="5">
        <v>7329</v>
      </c>
      <c r="AY96" s="155"/>
      <c r="AZ96" s="155"/>
      <c r="BA96" s="155">
        <v>0</v>
      </c>
      <c r="BB96" s="155"/>
      <c r="BC96" s="5">
        <v>1228</v>
      </c>
      <c r="BD96" s="5"/>
      <c r="BE96" s="5">
        <v>52770</v>
      </c>
      <c r="BF96" s="5">
        <v>119578</v>
      </c>
      <c r="BG96" s="5">
        <v>256</v>
      </c>
      <c r="BH96" s="5">
        <v>634</v>
      </c>
      <c r="BI96" s="5">
        <v>767</v>
      </c>
      <c r="BJ96" s="5">
        <v>4419</v>
      </c>
      <c r="BK96" s="5">
        <v>90</v>
      </c>
      <c r="BL96" s="5">
        <v>2737</v>
      </c>
      <c r="BM96" s="5"/>
      <c r="BN96" s="5">
        <v>590</v>
      </c>
      <c r="BO96" s="5">
        <v>85</v>
      </c>
      <c r="BP96" s="5">
        <v>0</v>
      </c>
      <c r="BQ96" s="5">
        <v>8950</v>
      </c>
      <c r="BR96" s="5">
        <v>14679</v>
      </c>
      <c r="BS96" s="5">
        <v>23</v>
      </c>
      <c r="BT96" s="5">
        <v>453</v>
      </c>
      <c r="BU96" s="5">
        <v>552</v>
      </c>
      <c r="BV96" s="5"/>
      <c r="BW96" s="5">
        <v>8</v>
      </c>
      <c r="BX96" s="5">
        <v>247</v>
      </c>
      <c r="BY96" s="5"/>
      <c r="BZ96" s="5">
        <v>855</v>
      </c>
      <c r="CA96" s="5">
        <v>4</v>
      </c>
      <c r="CB96" s="5">
        <v>0</v>
      </c>
      <c r="CC96" s="5">
        <v>12877</v>
      </c>
      <c r="CD96" s="5">
        <v>61058</v>
      </c>
      <c r="CE96" s="5">
        <v>66513</v>
      </c>
      <c r="CF96" s="5">
        <v>13840</v>
      </c>
      <c r="CG96" s="5">
        <v>0</v>
      </c>
      <c r="CH96" s="5">
        <v>0</v>
      </c>
      <c r="CI96" s="5">
        <v>23</v>
      </c>
      <c r="CJ96" s="5">
        <v>154</v>
      </c>
      <c r="CK96" s="5">
        <v>180</v>
      </c>
      <c r="CL96" s="5"/>
      <c r="CM96" s="5"/>
      <c r="CN96" s="5"/>
      <c r="CO96" s="5"/>
      <c r="CP96" s="5"/>
      <c r="CQ96" s="5"/>
      <c r="CR96" s="5"/>
      <c r="CS96" s="5"/>
      <c r="CT96" s="5" t="s">
        <v>82</v>
      </c>
      <c r="CU96" s="5" t="s">
        <v>82</v>
      </c>
      <c r="CV96" s="5" t="s">
        <v>82</v>
      </c>
      <c r="CW96" s="5">
        <v>0</v>
      </c>
      <c r="CX96" s="5">
        <v>0</v>
      </c>
      <c r="CY96" s="5">
        <v>0</v>
      </c>
      <c r="DA96" s="6"/>
      <c r="DD96" s="6">
        <f t="shared" si="19"/>
        <v>362342</v>
      </c>
      <c r="DE96" s="6">
        <f t="shared" si="20"/>
        <v>173284</v>
      </c>
      <c r="DF96" s="16">
        <f t="shared" si="21"/>
        <v>535626</v>
      </c>
      <c r="DK96" s="6">
        <f t="shared" si="22"/>
        <v>60896</v>
      </c>
      <c r="DL96" s="6">
        <f t="shared" si="23"/>
        <v>87532</v>
      </c>
      <c r="DM96" s="6">
        <f t="shared" si="17"/>
        <v>13387</v>
      </c>
      <c r="DN96" s="6">
        <f t="shared" si="18"/>
        <v>11469</v>
      </c>
      <c r="DO96" s="6">
        <f t="shared" si="24"/>
        <v>278386</v>
      </c>
      <c r="DP96" s="6">
        <f t="shared" si="32"/>
        <v>63397</v>
      </c>
      <c r="DQ96" s="6"/>
      <c r="DR96" s="6">
        <f t="shared" si="25"/>
        <v>12900</v>
      </c>
      <c r="DS96" s="6">
        <f t="shared" si="26"/>
        <v>0</v>
      </c>
      <c r="DT96" s="6">
        <f t="shared" si="27"/>
        <v>7659</v>
      </c>
      <c r="DU96" s="6"/>
      <c r="DV96" s="6"/>
      <c r="DW96" s="6">
        <f t="shared" si="28"/>
        <v>535626</v>
      </c>
      <c r="DY96" s="6">
        <f t="shared" si="29"/>
        <v>286045</v>
      </c>
      <c r="DZ96" s="6">
        <f t="shared" si="30"/>
        <v>0</v>
      </c>
      <c r="EB96" s="6">
        <f t="shared" si="31"/>
        <v>535626</v>
      </c>
      <c r="EC96" s="6"/>
      <c r="ED96" s="6"/>
      <c r="EF96" s="6"/>
      <c r="EG96" s="6"/>
    </row>
    <row r="97" spans="2:137" ht="14">
      <c r="B97" s="4">
        <v>34912</v>
      </c>
      <c r="C97" s="5">
        <v>0</v>
      </c>
      <c r="D97" s="5">
        <v>0</v>
      </c>
      <c r="E97" s="5">
        <v>0</v>
      </c>
      <c r="F97" s="5" t="s">
        <v>82</v>
      </c>
      <c r="G97" s="5" t="s">
        <v>82</v>
      </c>
      <c r="H97" s="5">
        <v>0</v>
      </c>
      <c r="I97" s="5">
        <v>0</v>
      </c>
      <c r="J97" s="5">
        <v>0</v>
      </c>
      <c r="K97" s="5">
        <v>0</v>
      </c>
      <c r="L97" s="5"/>
      <c r="M97" s="5">
        <v>34572</v>
      </c>
      <c r="N97" s="5">
        <v>3361</v>
      </c>
      <c r="O97" s="5"/>
      <c r="P97" s="5">
        <v>6831</v>
      </c>
      <c r="Q97" s="5">
        <v>2896</v>
      </c>
      <c r="R97" s="5">
        <v>1492</v>
      </c>
      <c r="S97" s="5">
        <v>5121</v>
      </c>
      <c r="T97" s="5">
        <v>13378</v>
      </c>
      <c r="U97" s="5"/>
      <c r="V97" s="5"/>
      <c r="W97" s="5">
        <v>6676</v>
      </c>
      <c r="X97" s="5">
        <v>0</v>
      </c>
      <c r="Y97" s="5">
        <v>848</v>
      </c>
      <c r="Z97" s="5">
        <v>29</v>
      </c>
      <c r="AA97" s="155"/>
      <c r="AB97" s="5">
        <v>27</v>
      </c>
      <c r="AC97" s="5">
        <v>0</v>
      </c>
      <c r="AD97" s="5">
        <v>7</v>
      </c>
      <c r="AE97" s="5">
        <v>31</v>
      </c>
      <c r="AF97" s="5">
        <v>19</v>
      </c>
      <c r="AG97" s="5">
        <v>56</v>
      </c>
      <c r="AH97" s="5"/>
      <c r="AI97" s="5"/>
      <c r="AJ97" s="5">
        <v>28</v>
      </c>
      <c r="AK97" s="5">
        <v>0</v>
      </c>
      <c r="AL97" s="5">
        <v>76015</v>
      </c>
      <c r="AM97" s="5">
        <v>3524</v>
      </c>
      <c r="AN97" s="5">
        <v>4257</v>
      </c>
      <c r="AO97" s="5">
        <v>40</v>
      </c>
      <c r="AP97" s="5">
        <v>4</v>
      </c>
      <c r="AQ97" s="5">
        <v>0</v>
      </c>
      <c r="AR97" s="5">
        <v>0</v>
      </c>
      <c r="AS97" s="5">
        <v>1915</v>
      </c>
      <c r="AT97" s="5" t="s">
        <v>82</v>
      </c>
      <c r="AU97" s="5">
        <v>1058</v>
      </c>
      <c r="AV97" s="5">
        <v>1295</v>
      </c>
      <c r="AW97" s="5">
        <v>2071</v>
      </c>
      <c r="AX97" s="5">
        <v>7404</v>
      </c>
      <c r="AY97" s="155"/>
      <c r="AZ97" s="155"/>
      <c r="BA97" s="155">
        <v>0</v>
      </c>
      <c r="BB97" s="155"/>
      <c r="BC97" s="5">
        <v>1221</v>
      </c>
      <c r="BD97" s="5"/>
      <c r="BE97" s="5">
        <v>51956</v>
      </c>
      <c r="BF97" s="5">
        <v>118328</v>
      </c>
      <c r="BG97" s="5">
        <v>263</v>
      </c>
      <c r="BH97" s="5">
        <v>662</v>
      </c>
      <c r="BI97" s="5">
        <v>830</v>
      </c>
      <c r="BJ97" s="5">
        <v>4489</v>
      </c>
      <c r="BK97" s="5">
        <v>84</v>
      </c>
      <c r="BL97" s="5">
        <v>2739</v>
      </c>
      <c r="BM97" s="5"/>
      <c r="BN97" s="5">
        <v>661</v>
      </c>
      <c r="BO97" s="5">
        <v>89</v>
      </c>
      <c r="BP97" s="5">
        <v>0</v>
      </c>
      <c r="BQ97" s="5">
        <v>9056</v>
      </c>
      <c r="BR97" s="5">
        <v>14920</v>
      </c>
      <c r="BS97" s="5">
        <v>21</v>
      </c>
      <c r="BT97" s="5">
        <v>408</v>
      </c>
      <c r="BU97" s="5">
        <v>506</v>
      </c>
      <c r="BV97" s="5"/>
      <c r="BW97" s="5">
        <v>8</v>
      </c>
      <c r="BX97" s="5">
        <v>244</v>
      </c>
      <c r="BY97" s="5"/>
      <c r="BZ97" s="5">
        <v>824</v>
      </c>
      <c r="CA97" s="5">
        <v>4</v>
      </c>
      <c r="CB97" s="5">
        <v>0</v>
      </c>
      <c r="CC97" s="5">
        <v>12867</v>
      </c>
      <c r="CD97" s="5">
        <v>60674</v>
      </c>
      <c r="CE97" s="5">
        <v>66760</v>
      </c>
      <c r="CF97" s="5">
        <v>13766</v>
      </c>
      <c r="CG97" s="5">
        <v>0</v>
      </c>
      <c r="CH97" s="5">
        <v>0</v>
      </c>
      <c r="CI97" s="5">
        <v>21</v>
      </c>
      <c r="CJ97" s="5">
        <v>146</v>
      </c>
      <c r="CK97" s="5">
        <v>188</v>
      </c>
      <c r="CL97" s="5"/>
      <c r="CM97" s="5"/>
      <c r="CN97" s="5"/>
      <c r="CO97" s="5"/>
      <c r="CP97" s="5"/>
      <c r="CQ97" s="5"/>
      <c r="CR97" s="5"/>
      <c r="CS97" s="5"/>
      <c r="CT97" s="5" t="s">
        <v>82</v>
      </c>
      <c r="CU97" s="5" t="s">
        <v>82</v>
      </c>
      <c r="CV97" s="5" t="s">
        <v>82</v>
      </c>
      <c r="CW97" s="5">
        <v>0</v>
      </c>
      <c r="CX97" s="5">
        <v>0</v>
      </c>
      <c r="CY97" s="5">
        <v>0</v>
      </c>
      <c r="DA97" s="6"/>
      <c r="DD97" s="6">
        <f t="shared" si="19"/>
        <v>360514</v>
      </c>
      <c r="DE97" s="6">
        <f t="shared" si="20"/>
        <v>174176</v>
      </c>
      <c r="DF97" s="16">
        <f t="shared" si="21"/>
        <v>534690</v>
      </c>
      <c r="DK97" s="6">
        <f t="shared" si="22"/>
        <v>60949</v>
      </c>
      <c r="DL97" s="6">
        <f t="shared" si="23"/>
        <v>88128</v>
      </c>
      <c r="DM97" s="6">
        <f t="shared" si="17"/>
        <v>13378</v>
      </c>
      <c r="DN97" s="6">
        <f t="shared" si="18"/>
        <v>11721</v>
      </c>
      <c r="DO97" s="6">
        <f t="shared" si="24"/>
        <v>277148</v>
      </c>
      <c r="DP97" s="6">
        <f t="shared" si="32"/>
        <v>62743</v>
      </c>
      <c r="DQ97" s="6"/>
      <c r="DR97" s="6">
        <f t="shared" si="25"/>
        <v>12888</v>
      </c>
      <c r="DS97" s="6">
        <f t="shared" si="26"/>
        <v>0</v>
      </c>
      <c r="DT97" s="6">
        <f t="shared" si="27"/>
        <v>7735</v>
      </c>
      <c r="DU97" s="6"/>
      <c r="DV97" s="6"/>
      <c r="DW97" s="6">
        <f t="shared" si="28"/>
        <v>534690</v>
      </c>
      <c r="DY97" s="6">
        <f t="shared" si="29"/>
        <v>284883</v>
      </c>
      <c r="DZ97" s="6">
        <f t="shared" si="30"/>
        <v>0</v>
      </c>
      <c r="EB97" s="6">
        <f t="shared" si="31"/>
        <v>534690</v>
      </c>
      <c r="EC97" s="6"/>
      <c r="ED97" s="6"/>
      <c r="EF97" s="6"/>
      <c r="EG97" s="6"/>
    </row>
    <row r="98" spans="2:137" ht="14">
      <c r="B98" s="4">
        <v>34943</v>
      </c>
      <c r="C98" s="5">
        <v>0</v>
      </c>
      <c r="D98" s="5">
        <v>0</v>
      </c>
      <c r="E98" s="5">
        <v>0</v>
      </c>
      <c r="F98" s="5" t="s">
        <v>82</v>
      </c>
      <c r="G98" s="5" t="s">
        <v>82</v>
      </c>
      <c r="H98" s="5">
        <v>0</v>
      </c>
      <c r="I98" s="5">
        <v>0</v>
      </c>
      <c r="J98" s="5">
        <v>0</v>
      </c>
      <c r="K98" s="5">
        <v>0</v>
      </c>
      <c r="L98" s="5"/>
      <c r="M98" s="5">
        <v>34577</v>
      </c>
      <c r="N98" s="5">
        <v>3387</v>
      </c>
      <c r="O98" s="5"/>
      <c r="P98" s="5">
        <v>6787</v>
      </c>
      <c r="Q98" s="5">
        <v>3009</v>
      </c>
      <c r="R98" s="5">
        <v>1523</v>
      </c>
      <c r="S98" s="5">
        <v>5273</v>
      </c>
      <c r="T98" s="5">
        <v>13353</v>
      </c>
      <c r="U98" s="5"/>
      <c r="V98" s="5"/>
      <c r="W98" s="5">
        <v>6553</v>
      </c>
      <c r="X98" s="5">
        <v>0</v>
      </c>
      <c r="Y98" s="5">
        <v>849</v>
      </c>
      <c r="Z98" s="5">
        <v>29</v>
      </c>
      <c r="AA98" s="155"/>
      <c r="AB98" s="5">
        <v>24</v>
      </c>
      <c r="AC98" s="5">
        <v>0</v>
      </c>
      <c r="AD98" s="5">
        <v>7</v>
      </c>
      <c r="AE98" s="5">
        <v>30</v>
      </c>
      <c r="AF98" s="5">
        <v>16</v>
      </c>
      <c r="AG98" s="5">
        <v>56</v>
      </c>
      <c r="AH98" s="5"/>
      <c r="AI98" s="5"/>
      <c r="AJ98" s="5">
        <v>30</v>
      </c>
      <c r="AK98" s="5">
        <v>0</v>
      </c>
      <c r="AL98" s="5">
        <v>76553</v>
      </c>
      <c r="AM98" s="5">
        <v>3533</v>
      </c>
      <c r="AN98" s="5">
        <v>4438</v>
      </c>
      <c r="AO98" s="5">
        <v>41</v>
      </c>
      <c r="AP98" s="5">
        <v>1</v>
      </c>
      <c r="AQ98" s="5">
        <v>0</v>
      </c>
      <c r="AR98" s="5">
        <v>0</v>
      </c>
      <c r="AS98" s="5">
        <v>1944</v>
      </c>
      <c r="AT98" s="5" t="s">
        <v>82</v>
      </c>
      <c r="AU98" s="5">
        <v>1076</v>
      </c>
      <c r="AV98" s="5">
        <v>1300</v>
      </c>
      <c r="AW98" s="5">
        <v>2083</v>
      </c>
      <c r="AX98" s="5">
        <v>7505</v>
      </c>
      <c r="AY98" s="155"/>
      <c r="AZ98" s="155"/>
      <c r="BA98" s="155">
        <v>0</v>
      </c>
      <c r="BB98" s="155"/>
      <c r="BC98" s="5">
        <v>1210</v>
      </c>
      <c r="BD98" s="5"/>
      <c r="BE98" s="5">
        <v>51410</v>
      </c>
      <c r="BF98" s="5">
        <v>117311</v>
      </c>
      <c r="BG98" s="5">
        <v>267</v>
      </c>
      <c r="BH98" s="5">
        <v>707</v>
      </c>
      <c r="BI98" s="5">
        <v>844</v>
      </c>
      <c r="BJ98" s="5">
        <v>4501</v>
      </c>
      <c r="BK98" s="5">
        <v>88</v>
      </c>
      <c r="BL98" s="5">
        <v>2734</v>
      </c>
      <c r="BM98" s="5"/>
      <c r="BN98" s="5">
        <v>664</v>
      </c>
      <c r="BO98" s="5">
        <v>86</v>
      </c>
      <c r="BP98" s="5">
        <v>0</v>
      </c>
      <c r="BQ98" s="5">
        <v>9230</v>
      </c>
      <c r="BR98" s="5">
        <v>15225</v>
      </c>
      <c r="BS98" s="5">
        <v>20</v>
      </c>
      <c r="BT98" s="5">
        <v>331</v>
      </c>
      <c r="BU98" s="5">
        <v>431</v>
      </c>
      <c r="BV98" s="5"/>
      <c r="BW98" s="5">
        <v>8</v>
      </c>
      <c r="BX98" s="5">
        <v>234</v>
      </c>
      <c r="BY98" s="5"/>
      <c r="BZ98" s="5">
        <v>811</v>
      </c>
      <c r="CA98" s="5">
        <v>1</v>
      </c>
      <c r="CB98" s="5">
        <v>0</v>
      </c>
      <c r="CC98" s="5">
        <v>13009</v>
      </c>
      <c r="CD98" s="5">
        <v>60695</v>
      </c>
      <c r="CE98" s="5">
        <v>67822</v>
      </c>
      <c r="CF98" s="5">
        <v>13774</v>
      </c>
      <c r="CG98" s="5">
        <v>0</v>
      </c>
      <c r="CH98" s="5">
        <v>0</v>
      </c>
      <c r="CI98" s="5">
        <v>23</v>
      </c>
      <c r="CJ98" s="5">
        <v>145</v>
      </c>
      <c r="CK98" s="5">
        <v>194</v>
      </c>
      <c r="CL98" s="5"/>
      <c r="CM98" s="5"/>
      <c r="CN98" s="5"/>
      <c r="CO98" s="5"/>
      <c r="CP98" s="5"/>
      <c r="CQ98" s="5"/>
      <c r="CR98" s="5"/>
      <c r="CS98" s="5"/>
      <c r="CT98" s="5" t="s">
        <v>82</v>
      </c>
      <c r="CU98" s="5" t="s">
        <v>82</v>
      </c>
      <c r="CV98" s="5" t="s">
        <v>82</v>
      </c>
      <c r="CW98" s="5">
        <v>0</v>
      </c>
      <c r="CX98" s="5">
        <v>0</v>
      </c>
      <c r="CY98" s="5">
        <v>0</v>
      </c>
      <c r="DA98" s="6"/>
      <c r="DD98" s="6">
        <f t="shared" si="19"/>
        <v>360565</v>
      </c>
      <c r="DE98" s="6">
        <f t="shared" si="20"/>
        <v>175187</v>
      </c>
      <c r="DF98" s="16">
        <f t="shared" si="21"/>
        <v>535752</v>
      </c>
      <c r="DK98" s="6">
        <f t="shared" si="22"/>
        <v>61109</v>
      </c>
      <c r="DL98" s="6">
        <f t="shared" si="23"/>
        <v>88725</v>
      </c>
      <c r="DM98" s="6">
        <f t="shared" si="17"/>
        <v>13353</v>
      </c>
      <c r="DN98" s="6">
        <f t="shared" si="18"/>
        <v>12000</v>
      </c>
      <c r="DO98" s="6">
        <f t="shared" si="24"/>
        <v>277455</v>
      </c>
      <c r="DP98" s="6">
        <f t="shared" si="32"/>
        <v>62342</v>
      </c>
      <c r="DQ98" s="6"/>
      <c r="DR98" s="6">
        <f t="shared" si="25"/>
        <v>13032</v>
      </c>
      <c r="DS98" s="6">
        <f t="shared" si="26"/>
        <v>0</v>
      </c>
      <c r="DT98" s="6">
        <f t="shared" si="27"/>
        <v>7736</v>
      </c>
      <c r="DU98" s="6"/>
      <c r="DV98" s="6"/>
      <c r="DW98" s="6">
        <f t="shared" si="28"/>
        <v>535752</v>
      </c>
      <c r="DY98" s="6">
        <f t="shared" si="29"/>
        <v>285191</v>
      </c>
      <c r="DZ98" s="6">
        <f t="shared" si="30"/>
        <v>0</v>
      </c>
      <c r="EB98" s="6">
        <f t="shared" si="31"/>
        <v>535752</v>
      </c>
      <c r="EC98" s="6"/>
      <c r="ED98" s="6"/>
      <c r="EF98" s="6"/>
      <c r="EG98" s="6"/>
    </row>
    <row r="99" spans="2:137" ht="14">
      <c r="B99" s="4">
        <v>34973</v>
      </c>
      <c r="C99" s="5">
        <v>0</v>
      </c>
      <c r="D99" s="5">
        <v>0</v>
      </c>
      <c r="E99" s="5">
        <v>0</v>
      </c>
      <c r="F99" s="5" t="s">
        <v>82</v>
      </c>
      <c r="G99" s="5" t="s">
        <v>82</v>
      </c>
      <c r="H99" s="5">
        <v>0</v>
      </c>
      <c r="I99" s="5">
        <v>0</v>
      </c>
      <c r="J99" s="5">
        <v>0</v>
      </c>
      <c r="K99" s="5">
        <v>0</v>
      </c>
      <c r="L99" s="5"/>
      <c r="M99" s="5">
        <v>34547</v>
      </c>
      <c r="N99" s="5">
        <v>3410</v>
      </c>
      <c r="O99" s="5"/>
      <c r="P99" s="5">
        <v>6734</v>
      </c>
      <c r="Q99" s="5">
        <v>3086</v>
      </c>
      <c r="R99" s="5">
        <v>1548</v>
      </c>
      <c r="S99" s="5">
        <v>5371</v>
      </c>
      <c r="T99" s="5">
        <v>13381</v>
      </c>
      <c r="U99" s="5"/>
      <c r="V99" s="5"/>
      <c r="W99" s="5">
        <v>6454</v>
      </c>
      <c r="X99" s="5">
        <v>0</v>
      </c>
      <c r="Y99" s="5">
        <v>838</v>
      </c>
      <c r="Z99" s="5">
        <v>30</v>
      </c>
      <c r="AA99" s="155"/>
      <c r="AB99" s="5">
        <v>26</v>
      </c>
      <c r="AC99" s="5">
        <v>0</v>
      </c>
      <c r="AD99" s="5">
        <v>8</v>
      </c>
      <c r="AE99" s="5">
        <v>29</v>
      </c>
      <c r="AF99" s="5">
        <v>17</v>
      </c>
      <c r="AG99" s="5">
        <v>56</v>
      </c>
      <c r="AH99" s="5"/>
      <c r="AI99" s="5"/>
      <c r="AJ99" s="5">
        <v>31</v>
      </c>
      <c r="AK99" s="5">
        <v>0</v>
      </c>
      <c r="AL99" s="5">
        <v>77012</v>
      </c>
      <c r="AM99" s="5">
        <v>3546</v>
      </c>
      <c r="AN99" s="5">
        <v>4640</v>
      </c>
      <c r="AO99" s="5">
        <v>44</v>
      </c>
      <c r="AP99" s="5">
        <v>2</v>
      </c>
      <c r="AQ99" s="5">
        <v>0</v>
      </c>
      <c r="AR99" s="5">
        <v>0</v>
      </c>
      <c r="AS99" s="5">
        <v>1927</v>
      </c>
      <c r="AT99" s="5" t="s">
        <v>82</v>
      </c>
      <c r="AU99" s="5">
        <v>1101</v>
      </c>
      <c r="AV99" s="5">
        <v>1308</v>
      </c>
      <c r="AW99" s="5">
        <v>2099</v>
      </c>
      <c r="AX99" s="5">
        <v>7558</v>
      </c>
      <c r="AY99" s="155"/>
      <c r="AZ99" s="155"/>
      <c r="BA99" s="155">
        <v>0</v>
      </c>
      <c r="BB99" s="155"/>
      <c r="BC99" s="5">
        <v>1197</v>
      </c>
      <c r="BD99" s="5"/>
      <c r="BE99" s="5">
        <v>50355</v>
      </c>
      <c r="BF99" s="5">
        <v>115525</v>
      </c>
      <c r="BG99" s="5">
        <v>275</v>
      </c>
      <c r="BH99" s="5">
        <v>724</v>
      </c>
      <c r="BI99" s="5">
        <v>908</v>
      </c>
      <c r="BJ99" s="5">
        <v>4516</v>
      </c>
      <c r="BK99" s="5">
        <v>80</v>
      </c>
      <c r="BL99" s="5">
        <v>2699</v>
      </c>
      <c r="BM99" s="5"/>
      <c r="BN99" s="5">
        <v>578</v>
      </c>
      <c r="BO99" s="5">
        <v>79</v>
      </c>
      <c r="BP99" s="5">
        <v>0</v>
      </c>
      <c r="BQ99" s="5">
        <v>9333</v>
      </c>
      <c r="BR99" s="5">
        <v>15479</v>
      </c>
      <c r="BS99" s="5">
        <v>20</v>
      </c>
      <c r="BT99" s="5">
        <v>269</v>
      </c>
      <c r="BU99" s="5">
        <v>348</v>
      </c>
      <c r="BV99" s="5"/>
      <c r="BW99" s="5">
        <v>6</v>
      </c>
      <c r="BX99" s="5">
        <v>239</v>
      </c>
      <c r="BY99" s="5"/>
      <c r="BZ99" s="5">
        <v>764</v>
      </c>
      <c r="CA99" s="5">
        <v>1</v>
      </c>
      <c r="CB99" s="5">
        <v>0</v>
      </c>
      <c r="CC99" s="5">
        <v>12721</v>
      </c>
      <c r="CD99" s="5">
        <v>60193</v>
      </c>
      <c r="CE99" s="5">
        <v>68110</v>
      </c>
      <c r="CF99" s="5">
        <v>13732</v>
      </c>
      <c r="CG99" s="5">
        <v>0</v>
      </c>
      <c r="CH99" s="5">
        <v>0</v>
      </c>
      <c r="CI99" s="5">
        <v>25</v>
      </c>
      <c r="CJ99" s="5">
        <v>144</v>
      </c>
      <c r="CK99" s="5">
        <v>193</v>
      </c>
      <c r="CL99" s="5"/>
      <c r="CM99" s="5"/>
      <c r="CN99" s="5"/>
      <c r="CO99" s="5"/>
      <c r="CP99" s="5"/>
      <c r="CQ99" s="5"/>
      <c r="CR99" s="5"/>
      <c r="CS99" s="5"/>
      <c r="CT99" s="5" t="s">
        <v>82</v>
      </c>
      <c r="CU99" s="5" t="s">
        <v>82</v>
      </c>
      <c r="CV99" s="5" t="s">
        <v>82</v>
      </c>
      <c r="CW99" s="5">
        <v>0</v>
      </c>
      <c r="CX99" s="5">
        <v>0</v>
      </c>
      <c r="CY99" s="5">
        <v>0</v>
      </c>
      <c r="DA99" s="6"/>
      <c r="DD99" s="6">
        <f t="shared" si="19"/>
        <v>357316</v>
      </c>
      <c r="DE99" s="6">
        <f t="shared" si="20"/>
        <v>176000</v>
      </c>
      <c r="DF99" s="16">
        <f t="shared" si="21"/>
        <v>533316</v>
      </c>
      <c r="DK99" s="6">
        <f t="shared" si="22"/>
        <v>61150</v>
      </c>
      <c r="DL99" s="6">
        <f t="shared" si="23"/>
        <v>89213</v>
      </c>
      <c r="DM99" s="6">
        <f t="shared" ref="DM99:DM162" si="33">T99</f>
        <v>13381</v>
      </c>
      <c r="DN99" s="6">
        <f t="shared" ref="DN99:DN162" si="34">AG99+AX99+AN99+AP99+AQ99+AR99</f>
        <v>12256</v>
      </c>
      <c r="DO99" s="6">
        <f t="shared" si="24"/>
        <v>275582</v>
      </c>
      <c r="DP99" s="6">
        <f t="shared" si="32"/>
        <v>61259</v>
      </c>
      <c r="DQ99" s="6"/>
      <c r="DR99" s="6">
        <f t="shared" si="25"/>
        <v>12746</v>
      </c>
      <c r="DS99" s="6">
        <f t="shared" si="26"/>
        <v>0</v>
      </c>
      <c r="DT99" s="6">
        <f t="shared" si="27"/>
        <v>7729</v>
      </c>
      <c r="DU99" s="6"/>
      <c r="DV99" s="6"/>
      <c r="DW99" s="6">
        <f t="shared" si="28"/>
        <v>533316</v>
      </c>
      <c r="DY99" s="6">
        <f t="shared" si="29"/>
        <v>283311</v>
      </c>
      <c r="DZ99" s="6">
        <f t="shared" si="30"/>
        <v>0</v>
      </c>
      <c r="EB99" s="6">
        <f t="shared" si="31"/>
        <v>533316</v>
      </c>
      <c r="EC99" s="6"/>
      <c r="ED99" s="6"/>
      <c r="EF99" s="6"/>
      <c r="EG99" s="6"/>
    </row>
    <row r="100" spans="2:137" ht="14">
      <c r="B100" s="4">
        <v>35004</v>
      </c>
      <c r="C100" s="5">
        <v>0</v>
      </c>
      <c r="D100" s="5">
        <v>0</v>
      </c>
      <c r="E100" s="5">
        <v>0</v>
      </c>
      <c r="F100" s="5" t="s">
        <v>82</v>
      </c>
      <c r="G100" s="5" t="s">
        <v>82</v>
      </c>
      <c r="H100" s="5">
        <v>0</v>
      </c>
      <c r="I100" s="5">
        <v>0</v>
      </c>
      <c r="J100" s="5">
        <v>0</v>
      </c>
      <c r="K100" s="5">
        <v>0</v>
      </c>
      <c r="L100" s="5"/>
      <c r="M100" s="5">
        <v>34598</v>
      </c>
      <c r="N100" s="5">
        <v>3383</v>
      </c>
      <c r="O100" s="5"/>
      <c r="P100" s="5">
        <v>6666</v>
      </c>
      <c r="Q100" s="5">
        <v>3157</v>
      </c>
      <c r="R100" s="5">
        <v>1569</v>
      </c>
      <c r="S100" s="5">
        <v>5475</v>
      </c>
      <c r="T100" s="5">
        <v>13516</v>
      </c>
      <c r="U100" s="5"/>
      <c r="V100" s="5"/>
      <c r="W100" s="5">
        <v>6299</v>
      </c>
      <c r="X100" s="5">
        <v>0</v>
      </c>
      <c r="Y100" s="5">
        <v>841</v>
      </c>
      <c r="Z100" s="5">
        <v>32</v>
      </c>
      <c r="AA100" s="155"/>
      <c r="AB100" s="5">
        <v>25</v>
      </c>
      <c r="AC100" s="5">
        <v>0</v>
      </c>
      <c r="AD100" s="5">
        <v>9</v>
      </c>
      <c r="AE100" s="5">
        <v>29</v>
      </c>
      <c r="AF100" s="5">
        <v>19</v>
      </c>
      <c r="AG100" s="5">
        <v>57</v>
      </c>
      <c r="AH100" s="5"/>
      <c r="AI100" s="5"/>
      <c r="AJ100" s="5">
        <v>30</v>
      </c>
      <c r="AK100" s="5">
        <v>0</v>
      </c>
      <c r="AL100" s="5">
        <v>77528</v>
      </c>
      <c r="AM100" s="5">
        <v>3565</v>
      </c>
      <c r="AN100" s="5">
        <v>4847</v>
      </c>
      <c r="AO100" s="5">
        <v>47</v>
      </c>
      <c r="AP100" s="5">
        <v>1</v>
      </c>
      <c r="AQ100" s="5">
        <v>0</v>
      </c>
      <c r="AR100" s="5">
        <v>0</v>
      </c>
      <c r="AS100" s="5">
        <v>1935</v>
      </c>
      <c r="AT100" s="5" t="s">
        <v>82</v>
      </c>
      <c r="AU100" s="5">
        <v>1091</v>
      </c>
      <c r="AV100" s="5">
        <v>1327</v>
      </c>
      <c r="AW100" s="5">
        <v>2127</v>
      </c>
      <c r="AX100" s="5">
        <v>7640</v>
      </c>
      <c r="AY100" s="155"/>
      <c r="AZ100" s="155"/>
      <c r="BA100" s="155">
        <v>0</v>
      </c>
      <c r="BB100" s="155"/>
      <c r="BC100" s="5">
        <v>1220</v>
      </c>
      <c r="BD100" s="5"/>
      <c r="BE100" s="5">
        <v>49722</v>
      </c>
      <c r="BF100" s="5">
        <v>114428</v>
      </c>
      <c r="BG100" s="5">
        <v>264</v>
      </c>
      <c r="BH100" s="5">
        <v>745</v>
      </c>
      <c r="BI100" s="5">
        <v>949</v>
      </c>
      <c r="BJ100" s="5">
        <v>4497</v>
      </c>
      <c r="BK100" s="5">
        <v>74</v>
      </c>
      <c r="BL100" s="5">
        <v>2697</v>
      </c>
      <c r="BM100" s="5"/>
      <c r="BN100" s="5">
        <v>599</v>
      </c>
      <c r="BO100" s="5">
        <v>76</v>
      </c>
      <c r="BP100" s="5">
        <v>0</v>
      </c>
      <c r="BQ100" s="5">
        <v>9334</v>
      </c>
      <c r="BR100" s="5">
        <v>15444</v>
      </c>
      <c r="BS100" s="5">
        <v>19</v>
      </c>
      <c r="BT100" s="5">
        <v>225</v>
      </c>
      <c r="BU100" s="5">
        <v>309</v>
      </c>
      <c r="BV100" s="5"/>
      <c r="BW100" s="5">
        <v>8</v>
      </c>
      <c r="BX100" s="5">
        <v>237</v>
      </c>
      <c r="BY100" s="5"/>
      <c r="BZ100" s="5">
        <v>726</v>
      </c>
      <c r="CA100" s="5">
        <v>1</v>
      </c>
      <c r="CB100" s="5">
        <v>0</v>
      </c>
      <c r="CC100" s="5">
        <v>12514</v>
      </c>
      <c r="CD100" s="5">
        <v>60379</v>
      </c>
      <c r="CE100" s="5">
        <v>68835</v>
      </c>
      <c r="CF100" s="5">
        <v>13730</v>
      </c>
      <c r="CG100" s="5">
        <v>0</v>
      </c>
      <c r="CH100" s="5">
        <v>0</v>
      </c>
      <c r="CI100" s="5">
        <v>27</v>
      </c>
      <c r="CJ100" s="5">
        <v>129</v>
      </c>
      <c r="CK100" s="5">
        <v>191</v>
      </c>
      <c r="CL100" s="5"/>
      <c r="CM100" s="5"/>
      <c r="CN100" s="5"/>
      <c r="CO100" s="5"/>
      <c r="CP100" s="5"/>
      <c r="CQ100" s="5"/>
      <c r="CR100" s="5"/>
      <c r="CS100" s="5"/>
      <c r="CT100" s="5" t="s">
        <v>82</v>
      </c>
      <c r="CU100" s="5" t="s">
        <v>82</v>
      </c>
      <c r="CV100" s="5" t="s">
        <v>82</v>
      </c>
      <c r="CW100" s="5">
        <v>0</v>
      </c>
      <c r="CX100" s="5">
        <v>0</v>
      </c>
      <c r="CY100" s="5">
        <v>0</v>
      </c>
      <c r="DA100" s="6"/>
      <c r="DD100" s="6">
        <f t="shared" si="19"/>
        <v>356159</v>
      </c>
      <c r="DE100" s="6">
        <f t="shared" si="20"/>
        <v>177033</v>
      </c>
      <c r="DF100" s="16">
        <f t="shared" si="21"/>
        <v>533192</v>
      </c>
      <c r="DK100" s="6">
        <f t="shared" si="22"/>
        <v>61147</v>
      </c>
      <c r="DL100" s="6">
        <f t="shared" si="23"/>
        <v>89825</v>
      </c>
      <c r="DM100" s="6">
        <f t="shared" si="33"/>
        <v>13516</v>
      </c>
      <c r="DN100" s="6">
        <f t="shared" si="34"/>
        <v>12545</v>
      </c>
      <c r="DO100" s="6">
        <f t="shared" si="24"/>
        <v>275298</v>
      </c>
      <c r="DP100" s="6">
        <f t="shared" si="32"/>
        <v>60625</v>
      </c>
      <c r="DQ100" s="6"/>
      <c r="DR100" s="6">
        <f t="shared" si="25"/>
        <v>12541</v>
      </c>
      <c r="DS100" s="6">
        <f t="shared" si="26"/>
        <v>0</v>
      </c>
      <c r="DT100" s="6">
        <f t="shared" si="27"/>
        <v>7695</v>
      </c>
      <c r="DU100" s="6"/>
      <c r="DV100" s="6"/>
      <c r="DW100" s="6">
        <f t="shared" si="28"/>
        <v>533192</v>
      </c>
      <c r="DY100" s="6">
        <f t="shared" si="29"/>
        <v>282993</v>
      </c>
      <c r="DZ100" s="6">
        <f t="shared" si="30"/>
        <v>0</v>
      </c>
      <c r="EB100" s="6">
        <f t="shared" si="31"/>
        <v>533192</v>
      </c>
      <c r="EC100" s="6"/>
      <c r="ED100" s="6"/>
      <c r="EF100" s="6"/>
      <c r="EG100" s="6"/>
    </row>
    <row r="101" spans="2:137" ht="14">
      <c r="B101" s="4">
        <v>35034</v>
      </c>
      <c r="C101" s="5">
        <v>0</v>
      </c>
      <c r="D101" s="5">
        <v>0</v>
      </c>
      <c r="E101" s="5">
        <v>0</v>
      </c>
      <c r="F101" s="5" t="s">
        <v>82</v>
      </c>
      <c r="G101" s="5" t="s">
        <v>82</v>
      </c>
      <c r="H101" s="5">
        <v>0</v>
      </c>
      <c r="I101" s="5">
        <v>0</v>
      </c>
      <c r="J101" s="5">
        <v>0</v>
      </c>
      <c r="K101" s="5">
        <v>0</v>
      </c>
      <c r="L101" s="5"/>
      <c r="M101" s="5">
        <v>34584</v>
      </c>
      <c r="N101" s="5">
        <v>3389</v>
      </c>
      <c r="O101" s="5"/>
      <c r="P101" s="5">
        <v>6607</v>
      </c>
      <c r="Q101" s="5">
        <v>3210</v>
      </c>
      <c r="R101" s="5">
        <v>1600</v>
      </c>
      <c r="S101" s="5">
        <v>5559</v>
      </c>
      <c r="T101" s="5">
        <v>13541</v>
      </c>
      <c r="U101" s="5"/>
      <c r="V101" s="5"/>
      <c r="W101" s="5">
        <v>6172</v>
      </c>
      <c r="X101" s="5">
        <v>0</v>
      </c>
      <c r="Y101" s="5">
        <v>836</v>
      </c>
      <c r="Z101" s="5">
        <v>33</v>
      </c>
      <c r="AA101" s="155"/>
      <c r="AB101" s="5">
        <v>28</v>
      </c>
      <c r="AC101" s="5">
        <v>0</v>
      </c>
      <c r="AD101" s="5">
        <v>9</v>
      </c>
      <c r="AE101" s="5">
        <v>29</v>
      </c>
      <c r="AF101" s="5">
        <v>20</v>
      </c>
      <c r="AG101" s="5">
        <v>57</v>
      </c>
      <c r="AH101" s="5"/>
      <c r="AI101" s="5"/>
      <c r="AJ101" s="5">
        <v>30</v>
      </c>
      <c r="AK101" s="5">
        <v>0</v>
      </c>
      <c r="AL101" s="5">
        <v>77913</v>
      </c>
      <c r="AM101" s="5">
        <v>3573</v>
      </c>
      <c r="AN101" s="5">
        <v>5041</v>
      </c>
      <c r="AO101" s="5">
        <v>48</v>
      </c>
      <c r="AP101" s="5">
        <v>2</v>
      </c>
      <c r="AQ101" s="5">
        <v>0</v>
      </c>
      <c r="AR101" s="5">
        <v>0</v>
      </c>
      <c r="AS101" s="5">
        <v>1937</v>
      </c>
      <c r="AT101" s="5" t="s">
        <v>82</v>
      </c>
      <c r="AU101" s="5">
        <v>1105</v>
      </c>
      <c r="AV101" s="5">
        <v>1357</v>
      </c>
      <c r="AW101" s="5">
        <v>2116</v>
      </c>
      <c r="AX101" s="5">
        <v>7675</v>
      </c>
      <c r="AY101" s="155"/>
      <c r="AZ101" s="155"/>
      <c r="BA101" s="155">
        <v>0</v>
      </c>
      <c r="BB101" s="155"/>
      <c r="BC101" s="5">
        <v>1221</v>
      </c>
      <c r="BD101" s="5"/>
      <c r="BE101" s="5">
        <v>49544</v>
      </c>
      <c r="BF101" s="5">
        <v>114219</v>
      </c>
      <c r="BG101" s="5">
        <v>265</v>
      </c>
      <c r="BH101" s="5">
        <v>771</v>
      </c>
      <c r="BI101" s="5">
        <v>976</v>
      </c>
      <c r="BJ101" s="5">
        <v>4513</v>
      </c>
      <c r="BK101" s="5">
        <v>76</v>
      </c>
      <c r="BL101" s="5">
        <v>2697</v>
      </c>
      <c r="BM101" s="5"/>
      <c r="BN101" s="5">
        <v>652</v>
      </c>
      <c r="BO101" s="5">
        <v>77</v>
      </c>
      <c r="BP101" s="5">
        <v>0</v>
      </c>
      <c r="BQ101" s="5">
        <v>9192</v>
      </c>
      <c r="BR101" s="5">
        <v>15137</v>
      </c>
      <c r="BS101" s="5">
        <v>19</v>
      </c>
      <c r="BT101" s="5">
        <v>194</v>
      </c>
      <c r="BU101" s="5">
        <v>278</v>
      </c>
      <c r="BV101" s="5"/>
      <c r="BW101" s="5">
        <v>8</v>
      </c>
      <c r="BX101" s="5">
        <v>244</v>
      </c>
      <c r="BY101" s="5"/>
      <c r="BZ101" s="5">
        <v>678</v>
      </c>
      <c r="CA101" s="5">
        <v>1</v>
      </c>
      <c r="CB101" s="5">
        <v>0</v>
      </c>
      <c r="CC101" s="5">
        <v>12327</v>
      </c>
      <c r="CD101" s="5">
        <v>60561</v>
      </c>
      <c r="CE101" s="5">
        <v>69773</v>
      </c>
      <c r="CF101" s="5">
        <v>13671</v>
      </c>
      <c r="CG101" s="5">
        <v>0</v>
      </c>
      <c r="CH101" s="5">
        <v>0</v>
      </c>
      <c r="CI101" s="5">
        <v>25</v>
      </c>
      <c r="CJ101" s="5">
        <v>128</v>
      </c>
      <c r="CK101" s="5">
        <v>187</v>
      </c>
      <c r="CL101" s="5"/>
      <c r="CM101" s="5"/>
      <c r="CN101" s="5"/>
      <c r="CO101" s="5"/>
      <c r="CP101" s="5"/>
      <c r="CQ101" s="5"/>
      <c r="CR101" s="5"/>
      <c r="CS101" s="5"/>
      <c r="CT101" s="5" t="s">
        <v>82</v>
      </c>
      <c r="CU101" s="5" t="s">
        <v>82</v>
      </c>
      <c r="CV101" s="5" t="s">
        <v>82</v>
      </c>
      <c r="CW101" s="5">
        <v>0</v>
      </c>
      <c r="CX101" s="5">
        <v>0</v>
      </c>
      <c r="CY101" s="5">
        <v>0</v>
      </c>
      <c r="DA101" s="6"/>
      <c r="DD101" s="6">
        <f t="shared" si="19"/>
        <v>356213</v>
      </c>
      <c r="DE101" s="6">
        <f t="shared" si="20"/>
        <v>177692</v>
      </c>
      <c r="DF101" s="16">
        <f t="shared" si="21"/>
        <v>533905</v>
      </c>
      <c r="DK101" s="6">
        <f t="shared" si="22"/>
        <v>61121</v>
      </c>
      <c r="DL101" s="6">
        <f t="shared" si="23"/>
        <v>90255</v>
      </c>
      <c r="DM101" s="6">
        <f t="shared" si="33"/>
        <v>13541</v>
      </c>
      <c r="DN101" s="6">
        <f t="shared" si="34"/>
        <v>12775</v>
      </c>
      <c r="DO101" s="6">
        <f t="shared" si="24"/>
        <v>275789</v>
      </c>
      <c r="DP101" s="6">
        <f t="shared" si="32"/>
        <v>60353</v>
      </c>
      <c r="DQ101" s="6"/>
      <c r="DR101" s="6">
        <f t="shared" si="25"/>
        <v>12352</v>
      </c>
      <c r="DS101" s="6">
        <f t="shared" si="26"/>
        <v>0</v>
      </c>
      <c r="DT101" s="6">
        <f t="shared" si="27"/>
        <v>7719</v>
      </c>
      <c r="DU101" s="6"/>
      <c r="DV101" s="6"/>
      <c r="DW101" s="6">
        <f t="shared" si="28"/>
        <v>533905</v>
      </c>
      <c r="DY101" s="6">
        <f t="shared" si="29"/>
        <v>283508</v>
      </c>
      <c r="DZ101" s="6">
        <f t="shared" si="30"/>
        <v>0</v>
      </c>
      <c r="EB101" s="6">
        <f t="shared" si="31"/>
        <v>533905</v>
      </c>
      <c r="EC101" s="6"/>
      <c r="ED101" s="6"/>
      <c r="EF101" s="6"/>
      <c r="EG101" s="6"/>
    </row>
    <row r="102" spans="2:137" ht="14">
      <c r="B102" s="4">
        <v>35065</v>
      </c>
      <c r="C102" s="5">
        <v>0</v>
      </c>
      <c r="D102" s="5">
        <v>0</v>
      </c>
      <c r="E102" s="5">
        <v>0</v>
      </c>
      <c r="F102" s="5" t="s">
        <v>82</v>
      </c>
      <c r="G102" s="5" t="s">
        <v>82</v>
      </c>
      <c r="H102" s="5">
        <v>0</v>
      </c>
      <c r="I102" s="5">
        <v>0</v>
      </c>
      <c r="J102" s="5">
        <v>0</v>
      </c>
      <c r="K102" s="5">
        <v>0</v>
      </c>
      <c r="L102" s="5"/>
      <c r="M102" s="5">
        <v>34545</v>
      </c>
      <c r="N102" s="5">
        <v>3362</v>
      </c>
      <c r="O102" s="5"/>
      <c r="P102" s="5">
        <v>6539</v>
      </c>
      <c r="Q102" s="5">
        <v>3244</v>
      </c>
      <c r="R102" s="5">
        <v>1613</v>
      </c>
      <c r="S102" s="5">
        <v>5599</v>
      </c>
      <c r="T102" s="5">
        <v>13522</v>
      </c>
      <c r="U102" s="5"/>
      <c r="V102" s="5"/>
      <c r="W102" s="5">
        <v>6088</v>
      </c>
      <c r="X102" s="5">
        <v>0</v>
      </c>
      <c r="Y102" s="5">
        <v>840</v>
      </c>
      <c r="Z102" s="5">
        <v>34</v>
      </c>
      <c r="AA102" s="155"/>
      <c r="AB102" s="5">
        <v>26</v>
      </c>
      <c r="AC102" s="5">
        <v>0</v>
      </c>
      <c r="AD102" s="5">
        <v>10</v>
      </c>
      <c r="AE102" s="5">
        <v>29</v>
      </c>
      <c r="AF102" s="5">
        <v>22</v>
      </c>
      <c r="AG102" s="5">
        <v>55</v>
      </c>
      <c r="AH102" s="5"/>
      <c r="AI102" s="5"/>
      <c r="AJ102" s="5">
        <v>32</v>
      </c>
      <c r="AK102" s="5">
        <v>0</v>
      </c>
      <c r="AL102" s="5">
        <v>78307</v>
      </c>
      <c r="AM102" s="5">
        <v>3580</v>
      </c>
      <c r="AN102" s="5">
        <v>5192</v>
      </c>
      <c r="AO102" s="5">
        <v>55</v>
      </c>
      <c r="AP102" s="5">
        <v>3</v>
      </c>
      <c r="AQ102" s="5">
        <v>0</v>
      </c>
      <c r="AR102" s="5">
        <v>0</v>
      </c>
      <c r="AS102" s="5">
        <v>1890</v>
      </c>
      <c r="AT102" s="5" t="s">
        <v>82</v>
      </c>
      <c r="AU102" s="5">
        <v>1122</v>
      </c>
      <c r="AV102" s="5">
        <v>1370</v>
      </c>
      <c r="AW102" s="5">
        <v>2139</v>
      </c>
      <c r="AX102" s="5">
        <v>7705</v>
      </c>
      <c r="AY102" s="155"/>
      <c r="AZ102" s="155"/>
      <c r="BA102" s="155">
        <v>0</v>
      </c>
      <c r="BB102" s="155"/>
      <c r="BC102" s="5">
        <v>1221</v>
      </c>
      <c r="BD102" s="5"/>
      <c r="BE102" s="5">
        <v>49446</v>
      </c>
      <c r="BF102" s="5">
        <v>114154</v>
      </c>
      <c r="BG102" s="5">
        <v>273</v>
      </c>
      <c r="BH102" s="5">
        <v>778</v>
      </c>
      <c r="BI102" s="5">
        <v>971</v>
      </c>
      <c r="BJ102" s="5">
        <v>4513</v>
      </c>
      <c r="BK102" s="5">
        <v>71</v>
      </c>
      <c r="BL102" s="5">
        <v>2697</v>
      </c>
      <c r="BM102" s="5"/>
      <c r="BN102" s="5">
        <v>632</v>
      </c>
      <c r="BO102" s="5">
        <v>73</v>
      </c>
      <c r="BP102" s="5">
        <v>0</v>
      </c>
      <c r="BQ102" s="5">
        <v>8914</v>
      </c>
      <c r="BR102" s="5">
        <v>14645</v>
      </c>
      <c r="BS102" s="5">
        <v>21</v>
      </c>
      <c r="BT102" s="5">
        <v>193</v>
      </c>
      <c r="BU102" s="5">
        <v>274</v>
      </c>
      <c r="BV102" s="5"/>
      <c r="BW102" s="5">
        <v>6</v>
      </c>
      <c r="BX102" s="5">
        <v>243</v>
      </c>
      <c r="BY102" s="5"/>
      <c r="BZ102" s="5">
        <v>647</v>
      </c>
      <c r="CA102" s="5">
        <v>1</v>
      </c>
      <c r="CB102" s="5">
        <v>0</v>
      </c>
      <c r="CC102" s="5">
        <v>12162</v>
      </c>
      <c r="CD102" s="5">
        <v>60912</v>
      </c>
      <c r="CE102" s="5">
        <v>70846</v>
      </c>
      <c r="CF102" s="5">
        <v>13619</v>
      </c>
      <c r="CG102" s="5">
        <v>0</v>
      </c>
      <c r="CH102" s="5">
        <v>0</v>
      </c>
      <c r="CI102" s="5">
        <v>23</v>
      </c>
      <c r="CJ102" s="5">
        <v>131</v>
      </c>
      <c r="CK102" s="5">
        <v>191</v>
      </c>
      <c r="CL102" s="5"/>
      <c r="CM102" s="5"/>
      <c r="CN102" s="5"/>
      <c r="CO102" s="5"/>
      <c r="CP102" s="5"/>
      <c r="CQ102" s="5"/>
      <c r="CR102" s="5"/>
      <c r="CS102" s="5"/>
      <c r="CT102" s="5" t="s">
        <v>82</v>
      </c>
      <c r="CU102" s="5" t="s">
        <v>82</v>
      </c>
      <c r="CV102" s="5" t="s">
        <v>82</v>
      </c>
      <c r="CW102" s="5">
        <v>0</v>
      </c>
      <c r="CX102" s="5">
        <v>0</v>
      </c>
      <c r="CY102" s="5">
        <v>0</v>
      </c>
      <c r="DA102" s="6"/>
      <c r="DD102" s="6">
        <f t="shared" si="19"/>
        <v>356436</v>
      </c>
      <c r="DE102" s="6">
        <f t="shared" si="20"/>
        <v>178144</v>
      </c>
      <c r="DF102" s="16">
        <f t="shared" si="21"/>
        <v>534580</v>
      </c>
      <c r="DK102" s="6">
        <f t="shared" si="22"/>
        <v>60990</v>
      </c>
      <c r="DL102" s="6">
        <f t="shared" si="23"/>
        <v>90677</v>
      </c>
      <c r="DM102" s="6">
        <f t="shared" si="33"/>
        <v>13522</v>
      </c>
      <c r="DN102" s="6">
        <f t="shared" si="34"/>
        <v>12955</v>
      </c>
      <c r="DO102" s="6">
        <f t="shared" si="24"/>
        <v>276562</v>
      </c>
      <c r="DP102" s="6">
        <f t="shared" si="32"/>
        <v>59963</v>
      </c>
      <c r="DQ102" s="6"/>
      <c r="DR102" s="6">
        <f t="shared" si="25"/>
        <v>12185</v>
      </c>
      <c r="DS102" s="6">
        <f t="shared" si="26"/>
        <v>0</v>
      </c>
      <c r="DT102" s="6">
        <f t="shared" si="27"/>
        <v>7726</v>
      </c>
      <c r="DU102" s="6"/>
      <c r="DV102" s="6"/>
      <c r="DW102" s="6">
        <f t="shared" si="28"/>
        <v>534580</v>
      </c>
      <c r="DY102" s="6">
        <f t="shared" si="29"/>
        <v>284288</v>
      </c>
      <c r="DZ102" s="6">
        <f t="shared" si="30"/>
        <v>0</v>
      </c>
      <c r="EB102" s="6">
        <f t="shared" si="31"/>
        <v>534580</v>
      </c>
      <c r="EC102" s="6"/>
      <c r="ED102" s="6"/>
      <c r="EF102" s="6"/>
      <c r="EG102" s="6"/>
    </row>
    <row r="103" spans="2:137" ht="14">
      <c r="B103" s="4">
        <v>35096</v>
      </c>
      <c r="C103" s="5">
        <v>0</v>
      </c>
      <c r="D103" s="5">
        <v>0</v>
      </c>
      <c r="E103" s="5">
        <v>0</v>
      </c>
      <c r="F103" s="5" t="s">
        <v>82</v>
      </c>
      <c r="G103" s="5" t="s">
        <v>82</v>
      </c>
      <c r="H103" s="5">
        <v>0</v>
      </c>
      <c r="I103" s="5">
        <v>0</v>
      </c>
      <c r="J103" s="5">
        <v>0</v>
      </c>
      <c r="K103" s="5">
        <v>0</v>
      </c>
      <c r="L103" s="5"/>
      <c r="M103" s="5">
        <v>34443</v>
      </c>
      <c r="N103" s="5">
        <v>3334</v>
      </c>
      <c r="O103" s="5"/>
      <c r="P103" s="5">
        <v>6378</v>
      </c>
      <c r="Q103" s="5">
        <v>3284</v>
      </c>
      <c r="R103" s="5">
        <v>1646</v>
      </c>
      <c r="S103" s="5">
        <v>5633</v>
      </c>
      <c r="T103" s="5">
        <v>13514</v>
      </c>
      <c r="U103" s="5"/>
      <c r="V103" s="5"/>
      <c r="W103" s="5">
        <v>5911</v>
      </c>
      <c r="X103" s="5">
        <v>0</v>
      </c>
      <c r="Y103" s="5">
        <v>836</v>
      </c>
      <c r="Z103" s="5">
        <v>32</v>
      </c>
      <c r="AA103" s="155"/>
      <c r="AB103" s="5">
        <v>24</v>
      </c>
      <c r="AC103" s="5">
        <v>0</v>
      </c>
      <c r="AD103" s="5">
        <v>10</v>
      </c>
      <c r="AE103" s="5">
        <v>28</v>
      </c>
      <c r="AF103" s="5">
        <v>22</v>
      </c>
      <c r="AG103" s="5">
        <v>54</v>
      </c>
      <c r="AH103" s="5"/>
      <c r="AI103" s="5"/>
      <c r="AJ103" s="5">
        <v>30</v>
      </c>
      <c r="AK103" s="5">
        <v>0</v>
      </c>
      <c r="AL103" s="5">
        <v>78794</v>
      </c>
      <c r="AM103" s="5">
        <v>3558</v>
      </c>
      <c r="AN103" s="5">
        <v>5282</v>
      </c>
      <c r="AO103" s="5">
        <v>49</v>
      </c>
      <c r="AP103" s="5">
        <v>3</v>
      </c>
      <c r="AQ103" s="5">
        <v>0</v>
      </c>
      <c r="AR103" s="5">
        <v>0</v>
      </c>
      <c r="AS103" s="5">
        <v>1857</v>
      </c>
      <c r="AT103" s="5" t="s">
        <v>82</v>
      </c>
      <c r="AU103" s="5">
        <v>1156</v>
      </c>
      <c r="AV103" s="5">
        <v>1386</v>
      </c>
      <c r="AW103" s="5">
        <v>2135</v>
      </c>
      <c r="AX103" s="5">
        <v>7804</v>
      </c>
      <c r="AY103" s="155"/>
      <c r="AZ103" s="155"/>
      <c r="BA103" s="155">
        <v>0</v>
      </c>
      <c r="BB103" s="155"/>
      <c r="BC103" s="5">
        <v>1211</v>
      </c>
      <c r="BD103" s="5"/>
      <c r="BE103" s="5">
        <v>49222</v>
      </c>
      <c r="BF103" s="5">
        <v>113716</v>
      </c>
      <c r="BG103" s="5">
        <v>276</v>
      </c>
      <c r="BH103" s="5">
        <v>842</v>
      </c>
      <c r="BI103" s="5">
        <v>1023</v>
      </c>
      <c r="BJ103" s="5">
        <v>4597</v>
      </c>
      <c r="BK103" s="5">
        <v>83</v>
      </c>
      <c r="BL103" s="5">
        <v>2725</v>
      </c>
      <c r="BM103" s="5"/>
      <c r="BN103" s="5">
        <v>573</v>
      </c>
      <c r="BO103" s="5">
        <v>70</v>
      </c>
      <c r="BP103" s="5">
        <v>0</v>
      </c>
      <c r="BQ103" s="5">
        <v>8636</v>
      </c>
      <c r="BR103" s="5">
        <v>14130</v>
      </c>
      <c r="BS103" s="5">
        <v>23</v>
      </c>
      <c r="BT103" s="5">
        <v>180</v>
      </c>
      <c r="BU103" s="5">
        <v>267</v>
      </c>
      <c r="BV103" s="5"/>
      <c r="BW103" s="5">
        <v>4</v>
      </c>
      <c r="BX103" s="5">
        <v>246</v>
      </c>
      <c r="BY103" s="5"/>
      <c r="BZ103" s="5">
        <v>618</v>
      </c>
      <c r="CA103" s="5">
        <v>1</v>
      </c>
      <c r="CB103" s="5">
        <v>0</v>
      </c>
      <c r="CC103" s="5">
        <v>12361</v>
      </c>
      <c r="CD103" s="5">
        <v>61310</v>
      </c>
      <c r="CE103" s="5">
        <v>72095</v>
      </c>
      <c r="CF103" s="5">
        <v>13772</v>
      </c>
      <c r="CG103" s="5">
        <v>0</v>
      </c>
      <c r="CH103" s="5">
        <v>0</v>
      </c>
      <c r="CI103" s="5">
        <v>19</v>
      </c>
      <c r="CJ103" s="5">
        <v>132</v>
      </c>
      <c r="CK103" s="5">
        <v>196</v>
      </c>
      <c r="CL103" s="5"/>
      <c r="CM103" s="5"/>
      <c r="CN103" s="5"/>
      <c r="CO103" s="5"/>
      <c r="CP103" s="5"/>
      <c r="CQ103" s="5"/>
      <c r="CR103" s="5"/>
      <c r="CS103" s="5"/>
      <c r="CT103" s="5" t="s">
        <v>82</v>
      </c>
      <c r="CU103" s="5" t="s">
        <v>82</v>
      </c>
      <c r="CV103" s="5" t="s">
        <v>82</v>
      </c>
      <c r="CW103" s="5">
        <v>0</v>
      </c>
      <c r="CX103" s="5">
        <v>0</v>
      </c>
      <c r="CY103" s="5">
        <v>0</v>
      </c>
      <c r="DA103" s="6"/>
      <c r="DD103" s="6">
        <f t="shared" si="19"/>
        <v>357117</v>
      </c>
      <c r="DE103" s="6">
        <f t="shared" si="20"/>
        <v>178414</v>
      </c>
      <c r="DF103" s="16">
        <f t="shared" si="21"/>
        <v>535531</v>
      </c>
      <c r="DK103" s="6">
        <f t="shared" si="22"/>
        <v>60629</v>
      </c>
      <c r="DL103" s="6">
        <f t="shared" si="23"/>
        <v>91128</v>
      </c>
      <c r="DM103" s="6">
        <f t="shared" si="33"/>
        <v>13514</v>
      </c>
      <c r="DN103" s="6">
        <f t="shared" si="34"/>
        <v>13143</v>
      </c>
      <c r="DO103" s="6">
        <f t="shared" si="24"/>
        <v>277440</v>
      </c>
      <c r="DP103" s="6">
        <f t="shared" si="32"/>
        <v>59453</v>
      </c>
      <c r="DQ103" s="6"/>
      <c r="DR103" s="6">
        <f t="shared" si="25"/>
        <v>12380</v>
      </c>
      <c r="DS103" s="6">
        <f t="shared" si="26"/>
        <v>0</v>
      </c>
      <c r="DT103" s="6">
        <f t="shared" si="27"/>
        <v>7844</v>
      </c>
      <c r="DU103" s="6"/>
      <c r="DV103" s="6"/>
      <c r="DW103" s="6">
        <f t="shared" si="28"/>
        <v>535531</v>
      </c>
      <c r="DY103" s="6">
        <f t="shared" si="29"/>
        <v>285284</v>
      </c>
      <c r="DZ103" s="6">
        <f t="shared" si="30"/>
        <v>0</v>
      </c>
      <c r="EB103" s="6">
        <f t="shared" si="31"/>
        <v>535531</v>
      </c>
      <c r="EC103" s="6"/>
      <c r="ED103" s="6"/>
      <c r="EF103" s="6"/>
      <c r="EG103" s="6"/>
    </row>
    <row r="104" spans="2:137" ht="14">
      <c r="B104" s="4">
        <v>35125</v>
      </c>
      <c r="C104" s="5">
        <v>0</v>
      </c>
      <c r="D104" s="5">
        <v>0</v>
      </c>
      <c r="E104" s="5">
        <v>0</v>
      </c>
      <c r="F104" s="5" t="s">
        <v>82</v>
      </c>
      <c r="G104" s="5" t="s">
        <v>82</v>
      </c>
      <c r="H104" s="5">
        <v>0</v>
      </c>
      <c r="I104" s="5">
        <v>0</v>
      </c>
      <c r="J104" s="5">
        <v>0</v>
      </c>
      <c r="K104" s="5">
        <v>0</v>
      </c>
      <c r="L104" s="5"/>
      <c r="M104" s="5">
        <v>34414</v>
      </c>
      <c r="N104" s="5">
        <v>3325</v>
      </c>
      <c r="O104" s="5"/>
      <c r="P104" s="5">
        <v>6215</v>
      </c>
      <c r="Q104" s="5">
        <v>3413</v>
      </c>
      <c r="R104" s="5">
        <v>1674</v>
      </c>
      <c r="S104" s="5">
        <v>5822</v>
      </c>
      <c r="T104" s="5">
        <v>13500</v>
      </c>
      <c r="U104" s="5"/>
      <c r="V104" s="5"/>
      <c r="W104" s="5">
        <v>5710</v>
      </c>
      <c r="X104" s="5">
        <v>0</v>
      </c>
      <c r="Y104" s="5">
        <v>833</v>
      </c>
      <c r="Z104" s="5">
        <v>32</v>
      </c>
      <c r="AA104" s="155"/>
      <c r="AB104" s="5">
        <v>25</v>
      </c>
      <c r="AC104" s="5">
        <v>0</v>
      </c>
      <c r="AD104" s="5">
        <v>11</v>
      </c>
      <c r="AE104" s="5">
        <v>27</v>
      </c>
      <c r="AF104" s="5">
        <v>20</v>
      </c>
      <c r="AG104" s="5">
        <v>53</v>
      </c>
      <c r="AH104" s="5"/>
      <c r="AI104" s="5"/>
      <c r="AJ104" s="5">
        <v>28</v>
      </c>
      <c r="AK104" s="5">
        <v>0</v>
      </c>
      <c r="AL104" s="5">
        <v>79283</v>
      </c>
      <c r="AM104" s="5">
        <v>3538</v>
      </c>
      <c r="AN104" s="5">
        <v>5343</v>
      </c>
      <c r="AO104" s="5">
        <v>48</v>
      </c>
      <c r="AP104" s="5">
        <v>3</v>
      </c>
      <c r="AQ104" s="5">
        <v>0</v>
      </c>
      <c r="AR104" s="5">
        <v>0</v>
      </c>
      <c r="AS104" s="5">
        <v>1855</v>
      </c>
      <c r="AT104" s="5" t="s">
        <v>82</v>
      </c>
      <c r="AU104" s="5">
        <v>1201</v>
      </c>
      <c r="AV104" s="5">
        <v>1394</v>
      </c>
      <c r="AW104" s="5">
        <v>2158</v>
      </c>
      <c r="AX104" s="5">
        <v>7880</v>
      </c>
      <c r="AY104" s="155"/>
      <c r="AZ104" s="155"/>
      <c r="BA104" s="155">
        <v>0</v>
      </c>
      <c r="BB104" s="155"/>
      <c r="BC104" s="5">
        <v>1215</v>
      </c>
      <c r="BD104" s="5"/>
      <c r="BE104" s="5">
        <v>49080</v>
      </c>
      <c r="BF104" s="5">
        <v>113371</v>
      </c>
      <c r="BG104" s="5">
        <v>271</v>
      </c>
      <c r="BH104" s="5">
        <v>867</v>
      </c>
      <c r="BI104" s="5">
        <v>1043</v>
      </c>
      <c r="BJ104" s="5">
        <v>4650</v>
      </c>
      <c r="BK104" s="5">
        <v>80</v>
      </c>
      <c r="BL104" s="5">
        <v>2691</v>
      </c>
      <c r="BM104" s="5"/>
      <c r="BN104" s="5">
        <v>580</v>
      </c>
      <c r="BO104" s="5">
        <v>71</v>
      </c>
      <c r="BP104" s="5">
        <v>0</v>
      </c>
      <c r="BQ104" s="5">
        <v>8377</v>
      </c>
      <c r="BR104" s="5">
        <v>13597</v>
      </c>
      <c r="BS104" s="5">
        <v>24</v>
      </c>
      <c r="BT104" s="5">
        <v>174</v>
      </c>
      <c r="BU104" s="5">
        <v>264</v>
      </c>
      <c r="BV104" s="5"/>
      <c r="BW104" s="5">
        <v>5</v>
      </c>
      <c r="BX104" s="5">
        <v>242</v>
      </c>
      <c r="BY104" s="5"/>
      <c r="BZ104" s="5">
        <v>600</v>
      </c>
      <c r="CA104" s="5">
        <v>1</v>
      </c>
      <c r="CB104" s="5">
        <v>0</v>
      </c>
      <c r="CC104" s="5">
        <v>12429</v>
      </c>
      <c r="CD104" s="5">
        <v>61813</v>
      </c>
      <c r="CE104" s="5">
        <v>73392</v>
      </c>
      <c r="CF104" s="5">
        <v>13821</v>
      </c>
      <c r="CG104" s="5">
        <v>0</v>
      </c>
      <c r="CH104" s="5">
        <v>0</v>
      </c>
      <c r="CI104" s="5">
        <v>19</v>
      </c>
      <c r="CJ104" s="5">
        <v>131</v>
      </c>
      <c r="CK104" s="5">
        <v>207</v>
      </c>
      <c r="CL104" s="5"/>
      <c r="CM104" s="5"/>
      <c r="CN104" s="5"/>
      <c r="CO104" s="5"/>
      <c r="CP104" s="5"/>
      <c r="CQ104" s="5"/>
      <c r="CR104" s="5"/>
      <c r="CS104" s="5"/>
      <c r="CT104" s="5" t="s">
        <v>82</v>
      </c>
      <c r="CU104" s="5" t="s">
        <v>82</v>
      </c>
      <c r="CV104" s="5" t="s">
        <v>82</v>
      </c>
      <c r="CW104" s="5">
        <v>0</v>
      </c>
      <c r="CX104" s="5">
        <v>0</v>
      </c>
      <c r="CY104" s="5">
        <v>0</v>
      </c>
      <c r="DA104" s="6"/>
      <c r="DD104" s="6">
        <f t="shared" si="19"/>
        <v>357800</v>
      </c>
      <c r="DE104" s="6">
        <f t="shared" si="20"/>
        <v>179020</v>
      </c>
      <c r="DF104" s="16">
        <f t="shared" si="21"/>
        <v>536820</v>
      </c>
      <c r="DK104" s="6">
        <f t="shared" si="22"/>
        <v>60573</v>
      </c>
      <c r="DL104" s="6">
        <f t="shared" si="23"/>
        <v>91668</v>
      </c>
      <c r="DM104" s="6">
        <f t="shared" si="33"/>
        <v>13500</v>
      </c>
      <c r="DN104" s="6">
        <f t="shared" si="34"/>
        <v>13279</v>
      </c>
      <c r="DO104" s="6">
        <f t="shared" si="24"/>
        <v>278420</v>
      </c>
      <c r="DP104" s="6">
        <f t="shared" si="32"/>
        <v>59078</v>
      </c>
      <c r="DQ104" s="6"/>
      <c r="DR104" s="6">
        <f t="shared" si="25"/>
        <v>12448</v>
      </c>
      <c r="DS104" s="6">
        <f t="shared" si="26"/>
        <v>0</v>
      </c>
      <c r="DT104" s="6">
        <f t="shared" si="27"/>
        <v>7854</v>
      </c>
      <c r="DU104" s="6"/>
      <c r="DV104" s="6"/>
      <c r="DW104" s="6">
        <f t="shared" si="28"/>
        <v>536820</v>
      </c>
      <c r="DY104" s="6">
        <f t="shared" si="29"/>
        <v>286274</v>
      </c>
      <c r="DZ104" s="6">
        <f t="shared" si="30"/>
        <v>0</v>
      </c>
      <c r="EB104" s="6">
        <f t="shared" si="31"/>
        <v>536820</v>
      </c>
      <c r="EC104" s="6"/>
      <c r="ED104" s="6"/>
      <c r="EF104" s="6"/>
      <c r="EG104" s="6"/>
    </row>
    <row r="105" spans="2:137" ht="14">
      <c r="B105" s="4">
        <v>35156</v>
      </c>
      <c r="C105" s="5">
        <v>0</v>
      </c>
      <c r="D105" s="5">
        <v>0</v>
      </c>
      <c r="E105" s="5">
        <v>0</v>
      </c>
      <c r="F105" s="5" t="s">
        <v>82</v>
      </c>
      <c r="G105" s="5" t="s">
        <v>82</v>
      </c>
      <c r="H105" s="5">
        <v>0</v>
      </c>
      <c r="I105" s="5">
        <v>0</v>
      </c>
      <c r="J105" s="5">
        <v>0</v>
      </c>
      <c r="K105" s="5">
        <v>0</v>
      </c>
      <c r="L105" s="5"/>
      <c r="M105" s="5">
        <v>34392</v>
      </c>
      <c r="N105" s="5">
        <v>3318</v>
      </c>
      <c r="O105" s="5"/>
      <c r="P105" s="5">
        <v>6026</v>
      </c>
      <c r="Q105" s="5">
        <v>3650</v>
      </c>
      <c r="R105" s="5">
        <v>1681</v>
      </c>
      <c r="S105" s="5">
        <v>6076</v>
      </c>
      <c r="T105" s="5">
        <v>13573</v>
      </c>
      <c r="U105" s="5"/>
      <c r="V105" s="5"/>
      <c r="W105" s="5">
        <v>5506</v>
      </c>
      <c r="X105" s="5">
        <v>0</v>
      </c>
      <c r="Y105" s="5">
        <v>829</v>
      </c>
      <c r="Z105" s="5">
        <v>33</v>
      </c>
      <c r="AA105" s="155"/>
      <c r="AB105" s="5">
        <v>22</v>
      </c>
      <c r="AC105" s="5">
        <v>0</v>
      </c>
      <c r="AD105" s="5">
        <v>10</v>
      </c>
      <c r="AE105" s="5">
        <v>26</v>
      </c>
      <c r="AF105" s="5">
        <v>20</v>
      </c>
      <c r="AG105" s="5">
        <v>55</v>
      </c>
      <c r="AH105" s="5"/>
      <c r="AI105" s="5"/>
      <c r="AJ105" s="5">
        <v>27</v>
      </c>
      <c r="AK105" s="5">
        <v>0</v>
      </c>
      <c r="AL105" s="5">
        <v>79784</v>
      </c>
      <c r="AM105" s="5">
        <v>3552</v>
      </c>
      <c r="AN105" s="5">
        <v>5503</v>
      </c>
      <c r="AO105" s="5">
        <v>48</v>
      </c>
      <c r="AP105" s="5">
        <v>5</v>
      </c>
      <c r="AQ105" s="5">
        <v>0</v>
      </c>
      <c r="AR105" s="5">
        <v>0</v>
      </c>
      <c r="AS105" s="5">
        <v>1871</v>
      </c>
      <c r="AT105" s="5" t="s">
        <v>82</v>
      </c>
      <c r="AU105" s="5">
        <v>1229</v>
      </c>
      <c r="AV105" s="5">
        <v>1417</v>
      </c>
      <c r="AW105" s="5">
        <v>2171</v>
      </c>
      <c r="AX105" s="5">
        <v>7949</v>
      </c>
      <c r="AY105" s="155"/>
      <c r="AZ105" s="155"/>
      <c r="BA105" s="155">
        <v>0</v>
      </c>
      <c r="BB105" s="155"/>
      <c r="BC105" s="5">
        <v>1196</v>
      </c>
      <c r="BD105" s="5"/>
      <c r="BE105" s="5">
        <v>48330</v>
      </c>
      <c r="BF105" s="5">
        <v>112147</v>
      </c>
      <c r="BG105" s="5">
        <v>273</v>
      </c>
      <c r="BH105" s="5">
        <v>855</v>
      </c>
      <c r="BI105" s="5">
        <v>1018</v>
      </c>
      <c r="BJ105" s="5">
        <v>4659</v>
      </c>
      <c r="BK105" s="5">
        <v>82</v>
      </c>
      <c r="BL105" s="5">
        <v>2726</v>
      </c>
      <c r="BM105" s="5"/>
      <c r="BN105" s="5">
        <v>581</v>
      </c>
      <c r="BO105" s="5">
        <v>71</v>
      </c>
      <c r="BP105" s="5">
        <v>0</v>
      </c>
      <c r="BQ105" s="5">
        <v>8407</v>
      </c>
      <c r="BR105" s="5">
        <v>13467</v>
      </c>
      <c r="BS105" s="5">
        <v>21</v>
      </c>
      <c r="BT105" s="5">
        <v>175</v>
      </c>
      <c r="BU105" s="5">
        <v>263</v>
      </c>
      <c r="BV105" s="5"/>
      <c r="BW105" s="5">
        <v>6</v>
      </c>
      <c r="BX105" s="5">
        <v>243</v>
      </c>
      <c r="BY105" s="5"/>
      <c r="BZ105" s="5">
        <v>576</v>
      </c>
      <c r="CA105" s="5">
        <v>1</v>
      </c>
      <c r="CB105" s="5">
        <v>0</v>
      </c>
      <c r="CC105" s="5">
        <v>12521</v>
      </c>
      <c r="CD105" s="5">
        <v>61642</v>
      </c>
      <c r="CE105" s="5">
        <v>74610</v>
      </c>
      <c r="CF105" s="5">
        <v>13736</v>
      </c>
      <c r="CG105" s="5">
        <v>0</v>
      </c>
      <c r="CH105" s="5">
        <v>0</v>
      </c>
      <c r="CI105" s="5">
        <v>22</v>
      </c>
      <c r="CJ105" s="5">
        <v>127</v>
      </c>
      <c r="CK105" s="5">
        <v>216</v>
      </c>
      <c r="CL105" s="5"/>
      <c r="CM105" s="5"/>
      <c r="CN105" s="5"/>
      <c r="CO105" s="5"/>
      <c r="CP105" s="5"/>
      <c r="CQ105" s="5"/>
      <c r="CR105" s="5"/>
      <c r="CS105" s="5"/>
      <c r="CT105" s="5" t="s">
        <v>82</v>
      </c>
      <c r="CU105" s="5" t="s">
        <v>82</v>
      </c>
      <c r="CV105" s="5" t="s">
        <v>82</v>
      </c>
      <c r="CW105" s="5">
        <v>0</v>
      </c>
      <c r="CX105" s="5">
        <v>0</v>
      </c>
      <c r="CY105" s="5">
        <v>0</v>
      </c>
      <c r="DA105" s="6"/>
      <c r="DD105" s="6">
        <f t="shared" si="19"/>
        <v>356775</v>
      </c>
      <c r="DE105" s="6">
        <f t="shared" si="20"/>
        <v>179969</v>
      </c>
      <c r="DF105" s="16">
        <f t="shared" si="21"/>
        <v>536744</v>
      </c>
      <c r="DK105" s="6">
        <f t="shared" si="22"/>
        <v>60649</v>
      </c>
      <c r="DL105" s="6">
        <f t="shared" si="23"/>
        <v>92235</v>
      </c>
      <c r="DM105" s="6">
        <f t="shared" si="33"/>
        <v>13573</v>
      </c>
      <c r="DN105" s="6">
        <f t="shared" si="34"/>
        <v>13512</v>
      </c>
      <c r="DO105" s="6">
        <f t="shared" si="24"/>
        <v>277983</v>
      </c>
      <c r="DP105" s="6">
        <f t="shared" si="32"/>
        <v>58348</v>
      </c>
      <c r="DQ105" s="6"/>
      <c r="DR105" s="6">
        <f t="shared" si="25"/>
        <v>12543</v>
      </c>
      <c r="DS105" s="6">
        <f t="shared" si="26"/>
        <v>0</v>
      </c>
      <c r="DT105" s="6">
        <f t="shared" si="27"/>
        <v>7901</v>
      </c>
      <c r="DU105" s="6"/>
      <c r="DV105" s="6"/>
      <c r="DW105" s="6">
        <f t="shared" si="28"/>
        <v>536744</v>
      </c>
      <c r="DY105" s="6">
        <f t="shared" si="29"/>
        <v>285884</v>
      </c>
      <c r="DZ105" s="6">
        <f t="shared" si="30"/>
        <v>0</v>
      </c>
      <c r="EB105" s="6">
        <f t="shared" si="31"/>
        <v>536744</v>
      </c>
      <c r="EC105" s="6"/>
      <c r="ED105" s="6"/>
      <c r="EF105" s="6"/>
      <c r="EG105" s="6"/>
    </row>
    <row r="106" spans="2:137" ht="14">
      <c r="B106" s="4">
        <v>35186</v>
      </c>
      <c r="C106" s="5">
        <v>0</v>
      </c>
      <c r="D106" s="5">
        <v>0</v>
      </c>
      <c r="E106" s="5">
        <v>0</v>
      </c>
      <c r="F106" s="5" t="s">
        <v>82</v>
      </c>
      <c r="G106" s="5" t="s">
        <v>82</v>
      </c>
      <c r="H106" s="5">
        <v>0</v>
      </c>
      <c r="I106" s="5">
        <v>0</v>
      </c>
      <c r="J106" s="5">
        <v>0</v>
      </c>
      <c r="K106" s="5">
        <v>0</v>
      </c>
      <c r="L106" s="5"/>
      <c r="M106" s="5">
        <v>34383</v>
      </c>
      <c r="N106" s="5">
        <v>3322</v>
      </c>
      <c r="O106" s="5"/>
      <c r="P106" s="5">
        <v>5823</v>
      </c>
      <c r="Q106" s="5">
        <v>3865</v>
      </c>
      <c r="R106" s="5">
        <v>1759</v>
      </c>
      <c r="S106" s="5">
        <v>6371</v>
      </c>
      <c r="T106" s="5">
        <v>13599</v>
      </c>
      <c r="U106" s="5"/>
      <c r="V106" s="5"/>
      <c r="W106" s="5">
        <v>5232</v>
      </c>
      <c r="X106" s="5">
        <v>0</v>
      </c>
      <c r="Y106" s="5">
        <v>829</v>
      </c>
      <c r="Z106" s="5">
        <v>34</v>
      </c>
      <c r="AA106" s="155"/>
      <c r="AB106" s="5">
        <v>26</v>
      </c>
      <c r="AC106" s="5">
        <v>0</v>
      </c>
      <c r="AD106" s="5">
        <v>11</v>
      </c>
      <c r="AE106" s="5">
        <v>28</v>
      </c>
      <c r="AF106" s="5">
        <v>20</v>
      </c>
      <c r="AG106" s="5">
        <v>52</v>
      </c>
      <c r="AH106" s="5"/>
      <c r="AI106" s="5"/>
      <c r="AJ106" s="5">
        <v>25</v>
      </c>
      <c r="AK106" s="5">
        <v>0</v>
      </c>
      <c r="AL106" s="5">
        <v>80158</v>
      </c>
      <c r="AM106" s="5">
        <v>3552</v>
      </c>
      <c r="AN106" s="5">
        <v>5612</v>
      </c>
      <c r="AO106" s="5">
        <v>45</v>
      </c>
      <c r="AP106" s="5">
        <v>6</v>
      </c>
      <c r="AQ106" s="5">
        <v>0</v>
      </c>
      <c r="AR106" s="5">
        <v>0</v>
      </c>
      <c r="AS106" s="5">
        <v>1909</v>
      </c>
      <c r="AT106" s="5" t="s">
        <v>82</v>
      </c>
      <c r="AU106" s="5">
        <v>1281</v>
      </c>
      <c r="AV106" s="5">
        <v>1446</v>
      </c>
      <c r="AW106" s="5">
        <v>2196</v>
      </c>
      <c r="AX106" s="5">
        <v>8065</v>
      </c>
      <c r="AY106" s="155"/>
      <c r="AZ106" s="155"/>
      <c r="BA106" s="155">
        <v>0</v>
      </c>
      <c r="BB106" s="155"/>
      <c r="BC106" s="5">
        <v>1174</v>
      </c>
      <c r="BD106" s="5"/>
      <c r="BE106" s="5">
        <v>47721</v>
      </c>
      <c r="BF106" s="5">
        <v>110917</v>
      </c>
      <c r="BG106" s="5">
        <v>269</v>
      </c>
      <c r="BH106" s="5">
        <v>829</v>
      </c>
      <c r="BI106" s="5">
        <v>1009</v>
      </c>
      <c r="BJ106" s="5">
        <v>4706</v>
      </c>
      <c r="BK106" s="5">
        <v>84</v>
      </c>
      <c r="BL106" s="5">
        <v>2772</v>
      </c>
      <c r="BM106" s="5"/>
      <c r="BN106" s="5">
        <v>558</v>
      </c>
      <c r="BO106" s="5">
        <v>67</v>
      </c>
      <c r="BP106" s="5">
        <v>0</v>
      </c>
      <c r="BQ106" s="5">
        <v>8700</v>
      </c>
      <c r="BR106" s="5">
        <v>13640</v>
      </c>
      <c r="BS106" s="5">
        <v>21</v>
      </c>
      <c r="BT106" s="5">
        <v>181</v>
      </c>
      <c r="BU106" s="5">
        <v>242</v>
      </c>
      <c r="BV106" s="5"/>
      <c r="BW106" s="5">
        <v>6</v>
      </c>
      <c r="BX106" s="5">
        <v>240</v>
      </c>
      <c r="BY106" s="5"/>
      <c r="BZ106" s="5">
        <v>540</v>
      </c>
      <c r="CA106" s="5">
        <v>1</v>
      </c>
      <c r="CB106" s="5">
        <v>0</v>
      </c>
      <c r="CC106" s="5">
        <v>12626</v>
      </c>
      <c r="CD106" s="5">
        <v>61924</v>
      </c>
      <c r="CE106" s="5">
        <v>75490</v>
      </c>
      <c r="CF106" s="5">
        <v>13709</v>
      </c>
      <c r="CG106" s="5">
        <v>0</v>
      </c>
      <c r="CH106" s="5">
        <v>0</v>
      </c>
      <c r="CI106" s="5">
        <v>22</v>
      </c>
      <c r="CJ106" s="5">
        <v>123</v>
      </c>
      <c r="CK106" s="5">
        <v>211</v>
      </c>
      <c r="CL106" s="5"/>
      <c r="CM106" s="5"/>
      <c r="CN106" s="5"/>
      <c r="CO106" s="5"/>
      <c r="CP106" s="5"/>
      <c r="CQ106" s="5"/>
      <c r="CR106" s="5"/>
      <c r="CS106" s="5"/>
      <c r="CT106" s="5" t="s">
        <v>82</v>
      </c>
      <c r="CU106" s="5" t="s">
        <v>82</v>
      </c>
      <c r="CV106" s="5" t="s">
        <v>82</v>
      </c>
      <c r="CW106" s="5">
        <v>0</v>
      </c>
      <c r="CX106" s="5">
        <v>0</v>
      </c>
      <c r="CY106" s="5">
        <v>0</v>
      </c>
      <c r="DA106" s="6"/>
      <c r="DD106" s="6">
        <f t="shared" si="19"/>
        <v>356608</v>
      </c>
      <c r="DE106" s="6">
        <f t="shared" si="20"/>
        <v>180823</v>
      </c>
      <c r="DF106" s="16">
        <f t="shared" si="21"/>
        <v>537431</v>
      </c>
      <c r="DK106" s="6">
        <f t="shared" si="22"/>
        <v>60755</v>
      </c>
      <c r="DL106" s="6">
        <f t="shared" si="23"/>
        <v>92734</v>
      </c>
      <c r="DM106" s="6">
        <f t="shared" si="33"/>
        <v>13599</v>
      </c>
      <c r="DN106" s="6">
        <f t="shared" si="34"/>
        <v>13735</v>
      </c>
      <c r="DO106" s="6">
        <f t="shared" si="24"/>
        <v>277984</v>
      </c>
      <c r="DP106" s="6">
        <f t="shared" si="32"/>
        <v>57989</v>
      </c>
      <c r="DQ106" s="6"/>
      <c r="DR106" s="6">
        <f t="shared" si="25"/>
        <v>12648</v>
      </c>
      <c r="DS106" s="6">
        <f t="shared" si="26"/>
        <v>0</v>
      </c>
      <c r="DT106" s="6">
        <f t="shared" si="27"/>
        <v>7987</v>
      </c>
      <c r="DU106" s="6"/>
      <c r="DV106" s="6"/>
      <c r="DW106" s="6">
        <f t="shared" si="28"/>
        <v>537431</v>
      </c>
      <c r="DY106" s="6">
        <f t="shared" si="29"/>
        <v>285971</v>
      </c>
      <c r="DZ106" s="6">
        <f t="shared" si="30"/>
        <v>0</v>
      </c>
      <c r="EB106" s="6">
        <f t="shared" si="31"/>
        <v>537431</v>
      </c>
      <c r="EC106" s="6"/>
      <c r="ED106" s="6"/>
      <c r="EF106" s="6"/>
      <c r="EG106" s="6"/>
    </row>
    <row r="107" spans="2:137" ht="14">
      <c r="B107" s="4">
        <v>35217</v>
      </c>
      <c r="C107" s="5">
        <v>0</v>
      </c>
      <c r="D107" s="5">
        <v>0</v>
      </c>
      <c r="E107" s="5">
        <v>0</v>
      </c>
      <c r="F107" s="5" t="s">
        <v>82</v>
      </c>
      <c r="G107" s="5" t="s">
        <v>82</v>
      </c>
      <c r="H107" s="5">
        <v>0</v>
      </c>
      <c r="I107" s="5">
        <v>0</v>
      </c>
      <c r="J107" s="5">
        <v>0</v>
      </c>
      <c r="K107" s="5">
        <v>0</v>
      </c>
      <c r="L107" s="5"/>
      <c r="M107" s="5">
        <v>34430</v>
      </c>
      <c r="N107" s="5">
        <v>3284</v>
      </c>
      <c r="O107" s="5"/>
      <c r="P107" s="5">
        <v>5677</v>
      </c>
      <c r="Q107" s="5">
        <v>4082</v>
      </c>
      <c r="R107" s="5">
        <v>1856</v>
      </c>
      <c r="S107" s="5">
        <v>6628</v>
      </c>
      <c r="T107" s="5">
        <v>13642</v>
      </c>
      <c r="U107" s="5"/>
      <c r="V107" s="5"/>
      <c r="W107" s="5">
        <v>5011</v>
      </c>
      <c r="X107" s="5">
        <v>0</v>
      </c>
      <c r="Y107" s="5">
        <v>831</v>
      </c>
      <c r="Z107" s="5">
        <v>33</v>
      </c>
      <c r="AA107" s="155"/>
      <c r="AB107" s="5">
        <v>24</v>
      </c>
      <c r="AC107" s="5">
        <v>0</v>
      </c>
      <c r="AD107" s="5">
        <v>10</v>
      </c>
      <c r="AE107" s="5">
        <v>28</v>
      </c>
      <c r="AF107" s="5">
        <v>23</v>
      </c>
      <c r="AG107" s="5">
        <v>58</v>
      </c>
      <c r="AH107" s="5"/>
      <c r="AI107" s="5"/>
      <c r="AJ107" s="5">
        <v>23</v>
      </c>
      <c r="AK107" s="5">
        <v>0</v>
      </c>
      <c r="AL107" s="5">
        <v>80705</v>
      </c>
      <c r="AM107" s="5">
        <v>3548</v>
      </c>
      <c r="AN107" s="5">
        <v>5726</v>
      </c>
      <c r="AO107" s="5">
        <v>52</v>
      </c>
      <c r="AP107" s="5">
        <v>8</v>
      </c>
      <c r="AQ107" s="5">
        <v>0</v>
      </c>
      <c r="AR107" s="5">
        <v>0</v>
      </c>
      <c r="AS107" s="5">
        <v>1978</v>
      </c>
      <c r="AT107" s="5" t="s">
        <v>82</v>
      </c>
      <c r="AU107" s="5">
        <v>1322</v>
      </c>
      <c r="AV107" s="5">
        <v>1469</v>
      </c>
      <c r="AW107" s="5">
        <v>2212</v>
      </c>
      <c r="AX107" s="5">
        <v>8169</v>
      </c>
      <c r="AY107" s="155"/>
      <c r="AZ107" s="155"/>
      <c r="BA107" s="155">
        <v>0</v>
      </c>
      <c r="BB107" s="155"/>
      <c r="BC107" s="5">
        <v>1166</v>
      </c>
      <c r="BD107" s="5"/>
      <c r="BE107" s="5">
        <v>47225</v>
      </c>
      <c r="BF107" s="5">
        <v>109679</v>
      </c>
      <c r="BG107" s="5">
        <v>265</v>
      </c>
      <c r="BH107" s="5">
        <v>797</v>
      </c>
      <c r="BI107" s="5">
        <v>982</v>
      </c>
      <c r="BJ107" s="5">
        <v>4734</v>
      </c>
      <c r="BK107" s="5">
        <v>84</v>
      </c>
      <c r="BL107" s="5">
        <v>2772</v>
      </c>
      <c r="BM107" s="5"/>
      <c r="BN107" s="5">
        <v>586</v>
      </c>
      <c r="BO107" s="5">
        <v>66</v>
      </c>
      <c r="BP107" s="5">
        <v>0</v>
      </c>
      <c r="BQ107" s="5">
        <v>9080</v>
      </c>
      <c r="BR107" s="5">
        <v>14062</v>
      </c>
      <c r="BS107" s="5">
        <v>20</v>
      </c>
      <c r="BT107" s="5">
        <v>202</v>
      </c>
      <c r="BU107" s="5">
        <v>263</v>
      </c>
      <c r="BV107" s="5"/>
      <c r="BW107" s="5">
        <v>10</v>
      </c>
      <c r="BX107" s="5">
        <v>237</v>
      </c>
      <c r="BY107" s="5"/>
      <c r="BZ107" s="5">
        <v>533</v>
      </c>
      <c r="CA107" s="5">
        <v>1</v>
      </c>
      <c r="CB107" s="5">
        <v>0</v>
      </c>
      <c r="CC107" s="5">
        <v>12722</v>
      </c>
      <c r="CD107" s="5">
        <v>62022</v>
      </c>
      <c r="CE107" s="5">
        <v>76108</v>
      </c>
      <c r="CF107" s="5">
        <v>13696</v>
      </c>
      <c r="CG107" s="5">
        <v>0</v>
      </c>
      <c r="CH107" s="5">
        <v>0</v>
      </c>
      <c r="CI107" s="5">
        <v>23</v>
      </c>
      <c r="CJ107" s="5">
        <v>125</v>
      </c>
      <c r="CK107" s="5">
        <v>218</v>
      </c>
      <c r="CL107" s="5"/>
      <c r="CM107" s="5"/>
      <c r="CN107" s="5"/>
      <c r="CO107" s="5"/>
      <c r="CP107" s="5"/>
      <c r="CQ107" s="5"/>
      <c r="CR107" s="5"/>
      <c r="CS107" s="5"/>
      <c r="CT107" s="5" t="s">
        <v>82</v>
      </c>
      <c r="CU107" s="5" t="s">
        <v>82</v>
      </c>
      <c r="CV107" s="5" t="s">
        <v>82</v>
      </c>
      <c r="CW107" s="5">
        <v>0</v>
      </c>
      <c r="CX107" s="5">
        <v>0</v>
      </c>
      <c r="CY107" s="5">
        <v>0</v>
      </c>
      <c r="DA107" s="6"/>
      <c r="DD107" s="6">
        <f t="shared" si="19"/>
        <v>356512</v>
      </c>
      <c r="DE107" s="6">
        <f t="shared" si="20"/>
        <v>181995</v>
      </c>
      <c r="DF107" s="16">
        <f t="shared" si="21"/>
        <v>538507</v>
      </c>
      <c r="DK107" s="6">
        <f t="shared" si="22"/>
        <v>60968</v>
      </c>
      <c r="DL107" s="6">
        <f t="shared" si="23"/>
        <v>93424</v>
      </c>
      <c r="DM107" s="6">
        <f t="shared" si="33"/>
        <v>13642</v>
      </c>
      <c r="DN107" s="6">
        <f t="shared" si="34"/>
        <v>13961</v>
      </c>
      <c r="DO107" s="6">
        <f t="shared" si="24"/>
        <v>277869</v>
      </c>
      <c r="DP107" s="6">
        <f t="shared" si="32"/>
        <v>57890</v>
      </c>
      <c r="DQ107" s="6"/>
      <c r="DR107" s="6">
        <f t="shared" si="25"/>
        <v>12745</v>
      </c>
      <c r="DS107" s="6">
        <f t="shared" si="26"/>
        <v>0</v>
      </c>
      <c r="DT107" s="6">
        <f t="shared" si="27"/>
        <v>8008</v>
      </c>
      <c r="DU107" s="6"/>
      <c r="DV107" s="6"/>
      <c r="DW107" s="6">
        <f t="shared" si="28"/>
        <v>538507</v>
      </c>
      <c r="DY107" s="6">
        <f t="shared" si="29"/>
        <v>285877</v>
      </c>
      <c r="DZ107" s="6">
        <f t="shared" si="30"/>
        <v>0</v>
      </c>
      <c r="EB107" s="6">
        <f t="shared" si="31"/>
        <v>538507</v>
      </c>
      <c r="EC107" s="6"/>
      <c r="ED107" s="6"/>
      <c r="EF107" s="6"/>
      <c r="EG107" s="6"/>
    </row>
    <row r="108" spans="2:137" ht="14">
      <c r="B108" s="4">
        <v>35247</v>
      </c>
      <c r="C108" s="5">
        <v>0</v>
      </c>
      <c r="D108" s="5">
        <v>0</v>
      </c>
      <c r="E108" s="5">
        <v>0</v>
      </c>
      <c r="F108" s="5" t="s">
        <v>82</v>
      </c>
      <c r="G108" s="5" t="s">
        <v>82</v>
      </c>
      <c r="H108" s="5">
        <v>0</v>
      </c>
      <c r="I108" s="5">
        <v>0</v>
      </c>
      <c r="J108" s="5">
        <v>0</v>
      </c>
      <c r="K108" s="5">
        <v>0</v>
      </c>
      <c r="L108" s="5"/>
      <c r="M108" s="5">
        <v>34419</v>
      </c>
      <c r="N108" s="5">
        <v>3280</v>
      </c>
      <c r="O108" s="5"/>
      <c r="P108" s="5">
        <v>5526</v>
      </c>
      <c r="Q108" s="5">
        <v>4152</v>
      </c>
      <c r="R108" s="5">
        <v>1927</v>
      </c>
      <c r="S108" s="5">
        <v>6771</v>
      </c>
      <c r="T108" s="5">
        <v>13669</v>
      </c>
      <c r="U108" s="5"/>
      <c r="V108" s="5"/>
      <c r="W108" s="5">
        <v>4843</v>
      </c>
      <c r="X108" s="5">
        <v>0</v>
      </c>
      <c r="Y108" s="5">
        <v>826</v>
      </c>
      <c r="Z108" s="5">
        <v>35</v>
      </c>
      <c r="AA108" s="155"/>
      <c r="AB108" s="5">
        <v>23</v>
      </c>
      <c r="AC108" s="5">
        <v>0</v>
      </c>
      <c r="AD108" s="5">
        <v>13</v>
      </c>
      <c r="AE108" s="5">
        <v>27</v>
      </c>
      <c r="AF108" s="5">
        <v>24</v>
      </c>
      <c r="AG108" s="5">
        <v>58</v>
      </c>
      <c r="AH108" s="5"/>
      <c r="AI108" s="5"/>
      <c r="AJ108" s="5">
        <v>21</v>
      </c>
      <c r="AK108" s="5">
        <v>0</v>
      </c>
      <c r="AL108" s="5">
        <v>81044</v>
      </c>
      <c r="AM108" s="5">
        <v>3551</v>
      </c>
      <c r="AN108" s="5">
        <v>5786</v>
      </c>
      <c r="AO108" s="5">
        <v>54</v>
      </c>
      <c r="AP108" s="5">
        <v>3</v>
      </c>
      <c r="AQ108" s="5">
        <v>0</v>
      </c>
      <c r="AR108" s="5">
        <v>0</v>
      </c>
      <c r="AS108" s="5">
        <v>1931</v>
      </c>
      <c r="AT108" s="5" t="s">
        <v>82</v>
      </c>
      <c r="AU108" s="5">
        <v>1345</v>
      </c>
      <c r="AV108" s="5">
        <v>1475</v>
      </c>
      <c r="AW108" s="5">
        <v>2243</v>
      </c>
      <c r="AX108" s="5">
        <v>8207</v>
      </c>
      <c r="AY108" s="155"/>
      <c r="AZ108" s="155"/>
      <c r="BA108" s="155">
        <v>0</v>
      </c>
      <c r="BB108" s="155"/>
      <c r="BC108" s="5">
        <v>1135</v>
      </c>
      <c r="BD108" s="5"/>
      <c r="BE108" s="5">
        <v>46413</v>
      </c>
      <c r="BF108" s="5">
        <v>107690</v>
      </c>
      <c r="BG108" s="5">
        <v>262</v>
      </c>
      <c r="BH108" s="5">
        <v>749</v>
      </c>
      <c r="BI108" s="5">
        <v>918</v>
      </c>
      <c r="BJ108" s="5">
        <v>4764</v>
      </c>
      <c r="BK108" s="5">
        <v>85</v>
      </c>
      <c r="BL108" s="5">
        <v>2792</v>
      </c>
      <c r="BM108" s="5"/>
      <c r="BN108" s="5">
        <v>549</v>
      </c>
      <c r="BO108" s="5">
        <v>68</v>
      </c>
      <c r="BP108" s="5">
        <v>0</v>
      </c>
      <c r="BQ108" s="5">
        <v>9362</v>
      </c>
      <c r="BR108" s="5">
        <v>14279</v>
      </c>
      <c r="BS108" s="5">
        <v>18</v>
      </c>
      <c r="BT108" s="5">
        <v>204</v>
      </c>
      <c r="BU108" s="5">
        <v>260</v>
      </c>
      <c r="BV108" s="5"/>
      <c r="BW108" s="5">
        <v>10</v>
      </c>
      <c r="BX108" s="5">
        <v>241</v>
      </c>
      <c r="BY108" s="5"/>
      <c r="BZ108" s="5">
        <v>521</v>
      </c>
      <c r="CA108" s="5">
        <v>1</v>
      </c>
      <c r="CB108" s="5">
        <v>0</v>
      </c>
      <c r="CC108" s="5">
        <v>12636</v>
      </c>
      <c r="CD108" s="5">
        <v>61730</v>
      </c>
      <c r="CE108" s="5">
        <v>76548</v>
      </c>
      <c r="CF108" s="5">
        <v>13665</v>
      </c>
      <c r="CG108" s="5">
        <v>0</v>
      </c>
      <c r="CH108" s="5">
        <v>0</v>
      </c>
      <c r="CI108" s="5">
        <v>22</v>
      </c>
      <c r="CJ108" s="5">
        <v>124</v>
      </c>
      <c r="CK108" s="5">
        <v>221</v>
      </c>
      <c r="CL108" s="5"/>
      <c r="CM108" s="5"/>
      <c r="CN108" s="5"/>
      <c r="CO108" s="5"/>
      <c r="CP108" s="5"/>
      <c r="CQ108" s="5"/>
      <c r="CR108" s="5"/>
      <c r="CS108" s="5"/>
      <c r="CT108" s="5" t="s">
        <v>82</v>
      </c>
      <c r="CU108" s="5" t="s">
        <v>82</v>
      </c>
      <c r="CV108" s="5" t="s">
        <v>82</v>
      </c>
      <c r="CW108" s="5">
        <v>0</v>
      </c>
      <c r="CX108" s="5">
        <v>0</v>
      </c>
      <c r="CY108" s="5">
        <v>0</v>
      </c>
      <c r="DA108" s="6"/>
      <c r="DD108" s="6">
        <f t="shared" si="19"/>
        <v>354132</v>
      </c>
      <c r="DE108" s="6">
        <f t="shared" si="20"/>
        <v>182388</v>
      </c>
      <c r="DF108" s="16">
        <f t="shared" si="21"/>
        <v>536520</v>
      </c>
      <c r="DK108" s="6">
        <f t="shared" si="22"/>
        <v>60918</v>
      </c>
      <c r="DL108" s="6">
        <f t="shared" si="23"/>
        <v>93747</v>
      </c>
      <c r="DM108" s="6">
        <f t="shared" si="33"/>
        <v>13669</v>
      </c>
      <c r="DN108" s="6">
        <f t="shared" si="34"/>
        <v>14054</v>
      </c>
      <c r="DO108" s="6">
        <f t="shared" si="24"/>
        <v>276138</v>
      </c>
      <c r="DP108" s="6">
        <f t="shared" si="32"/>
        <v>57277</v>
      </c>
      <c r="DQ108" s="6"/>
      <c r="DR108" s="6">
        <f t="shared" si="25"/>
        <v>12658</v>
      </c>
      <c r="DS108" s="6">
        <f t="shared" si="26"/>
        <v>0</v>
      </c>
      <c r="DT108" s="6">
        <f t="shared" si="27"/>
        <v>8059</v>
      </c>
      <c r="DU108" s="6"/>
      <c r="DV108" s="6"/>
      <c r="DW108" s="6">
        <f t="shared" si="28"/>
        <v>536520</v>
      </c>
      <c r="DY108" s="6">
        <f t="shared" si="29"/>
        <v>284197</v>
      </c>
      <c r="DZ108" s="6">
        <f t="shared" si="30"/>
        <v>0</v>
      </c>
      <c r="EB108" s="6">
        <f t="shared" si="31"/>
        <v>536520</v>
      </c>
      <c r="EC108" s="6"/>
      <c r="ED108" s="6"/>
      <c r="EF108" s="6"/>
      <c r="EG108" s="6"/>
    </row>
    <row r="109" spans="2:137" ht="14">
      <c r="B109" s="4">
        <v>35278</v>
      </c>
      <c r="C109" s="5">
        <v>0</v>
      </c>
      <c r="D109" s="5">
        <v>0</v>
      </c>
      <c r="E109" s="5">
        <v>0</v>
      </c>
      <c r="F109" s="5" t="s">
        <v>82</v>
      </c>
      <c r="G109" s="5" t="s">
        <v>82</v>
      </c>
      <c r="H109" s="5">
        <v>0</v>
      </c>
      <c r="I109" s="5">
        <v>0</v>
      </c>
      <c r="J109" s="5">
        <v>0</v>
      </c>
      <c r="K109" s="5">
        <v>0</v>
      </c>
      <c r="L109" s="5"/>
      <c r="M109" s="5">
        <v>34462</v>
      </c>
      <c r="N109" s="5">
        <v>3264</v>
      </c>
      <c r="O109" s="5"/>
      <c r="P109" s="5">
        <v>5385</v>
      </c>
      <c r="Q109" s="5">
        <v>4301</v>
      </c>
      <c r="R109" s="5">
        <v>1984</v>
      </c>
      <c r="S109" s="5">
        <v>7033</v>
      </c>
      <c r="T109" s="5">
        <v>13740</v>
      </c>
      <c r="U109" s="5"/>
      <c r="V109" s="5"/>
      <c r="W109" s="5">
        <v>4634</v>
      </c>
      <c r="X109" s="5">
        <v>0</v>
      </c>
      <c r="Y109" s="5">
        <v>811</v>
      </c>
      <c r="Z109" s="5">
        <v>33</v>
      </c>
      <c r="AA109" s="155"/>
      <c r="AB109" s="5">
        <v>25</v>
      </c>
      <c r="AC109" s="5">
        <v>0</v>
      </c>
      <c r="AD109" s="5">
        <v>14</v>
      </c>
      <c r="AE109" s="5">
        <v>28</v>
      </c>
      <c r="AF109" s="5">
        <v>25</v>
      </c>
      <c r="AG109" s="5">
        <v>59</v>
      </c>
      <c r="AH109" s="5"/>
      <c r="AI109" s="5"/>
      <c r="AJ109" s="5">
        <v>20</v>
      </c>
      <c r="AK109" s="5">
        <v>0</v>
      </c>
      <c r="AL109" s="5">
        <v>81474</v>
      </c>
      <c r="AM109" s="5">
        <v>3586</v>
      </c>
      <c r="AN109" s="5">
        <v>5964</v>
      </c>
      <c r="AO109" s="5">
        <v>47</v>
      </c>
      <c r="AP109" s="5">
        <v>3</v>
      </c>
      <c r="AQ109" s="5">
        <v>0</v>
      </c>
      <c r="AR109" s="5">
        <v>0</v>
      </c>
      <c r="AS109" s="5">
        <v>1918</v>
      </c>
      <c r="AT109" s="5" t="s">
        <v>82</v>
      </c>
      <c r="AU109" s="5">
        <v>1363</v>
      </c>
      <c r="AV109" s="5">
        <v>1484</v>
      </c>
      <c r="AW109" s="5">
        <v>2306</v>
      </c>
      <c r="AX109" s="5">
        <v>8264</v>
      </c>
      <c r="AY109" s="155"/>
      <c r="AZ109" s="155"/>
      <c r="BA109" s="155">
        <v>0</v>
      </c>
      <c r="BB109" s="155"/>
      <c r="BC109" s="5">
        <v>1108</v>
      </c>
      <c r="BD109" s="5"/>
      <c r="BE109" s="5">
        <v>45911</v>
      </c>
      <c r="BF109" s="5">
        <v>106498</v>
      </c>
      <c r="BG109" s="5">
        <v>260</v>
      </c>
      <c r="BH109" s="5">
        <v>740</v>
      </c>
      <c r="BI109" s="5">
        <v>879</v>
      </c>
      <c r="BJ109" s="5">
        <v>4781</v>
      </c>
      <c r="BK109" s="5">
        <v>85</v>
      </c>
      <c r="BL109" s="5">
        <v>2834</v>
      </c>
      <c r="BM109" s="5"/>
      <c r="BN109" s="5">
        <v>574</v>
      </c>
      <c r="BO109" s="5">
        <v>66</v>
      </c>
      <c r="BP109" s="5">
        <v>0</v>
      </c>
      <c r="BQ109" s="5">
        <v>9621</v>
      </c>
      <c r="BR109" s="5">
        <v>14449</v>
      </c>
      <c r="BS109" s="5">
        <v>17</v>
      </c>
      <c r="BT109" s="5">
        <v>201</v>
      </c>
      <c r="BU109" s="5">
        <v>261</v>
      </c>
      <c r="BV109" s="5"/>
      <c r="BW109" s="5">
        <v>8</v>
      </c>
      <c r="BX109" s="5">
        <v>239</v>
      </c>
      <c r="BY109" s="5"/>
      <c r="BZ109" s="5">
        <v>485</v>
      </c>
      <c r="CA109" s="5">
        <v>1</v>
      </c>
      <c r="CB109" s="5">
        <v>0</v>
      </c>
      <c r="CC109" s="5">
        <v>12760</v>
      </c>
      <c r="CD109" s="5">
        <v>61555</v>
      </c>
      <c r="CE109" s="5">
        <v>76919</v>
      </c>
      <c r="CF109" s="5">
        <v>13995</v>
      </c>
      <c r="CG109" s="5">
        <v>0</v>
      </c>
      <c r="CH109" s="5">
        <v>0</v>
      </c>
      <c r="CI109" s="5">
        <v>26</v>
      </c>
      <c r="CJ109" s="5">
        <v>123</v>
      </c>
      <c r="CK109" s="5">
        <v>228</v>
      </c>
      <c r="CL109" s="5"/>
      <c r="CM109" s="5"/>
      <c r="CN109" s="5"/>
      <c r="CO109" s="5"/>
      <c r="CP109" s="5"/>
      <c r="CQ109" s="5"/>
      <c r="CR109" s="5"/>
      <c r="CS109" s="5"/>
      <c r="CT109" s="5" t="s">
        <v>82</v>
      </c>
      <c r="CU109" s="5" t="s">
        <v>82</v>
      </c>
      <c r="CV109" s="5" t="s">
        <v>82</v>
      </c>
      <c r="CW109" s="5">
        <v>0</v>
      </c>
      <c r="CX109" s="5">
        <v>0</v>
      </c>
      <c r="CY109" s="5">
        <v>0</v>
      </c>
      <c r="DA109" s="6"/>
      <c r="DD109" s="6">
        <f t="shared" si="19"/>
        <v>353516</v>
      </c>
      <c r="DE109" s="6">
        <f t="shared" si="20"/>
        <v>183335</v>
      </c>
      <c r="DF109" s="16">
        <f t="shared" si="21"/>
        <v>536851</v>
      </c>
      <c r="DK109" s="6">
        <f t="shared" si="22"/>
        <v>61063</v>
      </c>
      <c r="DL109" s="6">
        <f t="shared" si="23"/>
        <v>94242</v>
      </c>
      <c r="DM109" s="6">
        <f t="shared" si="33"/>
        <v>13740</v>
      </c>
      <c r="DN109" s="6">
        <f t="shared" si="34"/>
        <v>14290</v>
      </c>
      <c r="DO109" s="6">
        <f t="shared" si="24"/>
        <v>275569</v>
      </c>
      <c r="DP109" s="6">
        <f t="shared" si="32"/>
        <v>57047</v>
      </c>
      <c r="DQ109" s="6"/>
      <c r="DR109" s="6">
        <f t="shared" si="25"/>
        <v>12786</v>
      </c>
      <c r="DS109" s="6">
        <f t="shared" si="26"/>
        <v>0</v>
      </c>
      <c r="DT109" s="6">
        <f t="shared" si="27"/>
        <v>8114</v>
      </c>
      <c r="DU109" s="6"/>
      <c r="DV109" s="6"/>
      <c r="DW109" s="6">
        <f t="shared" si="28"/>
        <v>536851</v>
      </c>
      <c r="DY109" s="6">
        <f t="shared" si="29"/>
        <v>283683</v>
      </c>
      <c r="DZ109" s="6">
        <f t="shared" si="30"/>
        <v>0</v>
      </c>
      <c r="EB109" s="6">
        <f t="shared" si="31"/>
        <v>536851</v>
      </c>
      <c r="EC109" s="6"/>
      <c r="ED109" s="6"/>
      <c r="EF109" s="6"/>
      <c r="EG109" s="6"/>
    </row>
    <row r="110" spans="2:137" ht="14">
      <c r="B110" s="4">
        <v>35309</v>
      </c>
      <c r="C110" s="5">
        <v>0</v>
      </c>
      <c r="D110" s="5">
        <v>0</v>
      </c>
      <c r="E110" s="5">
        <v>0</v>
      </c>
      <c r="F110" s="5" t="s">
        <v>82</v>
      </c>
      <c r="G110" s="5" t="s">
        <v>82</v>
      </c>
      <c r="H110" s="5">
        <v>0</v>
      </c>
      <c r="I110" s="5">
        <v>0</v>
      </c>
      <c r="J110" s="5">
        <v>0</v>
      </c>
      <c r="K110" s="5">
        <v>0</v>
      </c>
      <c r="L110" s="5"/>
      <c r="M110" s="5">
        <v>34464</v>
      </c>
      <c r="N110" s="5">
        <v>3281</v>
      </c>
      <c r="O110" s="5"/>
      <c r="P110" s="5">
        <v>5198</v>
      </c>
      <c r="Q110" s="5">
        <v>4461</v>
      </c>
      <c r="R110" s="5">
        <v>2051</v>
      </c>
      <c r="S110" s="5">
        <v>7350</v>
      </c>
      <c r="T110" s="5">
        <v>13743</v>
      </c>
      <c r="U110" s="5"/>
      <c r="V110" s="5"/>
      <c r="W110" s="5">
        <v>4384</v>
      </c>
      <c r="X110" s="5">
        <v>0</v>
      </c>
      <c r="Y110" s="5">
        <v>806</v>
      </c>
      <c r="Z110" s="5">
        <v>33</v>
      </c>
      <c r="AA110" s="155"/>
      <c r="AB110" s="5">
        <v>28</v>
      </c>
      <c r="AC110" s="5">
        <v>0</v>
      </c>
      <c r="AD110" s="5">
        <v>14</v>
      </c>
      <c r="AE110" s="5">
        <v>29</v>
      </c>
      <c r="AF110" s="5">
        <v>25</v>
      </c>
      <c r="AG110" s="5">
        <v>58</v>
      </c>
      <c r="AH110" s="5"/>
      <c r="AI110" s="5"/>
      <c r="AJ110" s="5">
        <v>21</v>
      </c>
      <c r="AK110" s="5">
        <v>0</v>
      </c>
      <c r="AL110" s="5">
        <v>81727</v>
      </c>
      <c r="AM110" s="5">
        <v>3573</v>
      </c>
      <c r="AN110" s="5">
        <v>6095</v>
      </c>
      <c r="AO110" s="5">
        <v>41</v>
      </c>
      <c r="AP110" s="5">
        <v>4</v>
      </c>
      <c r="AQ110" s="5">
        <v>0</v>
      </c>
      <c r="AR110" s="5">
        <v>0</v>
      </c>
      <c r="AS110" s="5">
        <v>1877</v>
      </c>
      <c r="AT110" s="5" t="s">
        <v>82</v>
      </c>
      <c r="AU110" s="5">
        <v>1397</v>
      </c>
      <c r="AV110" s="5">
        <v>1519</v>
      </c>
      <c r="AW110" s="5">
        <v>2337</v>
      </c>
      <c r="AX110" s="5">
        <v>8317</v>
      </c>
      <c r="AY110" s="155"/>
      <c r="AZ110" s="155"/>
      <c r="BA110" s="155">
        <v>0</v>
      </c>
      <c r="BB110" s="155"/>
      <c r="BC110" s="5">
        <v>1107</v>
      </c>
      <c r="BD110" s="5"/>
      <c r="BE110" s="5">
        <v>45300</v>
      </c>
      <c r="BF110" s="5">
        <v>105101</v>
      </c>
      <c r="BG110" s="5">
        <v>267</v>
      </c>
      <c r="BH110" s="5">
        <v>692</v>
      </c>
      <c r="BI110" s="5">
        <v>839</v>
      </c>
      <c r="BJ110" s="5">
        <v>4817</v>
      </c>
      <c r="BK110" s="5">
        <v>73</v>
      </c>
      <c r="BL110" s="5">
        <v>2872</v>
      </c>
      <c r="BM110" s="5"/>
      <c r="BN110" s="5">
        <v>564</v>
      </c>
      <c r="BO110" s="5">
        <v>65</v>
      </c>
      <c r="BP110" s="5">
        <v>0</v>
      </c>
      <c r="BQ110" s="5">
        <v>9898</v>
      </c>
      <c r="BR110" s="5">
        <v>14806</v>
      </c>
      <c r="BS110" s="5">
        <v>17</v>
      </c>
      <c r="BT110" s="5">
        <v>202</v>
      </c>
      <c r="BU110" s="5">
        <v>267</v>
      </c>
      <c r="BV110" s="5"/>
      <c r="BW110" s="5">
        <v>6</v>
      </c>
      <c r="BX110" s="5">
        <v>235</v>
      </c>
      <c r="BY110" s="5"/>
      <c r="BZ110" s="5">
        <v>455</v>
      </c>
      <c r="CA110" s="5">
        <v>1</v>
      </c>
      <c r="CB110" s="5">
        <v>0</v>
      </c>
      <c r="CC110" s="5">
        <v>12829</v>
      </c>
      <c r="CD110" s="5">
        <v>61379</v>
      </c>
      <c r="CE110" s="5">
        <v>77281</v>
      </c>
      <c r="CF110" s="5">
        <v>14085</v>
      </c>
      <c r="CG110" s="5">
        <v>0</v>
      </c>
      <c r="CH110" s="5">
        <v>0</v>
      </c>
      <c r="CI110" s="5">
        <v>29</v>
      </c>
      <c r="CJ110" s="5">
        <v>118</v>
      </c>
      <c r="CK110" s="5">
        <v>223</v>
      </c>
      <c r="CL110" s="5"/>
      <c r="CM110" s="5"/>
      <c r="CN110" s="5"/>
      <c r="CO110" s="5"/>
      <c r="CP110" s="5"/>
      <c r="CQ110" s="5"/>
      <c r="CR110" s="5"/>
      <c r="CS110" s="5"/>
      <c r="CT110" s="5" t="s">
        <v>82</v>
      </c>
      <c r="CU110" s="5" t="s">
        <v>82</v>
      </c>
      <c r="CV110" s="5" t="s">
        <v>82</v>
      </c>
      <c r="CW110" s="5">
        <v>0</v>
      </c>
      <c r="CX110" s="5">
        <v>0</v>
      </c>
      <c r="CY110" s="5">
        <v>0</v>
      </c>
      <c r="DA110" s="6"/>
      <c r="DD110" s="6">
        <f t="shared" si="19"/>
        <v>352421</v>
      </c>
      <c r="DE110" s="6">
        <f t="shared" si="20"/>
        <v>183940</v>
      </c>
      <c r="DF110" s="16">
        <f t="shared" si="21"/>
        <v>536361</v>
      </c>
      <c r="DK110" s="6">
        <f t="shared" si="22"/>
        <v>61189</v>
      </c>
      <c r="DL110" s="6">
        <f t="shared" si="23"/>
        <v>94534</v>
      </c>
      <c r="DM110" s="6">
        <f t="shared" si="33"/>
        <v>13743</v>
      </c>
      <c r="DN110" s="6">
        <f t="shared" si="34"/>
        <v>14474</v>
      </c>
      <c r="DO110" s="6">
        <f t="shared" si="24"/>
        <v>274716</v>
      </c>
      <c r="DP110" s="6">
        <f t="shared" si="32"/>
        <v>56656</v>
      </c>
      <c r="DQ110" s="6"/>
      <c r="DR110" s="6">
        <f t="shared" si="25"/>
        <v>12858</v>
      </c>
      <c r="DS110" s="6">
        <f t="shared" si="26"/>
        <v>0</v>
      </c>
      <c r="DT110" s="6">
        <f t="shared" si="27"/>
        <v>8191</v>
      </c>
      <c r="DU110" s="6"/>
      <c r="DV110" s="6"/>
      <c r="DW110" s="6">
        <f t="shared" si="28"/>
        <v>536361</v>
      </c>
      <c r="DY110" s="6">
        <f t="shared" si="29"/>
        <v>282907</v>
      </c>
      <c r="DZ110" s="6">
        <f t="shared" si="30"/>
        <v>0</v>
      </c>
      <c r="EB110" s="6">
        <f t="shared" si="31"/>
        <v>536361</v>
      </c>
      <c r="EC110" s="6"/>
      <c r="ED110" s="6"/>
      <c r="EF110" s="6"/>
      <c r="EG110" s="6"/>
    </row>
    <row r="111" spans="2:137" ht="14">
      <c r="B111" s="4">
        <v>35339</v>
      </c>
      <c r="C111" s="5">
        <v>0</v>
      </c>
      <c r="D111" s="5">
        <v>0</v>
      </c>
      <c r="E111" s="5">
        <v>0</v>
      </c>
      <c r="F111" s="5" t="s">
        <v>82</v>
      </c>
      <c r="G111" s="5" t="s">
        <v>82</v>
      </c>
      <c r="H111" s="5">
        <v>0</v>
      </c>
      <c r="I111" s="5">
        <v>0</v>
      </c>
      <c r="J111" s="5">
        <v>0</v>
      </c>
      <c r="K111" s="5">
        <v>0</v>
      </c>
      <c r="L111" s="5"/>
      <c r="M111" s="5">
        <v>34419</v>
      </c>
      <c r="N111" s="5">
        <v>3287</v>
      </c>
      <c r="O111" s="5"/>
      <c r="P111" s="5">
        <v>5044</v>
      </c>
      <c r="Q111" s="5">
        <v>4655</v>
      </c>
      <c r="R111" s="5">
        <v>1968</v>
      </c>
      <c r="S111" s="5">
        <v>7541</v>
      </c>
      <c r="T111" s="5">
        <v>13739</v>
      </c>
      <c r="U111" s="5"/>
      <c r="V111" s="5"/>
      <c r="W111" s="5">
        <v>4220</v>
      </c>
      <c r="X111" s="5">
        <v>0</v>
      </c>
      <c r="Y111" s="5">
        <v>799</v>
      </c>
      <c r="Z111" s="5">
        <v>33</v>
      </c>
      <c r="AA111" s="155"/>
      <c r="AB111" s="5">
        <v>29</v>
      </c>
      <c r="AC111" s="5">
        <v>0</v>
      </c>
      <c r="AD111" s="5">
        <v>14</v>
      </c>
      <c r="AE111" s="5">
        <v>31</v>
      </c>
      <c r="AF111" s="5">
        <v>28</v>
      </c>
      <c r="AG111" s="5">
        <v>56</v>
      </c>
      <c r="AH111" s="5"/>
      <c r="AI111" s="5"/>
      <c r="AJ111" s="5">
        <v>22</v>
      </c>
      <c r="AK111" s="5">
        <v>0</v>
      </c>
      <c r="AL111" s="5">
        <v>82031</v>
      </c>
      <c r="AM111" s="5">
        <v>3565</v>
      </c>
      <c r="AN111" s="5">
        <v>6141</v>
      </c>
      <c r="AO111" s="5">
        <v>41</v>
      </c>
      <c r="AP111" s="5">
        <v>3</v>
      </c>
      <c r="AQ111" s="5">
        <v>0</v>
      </c>
      <c r="AR111" s="5">
        <v>0</v>
      </c>
      <c r="AS111" s="5">
        <v>1829</v>
      </c>
      <c r="AT111" s="5" t="s">
        <v>82</v>
      </c>
      <c r="AU111" s="5">
        <v>1436</v>
      </c>
      <c r="AV111" s="5">
        <v>1502</v>
      </c>
      <c r="AW111" s="5">
        <v>2350</v>
      </c>
      <c r="AX111" s="5">
        <v>8340</v>
      </c>
      <c r="AY111" s="155"/>
      <c r="AZ111" s="155"/>
      <c r="BA111" s="155">
        <v>0</v>
      </c>
      <c r="BB111" s="155"/>
      <c r="BC111" s="5">
        <v>1071</v>
      </c>
      <c r="BD111" s="5"/>
      <c r="BE111" s="5">
        <v>44299</v>
      </c>
      <c r="BF111" s="5">
        <v>103132</v>
      </c>
      <c r="BG111" s="5">
        <v>273</v>
      </c>
      <c r="BH111" s="5">
        <v>668</v>
      </c>
      <c r="BI111" s="5">
        <v>793</v>
      </c>
      <c r="BJ111" s="5">
        <v>4845</v>
      </c>
      <c r="BK111" s="5">
        <v>69</v>
      </c>
      <c r="BL111" s="5">
        <v>2853</v>
      </c>
      <c r="BM111" s="5"/>
      <c r="BN111" s="5">
        <v>531</v>
      </c>
      <c r="BO111" s="5">
        <v>65</v>
      </c>
      <c r="BP111" s="5">
        <v>0</v>
      </c>
      <c r="BQ111" s="5">
        <v>10226</v>
      </c>
      <c r="BR111" s="5">
        <v>15299</v>
      </c>
      <c r="BS111" s="5">
        <v>16</v>
      </c>
      <c r="BT111" s="5">
        <v>180</v>
      </c>
      <c r="BU111" s="5">
        <v>238</v>
      </c>
      <c r="BV111" s="5"/>
      <c r="BW111" s="5">
        <v>5</v>
      </c>
      <c r="BX111" s="5">
        <v>232</v>
      </c>
      <c r="BY111" s="5"/>
      <c r="BZ111" s="5">
        <v>428</v>
      </c>
      <c r="CA111" s="5">
        <v>1</v>
      </c>
      <c r="CB111" s="5">
        <v>0</v>
      </c>
      <c r="CC111" s="5">
        <v>12571</v>
      </c>
      <c r="CD111" s="5">
        <v>60999</v>
      </c>
      <c r="CE111" s="5">
        <v>77169</v>
      </c>
      <c r="CF111" s="5">
        <v>14072</v>
      </c>
      <c r="CG111" s="5">
        <v>0</v>
      </c>
      <c r="CH111" s="5">
        <v>0</v>
      </c>
      <c r="CI111" s="5">
        <v>28</v>
      </c>
      <c r="CJ111" s="5">
        <v>106</v>
      </c>
      <c r="CK111" s="5">
        <v>217</v>
      </c>
      <c r="CL111" s="5"/>
      <c r="CM111" s="5"/>
      <c r="CN111" s="5"/>
      <c r="CO111" s="5"/>
      <c r="CP111" s="5"/>
      <c r="CQ111" s="5"/>
      <c r="CR111" s="5"/>
      <c r="CS111" s="5"/>
      <c r="CT111" s="5" t="s">
        <v>82</v>
      </c>
      <c r="CU111" s="5" t="s">
        <v>82</v>
      </c>
      <c r="CV111" s="5" t="s">
        <v>82</v>
      </c>
      <c r="CW111" s="5">
        <v>0</v>
      </c>
      <c r="CX111" s="5">
        <v>0</v>
      </c>
      <c r="CY111" s="5">
        <v>0</v>
      </c>
      <c r="DA111" s="6"/>
      <c r="DD111" s="6">
        <f t="shared" si="19"/>
        <v>349315</v>
      </c>
      <c r="DE111" s="6">
        <f t="shared" si="20"/>
        <v>184194</v>
      </c>
      <c r="DF111" s="16">
        <f t="shared" si="21"/>
        <v>533509</v>
      </c>
      <c r="DK111" s="6">
        <f t="shared" si="22"/>
        <v>61134</v>
      </c>
      <c r="DL111" s="6">
        <f t="shared" si="23"/>
        <v>94781</v>
      </c>
      <c r="DM111" s="6">
        <f t="shared" si="33"/>
        <v>13739</v>
      </c>
      <c r="DN111" s="6">
        <f t="shared" si="34"/>
        <v>14540</v>
      </c>
      <c r="DO111" s="6">
        <f t="shared" si="24"/>
        <v>272609</v>
      </c>
      <c r="DP111" s="6">
        <f t="shared" si="32"/>
        <v>55904</v>
      </c>
      <c r="DQ111" s="6"/>
      <c r="DR111" s="6">
        <f t="shared" si="25"/>
        <v>12599</v>
      </c>
      <c r="DS111" s="6">
        <f t="shared" si="26"/>
        <v>0</v>
      </c>
      <c r="DT111" s="6">
        <f t="shared" si="27"/>
        <v>8203</v>
      </c>
      <c r="DU111" s="6"/>
      <c r="DV111" s="6"/>
      <c r="DW111" s="6">
        <f t="shared" si="28"/>
        <v>533509</v>
      </c>
      <c r="DY111" s="6">
        <f t="shared" si="29"/>
        <v>280812</v>
      </c>
      <c r="DZ111" s="6">
        <f t="shared" si="30"/>
        <v>0</v>
      </c>
      <c r="EB111" s="6">
        <f t="shared" si="31"/>
        <v>533509</v>
      </c>
      <c r="EC111" s="6"/>
      <c r="ED111" s="6"/>
      <c r="EF111" s="6"/>
      <c r="EG111" s="6"/>
    </row>
    <row r="112" spans="2:137" ht="14">
      <c r="B112" s="4">
        <v>35370</v>
      </c>
      <c r="C112" s="5">
        <v>0</v>
      </c>
      <c r="D112" s="5">
        <v>0</v>
      </c>
      <c r="E112" s="5">
        <v>0</v>
      </c>
      <c r="F112" s="5" t="s">
        <v>82</v>
      </c>
      <c r="G112" s="5" t="s">
        <v>82</v>
      </c>
      <c r="H112" s="5">
        <v>0</v>
      </c>
      <c r="I112" s="5">
        <v>0</v>
      </c>
      <c r="J112" s="5">
        <v>0</v>
      </c>
      <c r="K112" s="5">
        <v>0</v>
      </c>
      <c r="L112" s="5"/>
      <c r="M112" s="5">
        <v>34447</v>
      </c>
      <c r="N112" s="5">
        <v>3304</v>
      </c>
      <c r="O112" s="5"/>
      <c r="P112" s="5">
        <v>4956</v>
      </c>
      <c r="Q112" s="5">
        <v>4769</v>
      </c>
      <c r="R112" s="5">
        <v>1897</v>
      </c>
      <c r="S112" s="5">
        <v>7747</v>
      </c>
      <c r="T112" s="5">
        <v>13869</v>
      </c>
      <c r="U112" s="5"/>
      <c r="V112" s="5"/>
      <c r="W112" s="5">
        <v>4032</v>
      </c>
      <c r="X112" s="5">
        <v>0</v>
      </c>
      <c r="Y112" s="5">
        <v>792</v>
      </c>
      <c r="Z112" s="5">
        <v>35</v>
      </c>
      <c r="AA112" s="155"/>
      <c r="AB112" s="5">
        <v>27</v>
      </c>
      <c r="AC112" s="5">
        <v>0</v>
      </c>
      <c r="AD112" s="5">
        <v>15</v>
      </c>
      <c r="AE112" s="5">
        <v>33</v>
      </c>
      <c r="AF112" s="5">
        <v>29</v>
      </c>
      <c r="AG112" s="5">
        <v>56</v>
      </c>
      <c r="AH112" s="5"/>
      <c r="AI112" s="5"/>
      <c r="AJ112" s="5">
        <v>20</v>
      </c>
      <c r="AK112" s="5">
        <v>0</v>
      </c>
      <c r="AL112" s="5">
        <v>82456</v>
      </c>
      <c r="AM112" s="5">
        <v>3594</v>
      </c>
      <c r="AN112" s="5">
        <v>6269</v>
      </c>
      <c r="AO112" s="5">
        <v>44</v>
      </c>
      <c r="AP112" s="5">
        <v>5</v>
      </c>
      <c r="AQ112" s="5">
        <v>0</v>
      </c>
      <c r="AR112" s="5">
        <v>0</v>
      </c>
      <c r="AS112" s="5">
        <v>1844</v>
      </c>
      <c r="AT112" s="5" t="s">
        <v>82</v>
      </c>
      <c r="AU112" s="5">
        <v>1469</v>
      </c>
      <c r="AV112" s="5">
        <v>1490</v>
      </c>
      <c r="AW112" s="5">
        <v>2403</v>
      </c>
      <c r="AX112" s="5">
        <v>8432</v>
      </c>
      <c r="AY112" s="155"/>
      <c r="AZ112" s="155"/>
      <c r="BA112" s="155">
        <v>0</v>
      </c>
      <c r="BB112" s="155"/>
      <c r="BC112" s="5">
        <v>1082</v>
      </c>
      <c r="BD112" s="5"/>
      <c r="BE112" s="5">
        <v>43767</v>
      </c>
      <c r="BF112" s="5">
        <v>101984</v>
      </c>
      <c r="BG112" s="5">
        <v>274</v>
      </c>
      <c r="BH112" s="5">
        <v>639</v>
      </c>
      <c r="BI112" s="5">
        <v>774</v>
      </c>
      <c r="BJ112" s="5">
        <v>4988</v>
      </c>
      <c r="BK112" s="5">
        <v>66</v>
      </c>
      <c r="BL112" s="5">
        <v>2830</v>
      </c>
      <c r="BM112" s="5"/>
      <c r="BN112" s="5">
        <v>545</v>
      </c>
      <c r="BO112" s="5">
        <v>68</v>
      </c>
      <c r="BP112" s="5">
        <v>0</v>
      </c>
      <c r="BQ112" s="5">
        <v>10600</v>
      </c>
      <c r="BR112" s="5">
        <v>15766</v>
      </c>
      <c r="BS112" s="5">
        <v>15</v>
      </c>
      <c r="BT112" s="5">
        <v>179</v>
      </c>
      <c r="BU112" s="5">
        <v>247</v>
      </c>
      <c r="BV112" s="5"/>
      <c r="BW112" s="5">
        <v>7</v>
      </c>
      <c r="BX112" s="5">
        <v>229</v>
      </c>
      <c r="BY112" s="5"/>
      <c r="BZ112" s="5">
        <v>414</v>
      </c>
      <c r="CA112" s="5">
        <v>1</v>
      </c>
      <c r="CB112" s="5">
        <v>0</v>
      </c>
      <c r="CC112" s="5">
        <v>12668</v>
      </c>
      <c r="CD112" s="5">
        <v>61423</v>
      </c>
      <c r="CE112" s="5">
        <v>78399</v>
      </c>
      <c r="CF112" s="5">
        <v>14346</v>
      </c>
      <c r="CG112" s="5">
        <v>0</v>
      </c>
      <c r="CH112" s="5">
        <v>0</v>
      </c>
      <c r="CI112" s="5">
        <v>25</v>
      </c>
      <c r="CJ112" s="5">
        <v>98</v>
      </c>
      <c r="CK112" s="5">
        <v>208</v>
      </c>
      <c r="CL112" s="5"/>
      <c r="CM112" s="5"/>
      <c r="CN112" s="5"/>
      <c r="CO112" s="5"/>
      <c r="CP112" s="5"/>
      <c r="CQ112" s="5"/>
      <c r="CR112" s="5"/>
      <c r="CS112" s="5"/>
      <c r="CT112" s="5" t="s">
        <v>82</v>
      </c>
      <c r="CU112" s="5" t="s">
        <v>82</v>
      </c>
      <c r="CV112" s="5" t="s">
        <v>82</v>
      </c>
      <c r="CW112" s="5">
        <v>0</v>
      </c>
      <c r="CX112" s="5">
        <v>0</v>
      </c>
      <c r="CY112" s="5">
        <v>0</v>
      </c>
      <c r="DA112" s="6"/>
      <c r="DD112" s="6">
        <f t="shared" si="19"/>
        <v>350560</v>
      </c>
      <c r="DE112" s="6">
        <f t="shared" si="20"/>
        <v>185116</v>
      </c>
      <c r="DF112" s="16">
        <f t="shared" si="21"/>
        <v>535676</v>
      </c>
      <c r="DK112" s="6">
        <f t="shared" si="22"/>
        <v>61152</v>
      </c>
      <c r="DL112" s="6">
        <f t="shared" si="23"/>
        <v>95333</v>
      </c>
      <c r="DM112" s="6">
        <f t="shared" si="33"/>
        <v>13869</v>
      </c>
      <c r="DN112" s="6">
        <f t="shared" si="34"/>
        <v>14762</v>
      </c>
      <c r="DO112" s="6">
        <f t="shared" si="24"/>
        <v>273816</v>
      </c>
      <c r="DP112" s="6">
        <f t="shared" si="32"/>
        <v>55730</v>
      </c>
      <c r="DQ112" s="6"/>
      <c r="DR112" s="6">
        <f t="shared" si="25"/>
        <v>12693</v>
      </c>
      <c r="DS112" s="6">
        <f t="shared" si="26"/>
        <v>0</v>
      </c>
      <c r="DT112" s="6">
        <f t="shared" si="27"/>
        <v>8321</v>
      </c>
      <c r="DU112" s="6"/>
      <c r="DV112" s="6"/>
      <c r="DW112" s="6">
        <f t="shared" si="28"/>
        <v>535676</v>
      </c>
      <c r="DY112" s="6">
        <f t="shared" si="29"/>
        <v>282137</v>
      </c>
      <c r="DZ112" s="6">
        <f t="shared" si="30"/>
        <v>0</v>
      </c>
      <c r="EB112" s="6">
        <f t="shared" si="31"/>
        <v>535676</v>
      </c>
      <c r="EC112" s="6"/>
      <c r="ED112" s="6"/>
      <c r="EF112" s="6"/>
      <c r="EG112" s="6"/>
    </row>
    <row r="113" spans="2:137" ht="14">
      <c r="B113" s="4">
        <v>35400</v>
      </c>
      <c r="C113" s="5">
        <v>0</v>
      </c>
      <c r="D113" s="5">
        <v>0</v>
      </c>
      <c r="E113" s="5">
        <v>0</v>
      </c>
      <c r="F113" s="5" t="s">
        <v>82</v>
      </c>
      <c r="G113" s="5" t="s">
        <v>82</v>
      </c>
      <c r="H113" s="5">
        <v>0</v>
      </c>
      <c r="I113" s="5">
        <v>0</v>
      </c>
      <c r="J113" s="5">
        <v>0</v>
      </c>
      <c r="K113" s="5">
        <v>0</v>
      </c>
      <c r="L113" s="5"/>
      <c r="M113" s="5">
        <v>34414</v>
      </c>
      <c r="N113" s="5">
        <v>3313</v>
      </c>
      <c r="O113" s="5"/>
      <c r="P113" s="5">
        <v>4856</v>
      </c>
      <c r="Q113" s="5">
        <v>4841</v>
      </c>
      <c r="R113" s="5">
        <v>1827</v>
      </c>
      <c r="S113" s="5">
        <v>7888</v>
      </c>
      <c r="T113" s="5">
        <v>13893</v>
      </c>
      <c r="U113" s="5"/>
      <c r="V113" s="5"/>
      <c r="W113" s="5">
        <v>3907</v>
      </c>
      <c r="X113" s="5">
        <v>0</v>
      </c>
      <c r="Y113" s="5">
        <v>790</v>
      </c>
      <c r="Z113" s="5">
        <v>35</v>
      </c>
      <c r="AA113" s="155"/>
      <c r="AB113" s="5">
        <v>24</v>
      </c>
      <c r="AC113" s="5">
        <v>0</v>
      </c>
      <c r="AD113" s="5">
        <v>15</v>
      </c>
      <c r="AE113" s="5">
        <v>32</v>
      </c>
      <c r="AF113" s="5">
        <v>31</v>
      </c>
      <c r="AG113" s="5">
        <v>57</v>
      </c>
      <c r="AH113" s="5"/>
      <c r="AI113" s="5"/>
      <c r="AJ113" s="5">
        <v>20</v>
      </c>
      <c r="AK113" s="5">
        <v>0</v>
      </c>
      <c r="AL113" s="5">
        <v>82419</v>
      </c>
      <c r="AM113" s="5">
        <v>3568</v>
      </c>
      <c r="AN113" s="5">
        <v>6349</v>
      </c>
      <c r="AO113" s="5">
        <v>47</v>
      </c>
      <c r="AP113" s="5">
        <v>5</v>
      </c>
      <c r="AQ113" s="5">
        <v>0</v>
      </c>
      <c r="AR113" s="5">
        <v>0</v>
      </c>
      <c r="AS113" s="5">
        <v>1831</v>
      </c>
      <c r="AT113" s="5" t="s">
        <v>82</v>
      </c>
      <c r="AU113" s="5">
        <v>1468</v>
      </c>
      <c r="AV113" s="5">
        <v>1478</v>
      </c>
      <c r="AW113" s="5">
        <v>2407</v>
      </c>
      <c r="AX113" s="5">
        <v>8468</v>
      </c>
      <c r="AY113" s="155"/>
      <c r="AZ113" s="155"/>
      <c r="BA113" s="155">
        <v>0</v>
      </c>
      <c r="BB113" s="155"/>
      <c r="BC113" s="5">
        <v>1054</v>
      </c>
      <c r="BD113" s="5"/>
      <c r="BE113" s="5">
        <v>42514</v>
      </c>
      <c r="BF113" s="5">
        <v>99663</v>
      </c>
      <c r="BG113" s="5">
        <v>277</v>
      </c>
      <c r="BH113" s="5">
        <v>628</v>
      </c>
      <c r="BI113" s="5">
        <v>783</v>
      </c>
      <c r="BJ113" s="5">
        <v>5039</v>
      </c>
      <c r="BK113" s="5">
        <v>75</v>
      </c>
      <c r="BL113" s="5">
        <v>2796</v>
      </c>
      <c r="BM113" s="5"/>
      <c r="BN113" s="5">
        <v>577</v>
      </c>
      <c r="BO113" s="5">
        <v>66</v>
      </c>
      <c r="BP113" s="5">
        <v>0</v>
      </c>
      <c r="BQ113" s="5">
        <v>10561</v>
      </c>
      <c r="BR113" s="5">
        <v>15713</v>
      </c>
      <c r="BS113" s="5">
        <v>13</v>
      </c>
      <c r="BT113" s="5">
        <v>165</v>
      </c>
      <c r="BU113" s="5">
        <v>226</v>
      </c>
      <c r="BV113" s="5"/>
      <c r="BW113" s="5">
        <v>8</v>
      </c>
      <c r="BX113" s="5">
        <v>234</v>
      </c>
      <c r="BY113" s="5"/>
      <c r="BZ113" s="5">
        <v>394</v>
      </c>
      <c r="CA113" s="5">
        <v>1</v>
      </c>
      <c r="CB113" s="5">
        <v>0</v>
      </c>
      <c r="CC113" s="5">
        <v>12426</v>
      </c>
      <c r="CD113" s="5">
        <v>60749</v>
      </c>
      <c r="CE113" s="5">
        <v>78653</v>
      </c>
      <c r="CF113" s="5">
        <v>14335</v>
      </c>
      <c r="CG113" s="5">
        <v>0</v>
      </c>
      <c r="CH113" s="5">
        <v>0</v>
      </c>
      <c r="CI113" s="5">
        <v>24</v>
      </c>
      <c r="CJ113" s="5">
        <v>99</v>
      </c>
      <c r="CK113" s="5">
        <v>214</v>
      </c>
      <c r="CL113" s="5"/>
      <c r="CM113" s="5"/>
      <c r="CN113" s="5"/>
      <c r="CO113" s="5"/>
      <c r="CP113" s="5"/>
      <c r="CQ113" s="5"/>
      <c r="CR113" s="5"/>
      <c r="CS113" s="5"/>
      <c r="CT113" s="5" t="s">
        <v>82</v>
      </c>
      <c r="CU113" s="5" t="s">
        <v>82</v>
      </c>
      <c r="CV113" s="5" t="s">
        <v>82</v>
      </c>
      <c r="CW113" s="5">
        <v>0</v>
      </c>
      <c r="CX113" s="5">
        <v>0</v>
      </c>
      <c r="CY113" s="5">
        <v>0</v>
      </c>
      <c r="DA113" s="6"/>
      <c r="DD113" s="6">
        <f t="shared" si="19"/>
        <v>346233</v>
      </c>
      <c r="DE113" s="6">
        <f t="shared" si="20"/>
        <v>185037</v>
      </c>
      <c r="DF113" s="16">
        <f t="shared" si="21"/>
        <v>531270</v>
      </c>
      <c r="DK113" s="6">
        <f t="shared" si="22"/>
        <v>61046</v>
      </c>
      <c r="DL113" s="6">
        <f t="shared" si="23"/>
        <v>95219</v>
      </c>
      <c r="DM113" s="6">
        <f t="shared" si="33"/>
        <v>13893</v>
      </c>
      <c r="DN113" s="6">
        <f t="shared" si="34"/>
        <v>14879</v>
      </c>
      <c r="DO113" s="6">
        <f t="shared" si="24"/>
        <v>270992</v>
      </c>
      <c r="DP113" s="6">
        <f t="shared" si="32"/>
        <v>54445</v>
      </c>
      <c r="DQ113" s="6"/>
      <c r="DR113" s="6">
        <f t="shared" si="25"/>
        <v>12450</v>
      </c>
      <c r="DS113" s="6">
        <f t="shared" si="26"/>
        <v>0</v>
      </c>
      <c r="DT113" s="6">
        <f t="shared" si="27"/>
        <v>8346</v>
      </c>
      <c r="DU113" s="6"/>
      <c r="DV113" s="6"/>
      <c r="DW113" s="6">
        <f t="shared" si="28"/>
        <v>531270</v>
      </c>
      <c r="DY113" s="6">
        <f t="shared" si="29"/>
        <v>279338</v>
      </c>
      <c r="DZ113" s="6">
        <f t="shared" si="30"/>
        <v>0</v>
      </c>
      <c r="EB113" s="6">
        <f t="shared" si="31"/>
        <v>531270</v>
      </c>
      <c r="EC113" s="6"/>
      <c r="ED113" s="6"/>
      <c r="EF113" s="6"/>
      <c r="EG113" s="6"/>
    </row>
    <row r="114" spans="2:137" ht="14">
      <c r="B114" s="4">
        <v>35431</v>
      </c>
      <c r="C114" s="5">
        <v>0</v>
      </c>
      <c r="D114" s="5">
        <v>0</v>
      </c>
      <c r="E114" s="5">
        <v>0</v>
      </c>
      <c r="F114" s="5" t="s">
        <v>82</v>
      </c>
      <c r="G114" s="5" t="s">
        <v>82</v>
      </c>
      <c r="H114" s="5">
        <v>0</v>
      </c>
      <c r="I114" s="5">
        <v>0</v>
      </c>
      <c r="J114" s="5">
        <v>0</v>
      </c>
      <c r="K114" s="5">
        <v>0</v>
      </c>
      <c r="L114" s="5"/>
      <c r="M114" s="5">
        <v>34284</v>
      </c>
      <c r="N114" s="5">
        <v>3272</v>
      </c>
      <c r="O114" s="5"/>
      <c r="P114" s="5">
        <v>4741</v>
      </c>
      <c r="Q114" s="5">
        <v>4901</v>
      </c>
      <c r="R114" s="5">
        <v>1756</v>
      </c>
      <c r="S114" s="5">
        <v>7943</v>
      </c>
      <c r="T114" s="5">
        <v>13955</v>
      </c>
      <c r="U114" s="5"/>
      <c r="V114" s="5"/>
      <c r="W114" s="5">
        <v>3752</v>
      </c>
      <c r="X114" s="5">
        <v>0</v>
      </c>
      <c r="Y114" s="5">
        <v>783</v>
      </c>
      <c r="Z114" s="5">
        <v>34</v>
      </c>
      <c r="AA114" s="155"/>
      <c r="AB114" s="5">
        <v>25</v>
      </c>
      <c r="AC114" s="5">
        <v>0</v>
      </c>
      <c r="AD114" s="5">
        <v>15</v>
      </c>
      <c r="AE114" s="5">
        <v>31</v>
      </c>
      <c r="AF114" s="5">
        <v>30</v>
      </c>
      <c r="AG114" s="5">
        <v>57</v>
      </c>
      <c r="AH114" s="5"/>
      <c r="AI114" s="5"/>
      <c r="AJ114" s="5">
        <v>21</v>
      </c>
      <c r="AK114" s="5">
        <v>0</v>
      </c>
      <c r="AL114" s="5">
        <v>82531</v>
      </c>
      <c r="AM114" s="5">
        <v>3566</v>
      </c>
      <c r="AN114" s="5">
        <v>6429</v>
      </c>
      <c r="AO114" s="5">
        <v>46</v>
      </c>
      <c r="AP114" s="5">
        <v>5</v>
      </c>
      <c r="AQ114" s="5">
        <v>0</v>
      </c>
      <c r="AR114" s="5">
        <v>0</v>
      </c>
      <c r="AS114" s="5">
        <v>1774</v>
      </c>
      <c r="AT114" s="5" t="s">
        <v>82</v>
      </c>
      <c r="AU114" s="5">
        <v>1469</v>
      </c>
      <c r="AV114" s="5">
        <v>1488</v>
      </c>
      <c r="AW114" s="5">
        <v>2407</v>
      </c>
      <c r="AX114" s="5">
        <v>8484</v>
      </c>
      <c r="AY114" s="155"/>
      <c r="AZ114" s="155"/>
      <c r="BA114" s="155">
        <v>0</v>
      </c>
      <c r="BB114" s="155"/>
      <c r="BC114" s="5">
        <v>1017</v>
      </c>
      <c r="BD114" s="5"/>
      <c r="BE114" s="5">
        <v>41712</v>
      </c>
      <c r="BF114" s="5">
        <v>98203</v>
      </c>
      <c r="BG114" s="5">
        <v>280</v>
      </c>
      <c r="BH114" s="5">
        <v>653</v>
      </c>
      <c r="BI114" s="5">
        <v>788</v>
      </c>
      <c r="BJ114" s="5">
        <v>5103</v>
      </c>
      <c r="BK114" s="5">
        <v>73</v>
      </c>
      <c r="BL114" s="5">
        <v>2818</v>
      </c>
      <c r="BM114" s="5"/>
      <c r="BN114" s="5">
        <v>670</v>
      </c>
      <c r="BO114" s="5">
        <v>62</v>
      </c>
      <c r="BP114" s="5">
        <v>0</v>
      </c>
      <c r="BQ114" s="5">
        <v>10520</v>
      </c>
      <c r="BR114" s="5">
        <v>15559</v>
      </c>
      <c r="BS114" s="5">
        <v>13</v>
      </c>
      <c r="BT114" s="5">
        <v>155</v>
      </c>
      <c r="BU114" s="5">
        <v>218</v>
      </c>
      <c r="BV114" s="5"/>
      <c r="BW114" s="5">
        <v>9</v>
      </c>
      <c r="BX114" s="5">
        <v>224</v>
      </c>
      <c r="BY114" s="5"/>
      <c r="BZ114" s="5">
        <v>388</v>
      </c>
      <c r="CA114" s="5">
        <v>1</v>
      </c>
      <c r="CB114" s="5">
        <v>0</v>
      </c>
      <c r="CC114" s="5">
        <v>12136</v>
      </c>
      <c r="CD114" s="5">
        <v>60407</v>
      </c>
      <c r="CE114" s="5">
        <v>79148</v>
      </c>
      <c r="CF114" s="5">
        <v>14476</v>
      </c>
      <c r="CG114" s="5">
        <v>0</v>
      </c>
      <c r="CH114" s="5">
        <v>0</v>
      </c>
      <c r="CI114" s="5">
        <v>26</v>
      </c>
      <c r="CJ114" s="5">
        <v>100</v>
      </c>
      <c r="CK114" s="5">
        <v>214</v>
      </c>
      <c r="CL114" s="5"/>
      <c r="CM114" s="5"/>
      <c r="CN114" s="5"/>
      <c r="CO114" s="5"/>
      <c r="CP114" s="5"/>
      <c r="CQ114" s="5"/>
      <c r="CR114" s="5"/>
      <c r="CS114" s="5"/>
      <c r="CT114" s="5" t="s">
        <v>82</v>
      </c>
      <c r="CU114" s="5" t="s">
        <v>82</v>
      </c>
      <c r="CV114" s="5" t="s">
        <v>82</v>
      </c>
      <c r="CW114" s="5">
        <v>0</v>
      </c>
      <c r="CX114" s="5">
        <v>0</v>
      </c>
      <c r="CY114" s="5">
        <v>0</v>
      </c>
      <c r="DA114" s="6"/>
      <c r="DD114" s="6">
        <f t="shared" si="19"/>
        <v>343956</v>
      </c>
      <c r="DE114" s="6">
        <f t="shared" si="20"/>
        <v>184816</v>
      </c>
      <c r="DF114" s="16">
        <f t="shared" si="21"/>
        <v>528772</v>
      </c>
      <c r="DK114" s="6">
        <f t="shared" si="22"/>
        <v>60649</v>
      </c>
      <c r="DL114" s="6">
        <f t="shared" si="23"/>
        <v>95237</v>
      </c>
      <c r="DM114" s="6">
        <f t="shared" si="33"/>
        <v>13955</v>
      </c>
      <c r="DN114" s="6">
        <f t="shared" si="34"/>
        <v>14975</v>
      </c>
      <c r="DO114" s="6">
        <f t="shared" si="24"/>
        <v>269659</v>
      </c>
      <c r="DP114" s="6">
        <f t="shared" si="32"/>
        <v>53710</v>
      </c>
      <c r="DQ114" s="6"/>
      <c r="DR114" s="6">
        <f t="shared" si="25"/>
        <v>12162</v>
      </c>
      <c r="DS114" s="6">
        <f t="shared" si="26"/>
        <v>0</v>
      </c>
      <c r="DT114" s="6">
        <f t="shared" si="27"/>
        <v>8425</v>
      </c>
      <c r="DU114" s="6"/>
      <c r="DV114" s="6"/>
      <c r="DW114" s="6">
        <f t="shared" si="28"/>
        <v>528772</v>
      </c>
      <c r="DY114" s="6">
        <f t="shared" si="29"/>
        <v>278084</v>
      </c>
      <c r="DZ114" s="6">
        <f t="shared" si="30"/>
        <v>0</v>
      </c>
      <c r="EB114" s="6">
        <f t="shared" si="31"/>
        <v>528772</v>
      </c>
      <c r="EC114" s="6"/>
      <c r="ED114" s="6"/>
      <c r="EF114" s="6"/>
      <c r="EG114" s="6"/>
    </row>
    <row r="115" spans="2:137" ht="14">
      <c r="B115" s="4">
        <v>35462</v>
      </c>
      <c r="C115" s="5">
        <v>0</v>
      </c>
      <c r="D115" s="5">
        <v>0</v>
      </c>
      <c r="E115" s="5">
        <v>0</v>
      </c>
      <c r="F115" s="5" t="s">
        <v>82</v>
      </c>
      <c r="G115" s="5" t="s">
        <v>82</v>
      </c>
      <c r="H115" s="5">
        <v>0</v>
      </c>
      <c r="I115" s="5">
        <v>0</v>
      </c>
      <c r="J115" s="5">
        <v>0</v>
      </c>
      <c r="K115" s="5">
        <v>0</v>
      </c>
      <c r="L115" s="5"/>
      <c r="M115" s="5">
        <v>34171</v>
      </c>
      <c r="N115" s="5">
        <v>3223</v>
      </c>
      <c r="O115" s="5"/>
      <c r="P115" s="5">
        <v>4617</v>
      </c>
      <c r="Q115" s="5">
        <v>4956</v>
      </c>
      <c r="R115" s="5">
        <v>1711</v>
      </c>
      <c r="S115" s="5">
        <v>8036</v>
      </c>
      <c r="T115" s="5">
        <v>13956</v>
      </c>
      <c r="U115" s="5"/>
      <c r="V115" s="5"/>
      <c r="W115" s="5">
        <v>3573</v>
      </c>
      <c r="X115" s="5">
        <v>0</v>
      </c>
      <c r="Y115" s="5">
        <v>778</v>
      </c>
      <c r="Z115" s="5">
        <v>35</v>
      </c>
      <c r="AA115" s="155"/>
      <c r="AB115" s="5">
        <v>24</v>
      </c>
      <c r="AC115" s="5">
        <v>0</v>
      </c>
      <c r="AD115" s="5">
        <v>16</v>
      </c>
      <c r="AE115" s="5">
        <v>30</v>
      </c>
      <c r="AF115" s="5">
        <v>27</v>
      </c>
      <c r="AG115" s="5">
        <v>57</v>
      </c>
      <c r="AH115" s="5"/>
      <c r="AI115" s="5"/>
      <c r="AJ115" s="5">
        <v>20</v>
      </c>
      <c r="AK115" s="5">
        <v>0</v>
      </c>
      <c r="AL115" s="5">
        <v>82644</v>
      </c>
      <c r="AM115" s="5">
        <v>3538</v>
      </c>
      <c r="AN115" s="5">
        <v>6558</v>
      </c>
      <c r="AO115" s="5">
        <v>47</v>
      </c>
      <c r="AP115" s="5">
        <v>4</v>
      </c>
      <c r="AQ115" s="5">
        <v>0</v>
      </c>
      <c r="AR115" s="5">
        <v>0</v>
      </c>
      <c r="AS115" s="5">
        <v>1787</v>
      </c>
      <c r="AT115" s="5" t="s">
        <v>82</v>
      </c>
      <c r="AU115" s="5">
        <v>1493</v>
      </c>
      <c r="AV115" s="5">
        <v>1492</v>
      </c>
      <c r="AW115" s="5">
        <v>2418</v>
      </c>
      <c r="AX115" s="5">
        <v>8532</v>
      </c>
      <c r="AY115" s="155"/>
      <c r="AZ115" s="155"/>
      <c r="BA115" s="155">
        <v>0</v>
      </c>
      <c r="BB115" s="155"/>
      <c r="BC115" s="5">
        <v>984</v>
      </c>
      <c r="BD115" s="5"/>
      <c r="BE115" s="5">
        <v>41411</v>
      </c>
      <c r="BF115" s="5">
        <v>97355</v>
      </c>
      <c r="BG115" s="5">
        <v>285</v>
      </c>
      <c r="BH115" s="5">
        <v>656</v>
      </c>
      <c r="BI115" s="5">
        <v>775</v>
      </c>
      <c r="BJ115" s="5">
        <v>5151</v>
      </c>
      <c r="BK115" s="5">
        <v>69</v>
      </c>
      <c r="BL115" s="5">
        <v>2879</v>
      </c>
      <c r="BM115" s="5"/>
      <c r="BN115" s="5">
        <v>692</v>
      </c>
      <c r="BO115" s="5">
        <v>59</v>
      </c>
      <c r="BP115" s="5">
        <v>0</v>
      </c>
      <c r="BQ115" s="5">
        <v>10528</v>
      </c>
      <c r="BR115" s="5">
        <v>15501</v>
      </c>
      <c r="BS115" s="5">
        <v>14</v>
      </c>
      <c r="BT115" s="5">
        <v>153</v>
      </c>
      <c r="BU115" s="5">
        <v>212</v>
      </c>
      <c r="BV115" s="5"/>
      <c r="BW115" s="5">
        <v>6</v>
      </c>
      <c r="BX115" s="5">
        <v>228</v>
      </c>
      <c r="BY115" s="5"/>
      <c r="BZ115" s="5">
        <v>372</v>
      </c>
      <c r="CA115" s="5">
        <v>1</v>
      </c>
      <c r="CB115" s="5">
        <v>0</v>
      </c>
      <c r="CC115" s="5">
        <v>12376</v>
      </c>
      <c r="CD115" s="5">
        <v>60821</v>
      </c>
      <c r="CE115" s="5">
        <v>80103</v>
      </c>
      <c r="CF115" s="5">
        <v>14794</v>
      </c>
      <c r="CG115" s="5">
        <v>0</v>
      </c>
      <c r="CH115" s="5">
        <v>0</v>
      </c>
      <c r="CI115" s="5">
        <v>28</v>
      </c>
      <c r="CJ115" s="5">
        <v>101</v>
      </c>
      <c r="CK115" s="5">
        <v>220</v>
      </c>
      <c r="CL115" s="5"/>
      <c r="CM115" s="5"/>
      <c r="CN115" s="5"/>
      <c r="CO115" s="5"/>
      <c r="CP115" s="5"/>
      <c r="CQ115" s="5"/>
      <c r="CR115" s="5"/>
      <c r="CS115" s="5"/>
      <c r="CT115" s="5" t="s">
        <v>82</v>
      </c>
      <c r="CU115" s="5" t="s">
        <v>82</v>
      </c>
      <c r="CV115" s="5" t="s">
        <v>82</v>
      </c>
      <c r="CW115" s="5">
        <v>0</v>
      </c>
      <c r="CX115" s="5">
        <v>0</v>
      </c>
      <c r="CY115" s="5">
        <v>0</v>
      </c>
      <c r="DA115" s="6"/>
      <c r="DD115" s="6">
        <f t="shared" si="19"/>
        <v>344790</v>
      </c>
      <c r="DE115" s="6">
        <f t="shared" si="20"/>
        <v>184727</v>
      </c>
      <c r="DF115" s="16">
        <f t="shared" si="21"/>
        <v>529517</v>
      </c>
      <c r="DK115" s="6">
        <f t="shared" si="22"/>
        <v>60287</v>
      </c>
      <c r="DL115" s="6">
        <f t="shared" si="23"/>
        <v>95333</v>
      </c>
      <c r="DM115" s="6">
        <f t="shared" si="33"/>
        <v>13956</v>
      </c>
      <c r="DN115" s="6">
        <f t="shared" si="34"/>
        <v>15151</v>
      </c>
      <c r="DO115" s="6">
        <f t="shared" si="24"/>
        <v>270403</v>
      </c>
      <c r="DP115" s="6">
        <f t="shared" si="32"/>
        <v>53440</v>
      </c>
      <c r="DQ115" s="6"/>
      <c r="DR115" s="6">
        <f t="shared" si="25"/>
        <v>12404</v>
      </c>
      <c r="DS115" s="6">
        <f t="shared" si="26"/>
        <v>0</v>
      </c>
      <c r="DT115" s="6">
        <f t="shared" si="27"/>
        <v>8543</v>
      </c>
      <c r="DU115" s="6"/>
      <c r="DV115" s="6"/>
      <c r="DW115" s="6">
        <f t="shared" si="28"/>
        <v>529517</v>
      </c>
      <c r="DY115" s="6">
        <f t="shared" si="29"/>
        <v>278946</v>
      </c>
      <c r="DZ115" s="6">
        <f t="shared" si="30"/>
        <v>0</v>
      </c>
      <c r="EB115" s="6">
        <f t="shared" si="31"/>
        <v>529517</v>
      </c>
      <c r="EC115" s="6"/>
      <c r="ED115" s="6"/>
      <c r="EF115" s="6"/>
      <c r="EG115" s="6"/>
    </row>
    <row r="116" spans="2:137" ht="14">
      <c r="B116" s="4">
        <v>35490</v>
      </c>
      <c r="C116" s="5">
        <v>0</v>
      </c>
      <c r="D116" s="5">
        <v>0</v>
      </c>
      <c r="E116" s="5">
        <v>0</v>
      </c>
      <c r="F116" s="5" t="s">
        <v>82</v>
      </c>
      <c r="G116" s="5" t="s">
        <v>82</v>
      </c>
      <c r="H116" s="5">
        <v>0</v>
      </c>
      <c r="I116" s="5">
        <v>0</v>
      </c>
      <c r="J116" s="5">
        <v>0</v>
      </c>
      <c r="K116" s="5">
        <v>0</v>
      </c>
      <c r="L116" s="5"/>
      <c r="M116" s="5">
        <v>34058</v>
      </c>
      <c r="N116" s="5">
        <v>3205</v>
      </c>
      <c r="O116" s="5"/>
      <c r="P116" s="5">
        <v>4529</v>
      </c>
      <c r="Q116" s="5">
        <v>5033</v>
      </c>
      <c r="R116" s="5">
        <v>1683</v>
      </c>
      <c r="S116" s="5">
        <v>8075</v>
      </c>
      <c r="T116" s="5">
        <v>13883</v>
      </c>
      <c r="U116" s="5"/>
      <c r="V116" s="5"/>
      <c r="W116" s="5">
        <v>3491</v>
      </c>
      <c r="X116" s="5">
        <v>0</v>
      </c>
      <c r="Y116" s="5">
        <v>775</v>
      </c>
      <c r="Z116" s="5">
        <v>34</v>
      </c>
      <c r="AA116" s="155"/>
      <c r="AB116" s="5">
        <v>24</v>
      </c>
      <c r="AC116" s="5">
        <v>0</v>
      </c>
      <c r="AD116" s="5">
        <v>16</v>
      </c>
      <c r="AE116" s="5">
        <v>32</v>
      </c>
      <c r="AF116" s="5">
        <v>26</v>
      </c>
      <c r="AG116" s="5">
        <v>58</v>
      </c>
      <c r="AH116" s="5"/>
      <c r="AI116" s="5"/>
      <c r="AJ116" s="5">
        <v>21</v>
      </c>
      <c r="AK116" s="5">
        <v>0</v>
      </c>
      <c r="AL116" s="5">
        <v>82653</v>
      </c>
      <c r="AM116" s="5">
        <v>3526</v>
      </c>
      <c r="AN116" s="5">
        <v>6660</v>
      </c>
      <c r="AO116" s="5">
        <v>47</v>
      </c>
      <c r="AP116" s="5">
        <v>6</v>
      </c>
      <c r="AQ116" s="5">
        <v>0</v>
      </c>
      <c r="AR116" s="5">
        <v>0</v>
      </c>
      <c r="AS116" s="5">
        <v>1780</v>
      </c>
      <c r="AT116" s="5" t="s">
        <v>82</v>
      </c>
      <c r="AU116" s="5">
        <v>1499</v>
      </c>
      <c r="AV116" s="5">
        <v>1498</v>
      </c>
      <c r="AW116" s="5">
        <v>2425</v>
      </c>
      <c r="AX116" s="5">
        <v>8579</v>
      </c>
      <c r="AY116" s="155"/>
      <c r="AZ116" s="155"/>
      <c r="BA116" s="155">
        <v>0</v>
      </c>
      <c r="BB116" s="155"/>
      <c r="BC116" s="5">
        <v>965</v>
      </c>
      <c r="BD116" s="5"/>
      <c r="BE116" s="5">
        <v>40672</v>
      </c>
      <c r="BF116" s="5">
        <v>95677</v>
      </c>
      <c r="BG116" s="5">
        <v>282</v>
      </c>
      <c r="BH116" s="5">
        <v>748</v>
      </c>
      <c r="BI116" s="5">
        <v>885</v>
      </c>
      <c r="BJ116" s="5">
        <v>5203</v>
      </c>
      <c r="BK116" s="5">
        <v>65</v>
      </c>
      <c r="BL116" s="5">
        <v>2838</v>
      </c>
      <c r="BM116" s="5"/>
      <c r="BN116" s="5">
        <v>663</v>
      </c>
      <c r="BO116" s="5">
        <v>58</v>
      </c>
      <c r="BP116" s="5">
        <v>0</v>
      </c>
      <c r="BQ116" s="5">
        <v>10450</v>
      </c>
      <c r="BR116" s="5">
        <v>15384</v>
      </c>
      <c r="BS116" s="5">
        <v>13</v>
      </c>
      <c r="BT116" s="5">
        <v>160</v>
      </c>
      <c r="BU116" s="5">
        <v>207</v>
      </c>
      <c r="BV116" s="5"/>
      <c r="BW116" s="5">
        <v>5</v>
      </c>
      <c r="BX116" s="5">
        <v>222</v>
      </c>
      <c r="BY116" s="5"/>
      <c r="BZ116" s="5">
        <v>346</v>
      </c>
      <c r="CA116" s="5">
        <v>2</v>
      </c>
      <c r="CB116" s="5">
        <v>0</v>
      </c>
      <c r="CC116" s="5">
        <v>12418</v>
      </c>
      <c r="CD116" s="5">
        <v>60644</v>
      </c>
      <c r="CE116" s="5">
        <v>80395</v>
      </c>
      <c r="CF116" s="5">
        <v>14915</v>
      </c>
      <c r="CG116" s="5">
        <v>0</v>
      </c>
      <c r="CH116" s="5">
        <v>0</v>
      </c>
      <c r="CI116" s="5">
        <v>39</v>
      </c>
      <c r="CJ116" s="5">
        <v>98</v>
      </c>
      <c r="CK116" s="5">
        <v>215</v>
      </c>
      <c r="CL116" s="5"/>
      <c r="CM116" s="5"/>
      <c r="CN116" s="5"/>
      <c r="CO116" s="5"/>
      <c r="CP116" s="5"/>
      <c r="CQ116" s="5"/>
      <c r="CR116" s="5"/>
      <c r="CS116" s="5"/>
      <c r="CT116" s="5" t="s">
        <v>82</v>
      </c>
      <c r="CU116" s="5" t="s">
        <v>82</v>
      </c>
      <c r="CV116" s="5" t="s">
        <v>82</v>
      </c>
      <c r="CW116" s="5">
        <v>0</v>
      </c>
      <c r="CX116" s="5">
        <v>0</v>
      </c>
      <c r="CY116" s="5">
        <v>0</v>
      </c>
      <c r="DA116" s="6"/>
      <c r="DD116" s="6">
        <f t="shared" si="19"/>
        <v>342604</v>
      </c>
      <c r="DE116" s="6">
        <f t="shared" si="20"/>
        <v>184581</v>
      </c>
      <c r="DF116" s="16">
        <f t="shared" si="21"/>
        <v>527185</v>
      </c>
      <c r="DK116" s="6">
        <f t="shared" si="22"/>
        <v>60074</v>
      </c>
      <c r="DL116" s="6">
        <f t="shared" si="23"/>
        <v>95321</v>
      </c>
      <c r="DM116" s="6">
        <f t="shared" si="33"/>
        <v>13883</v>
      </c>
      <c r="DN116" s="6">
        <f t="shared" si="34"/>
        <v>15303</v>
      </c>
      <c r="DO116" s="6">
        <f t="shared" si="24"/>
        <v>268909</v>
      </c>
      <c r="DP116" s="6">
        <f t="shared" si="32"/>
        <v>52693</v>
      </c>
      <c r="DQ116" s="6"/>
      <c r="DR116" s="6">
        <f t="shared" si="25"/>
        <v>12457</v>
      </c>
      <c r="DS116" s="6">
        <f t="shared" si="26"/>
        <v>0</v>
      </c>
      <c r="DT116" s="6">
        <f t="shared" si="27"/>
        <v>8545</v>
      </c>
      <c r="DU116" s="6"/>
      <c r="DV116" s="6"/>
      <c r="DW116" s="6">
        <f t="shared" si="28"/>
        <v>527185</v>
      </c>
      <c r="DY116" s="6">
        <f t="shared" si="29"/>
        <v>277454</v>
      </c>
      <c r="DZ116" s="6">
        <f t="shared" si="30"/>
        <v>0</v>
      </c>
      <c r="EB116" s="6">
        <f t="shared" si="31"/>
        <v>527185</v>
      </c>
      <c r="EC116" s="6"/>
      <c r="ED116" s="6"/>
      <c r="EF116" s="6"/>
      <c r="EG116" s="6"/>
    </row>
    <row r="117" spans="2:137" ht="14">
      <c r="B117" s="4">
        <v>35521</v>
      </c>
      <c r="C117" s="5">
        <v>0</v>
      </c>
      <c r="D117" s="5">
        <v>0</v>
      </c>
      <c r="E117" s="5">
        <v>0</v>
      </c>
      <c r="F117" s="5" t="s">
        <v>82</v>
      </c>
      <c r="G117" s="5" t="s">
        <v>82</v>
      </c>
      <c r="H117" s="5">
        <v>0</v>
      </c>
      <c r="I117" s="5">
        <v>0</v>
      </c>
      <c r="J117" s="5">
        <v>0</v>
      </c>
      <c r="K117" s="5">
        <v>0</v>
      </c>
      <c r="L117" s="5"/>
      <c r="M117" s="5">
        <v>34025</v>
      </c>
      <c r="N117" s="5">
        <v>3200</v>
      </c>
      <c r="O117" s="5"/>
      <c r="P117" s="5">
        <v>4451</v>
      </c>
      <c r="Q117" s="5">
        <v>5154</v>
      </c>
      <c r="R117" s="5">
        <v>1633</v>
      </c>
      <c r="S117" s="5">
        <v>8252</v>
      </c>
      <c r="T117" s="5">
        <v>13839</v>
      </c>
      <c r="U117" s="5"/>
      <c r="V117" s="5"/>
      <c r="W117" s="5">
        <v>3404</v>
      </c>
      <c r="X117" s="5">
        <v>0</v>
      </c>
      <c r="Y117" s="5">
        <v>772</v>
      </c>
      <c r="Z117" s="5">
        <v>36</v>
      </c>
      <c r="AA117" s="155"/>
      <c r="AB117" s="5">
        <v>27</v>
      </c>
      <c r="AC117" s="5">
        <v>0</v>
      </c>
      <c r="AD117" s="5">
        <v>16</v>
      </c>
      <c r="AE117" s="5">
        <v>33</v>
      </c>
      <c r="AF117" s="5">
        <v>27</v>
      </c>
      <c r="AG117" s="5">
        <v>64</v>
      </c>
      <c r="AH117" s="5"/>
      <c r="AI117" s="5"/>
      <c r="AJ117" s="5">
        <v>21</v>
      </c>
      <c r="AK117" s="5">
        <v>0</v>
      </c>
      <c r="AL117" s="5">
        <v>82846</v>
      </c>
      <c r="AM117" s="5">
        <v>3557</v>
      </c>
      <c r="AN117" s="5">
        <v>6785</v>
      </c>
      <c r="AO117" s="5">
        <v>38</v>
      </c>
      <c r="AP117" s="5">
        <v>7</v>
      </c>
      <c r="AQ117" s="5">
        <v>0</v>
      </c>
      <c r="AR117" s="5">
        <v>0</v>
      </c>
      <c r="AS117" s="5">
        <v>1786</v>
      </c>
      <c r="AT117" s="5" t="s">
        <v>82</v>
      </c>
      <c r="AU117" s="5">
        <v>1527</v>
      </c>
      <c r="AV117" s="5">
        <v>1499</v>
      </c>
      <c r="AW117" s="5">
        <v>2408</v>
      </c>
      <c r="AX117" s="5">
        <v>8635</v>
      </c>
      <c r="AY117" s="155"/>
      <c r="AZ117" s="155"/>
      <c r="BA117" s="155">
        <v>0</v>
      </c>
      <c r="BB117" s="155"/>
      <c r="BC117" s="5">
        <v>946</v>
      </c>
      <c r="BD117" s="5"/>
      <c r="BE117" s="5">
        <v>39669</v>
      </c>
      <c r="BF117" s="5">
        <v>93722</v>
      </c>
      <c r="BG117" s="5">
        <v>282</v>
      </c>
      <c r="BH117" s="5">
        <v>840</v>
      </c>
      <c r="BI117" s="5">
        <v>997</v>
      </c>
      <c r="BJ117" s="5">
        <v>5245</v>
      </c>
      <c r="BK117" s="5">
        <v>70</v>
      </c>
      <c r="BL117" s="5">
        <v>2842</v>
      </c>
      <c r="BM117" s="5"/>
      <c r="BN117" s="5">
        <v>611</v>
      </c>
      <c r="BO117" s="5">
        <v>56</v>
      </c>
      <c r="BP117" s="5">
        <v>0</v>
      </c>
      <c r="BQ117" s="5">
        <v>10664</v>
      </c>
      <c r="BR117" s="5">
        <v>15387</v>
      </c>
      <c r="BS117" s="5">
        <v>16</v>
      </c>
      <c r="BT117" s="5">
        <v>209</v>
      </c>
      <c r="BU117" s="5">
        <v>231</v>
      </c>
      <c r="BV117" s="5"/>
      <c r="BW117" s="5">
        <v>6</v>
      </c>
      <c r="BX117" s="5">
        <v>225</v>
      </c>
      <c r="BY117" s="5"/>
      <c r="BZ117" s="5">
        <v>340</v>
      </c>
      <c r="CA117" s="5">
        <v>1</v>
      </c>
      <c r="CB117" s="5">
        <v>0</v>
      </c>
      <c r="CC117" s="5">
        <v>12483</v>
      </c>
      <c r="CD117" s="5">
        <v>60501</v>
      </c>
      <c r="CE117" s="5">
        <v>80475</v>
      </c>
      <c r="CF117" s="5">
        <v>14984</v>
      </c>
      <c r="CG117" s="5">
        <v>0</v>
      </c>
      <c r="CH117" s="5">
        <v>0</v>
      </c>
      <c r="CI117" s="5">
        <v>45</v>
      </c>
      <c r="CJ117" s="5">
        <v>98</v>
      </c>
      <c r="CK117" s="5">
        <v>222</v>
      </c>
      <c r="CL117" s="5"/>
      <c r="CM117" s="5"/>
      <c r="CN117" s="5"/>
      <c r="CO117" s="5"/>
      <c r="CP117" s="5"/>
      <c r="CQ117" s="5"/>
      <c r="CR117" s="5"/>
      <c r="CS117" s="5"/>
      <c r="CT117" s="5" t="s">
        <v>82</v>
      </c>
      <c r="CU117" s="5" t="s">
        <v>82</v>
      </c>
      <c r="CV117" s="5" t="s">
        <v>82</v>
      </c>
      <c r="CW117" s="5">
        <v>0</v>
      </c>
      <c r="CX117" s="5">
        <v>0</v>
      </c>
      <c r="CY117" s="5">
        <v>0</v>
      </c>
      <c r="DA117" s="6"/>
      <c r="DD117" s="6">
        <f t="shared" si="19"/>
        <v>340221</v>
      </c>
      <c r="DE117" s="6">
        <f t="shared" si="20"/>
        <v>184988</v>
      </c>
      <c r="DF117" s="16">
        <f t="shared" si="21"/>
        <v>525209</v>
      </c>
      <c r="DK117" s="6">
        <f t="shared" si="22"/>
        <v>60119</v>
      </c>
      <c r="DL117" s="6">
        <f t="shared" si="23"/>
        <v>95539</v>
      </c>
      <c r="DM117" s="6">
        <f t="shared" si="33"/>
        <v>13839</v>
      </c>
      <c r="DN117" s="6">
        <f t="shared" si="34"/>
        <v>15491</v>
      </c>
      <c r="DO117" s="6">
        <f t="shared" si="24"/>
        <v>267106</v>
      </c>
      <c r="DP117" s="6">
        <f t="shared" si="32"/>
        <v>51993</v>
      </c>
      <c r="DQ117" s="6"/>
      <c r="DR117" s="6">
        <f t="shared" si="25"/>
        <v>12528</v>
      </c>
      <c r="DS117" s="6">
        <f t="shared" si="26"/>
        <v>0</v>
      </c>
      <c r="DT117" s="6">
        <f t="shared" si="27"/>
        <v>8594</v>
      </c>
      <c r="DU117" s="6"/>
      <c r="DV117" s="6"/>
      <c r="DW117" s="6">
        <f t="shared" si="28"/>
        <v>525209</v>
      </c>
      <c r="DY117" s="6">
        <f t="shared" si="29"/>
        <v>275700</v>
      </c>
      <c r="DZ117" s="6">
        <f t="shared" si="30"/>
        <v>0</v>
      </c>
      <c r="EB117" s="6">
        <f t="shared" si="31"/>
        <v>525209</v>
      </c>
      <c r="EC117" s="6"/>
      <c r="ED117" s="6"/>
      <c r="EF117" s="6"/>
      <c r="EG117" s="6"/>
    </row>
    <row r="118" spans="2:137" ht="14">
      <c r="B118" s="4">
        <v>35551</v>
      </c>
      <c r="C118" s="5">
        <v>0</v>
      </c>
      <c r="D118" s="5">
        <v>0</v>
      </c>
      <c r="E118" s="5">
        <v>0</v>
      </c>
      <c r="F118" s="5" t="s">
        <v>82</v>
      </c>
      <c r="G118" s="5" t="s">
        <v>82</v>
      </c>
      <c r="H118" s="5">
        <v>0</v>
      </c>
      <c r="I118" s="5">
        <v>0</v>
      </c>
      <c r="J118" s="5">
        <v>0</v>
      </c>
      <c r="K118" s="5">
        <v>0</v>
      </c>
      <c r="L118" s="5"/>
      <c r="M118" s="5">
        <v>33997</v>
      </c>
      <c r="N118" s="5">
        <v>3207</v>
      </c>
      <c r="O118" s="5"/>
      <c r="P118" s="5">
        <v>4341</v>
      </c>
      <c r="Q118" s="5">
        <v>5288</v>
      </c>
      <c r="R118" s="5">
        <v>1591</v>
      </c>
      <c r="S118" s="5">
        <v>8334</v>
      </c>
      <c r="T118" s="5">
        <v>13845</v>
      </c>
      <c r="U118" s="5"/>
      <c r="V118" s="5"/>
      <c r="W118" s="5">
        <v>3292</v>
      </c>
      <c r="X118" s="5">
        <v>0</v>
      </c>
      <c r="Y118" s="5">
        <v>768</v>
      </c>
      <c r="Z118" s="5">
        <v>35</v>
      </c>
      <c r="AA118" s="155"/>
      <c r="AB118" s="5">
        <v>26</v>
      </c>
      <c r="AC118" s="5">
        <v>0</v>
      </c>
      <c r="AD118" s="5">
        <v>16</v>
      </c>
      <c r="AE118" s="5">
        <v>30</v>
      </c>
      <c r="AF118" s="5">
        <v>28</v>
      </c>
      <c r="AG118" s="5">
        <v>61</v>
      </c>
      <c r="AH118" s="5"/>
      <c r="AI118" s="5"/>
      <c r="AJ118" s="5">
        <v>18</v>
      </c>
      <c r="AK118" s="5">
        <v>0</v>
      </c>
      <c r="AL118" s="5">
        <v>83109</v>
      </c>
      <c r="AM118" s="5">
        <v>3555</v>
      </c>
      <c r="AN118" s="5">
        <v>6854</v>
      </c>
      <c r="AO118" s="5">
        <v>45</v>
      </c>
      <c r="AP118" s="5">
        <v>9</v>
      </c>
      <c r="AQ118" s="5">
        <v>0</v>
      </c>
      <c r="AR118" s="5">
        <v>0</v>
      </c>
      <c r="AS118" s="5">
        <v>1838</v>
      </c>
      <c r="AT118" s="5" t="s">
        <v>82</v>
      </c>
      <c r="AU118" s="5">
        <v>1566</v>
      </c>
      <c r="AV118" s="5">
        <v>1512</v>
      </c>
      <c r="AW118" s="5">
        <v>2425</v>
      </c>
      <c r="AX118" s="5">
        <v>8681</v>
      </c>
      <c r="AY118" s="155"/>
      <c r="AZ118" s="155"/>
      <c r="BA118" s="155">
        <v>0</v>
      </c>
      <c r="BB118" s="155"/>
      <c r="BC118" s="5">
        <v>967</v>
      </c>
      <c r="BD118" s="5"/>
      <c r="BE118" s="5">
        <v>38651</v>
      </c>
      <c r="BF118" s="5">
        <v>91670</v>
      </c>
      <c r="BG118" s="5">
        <v>286</v>
      </c>
      <c r="BH118" s="5">
        <v>903</v>
      </c>
      <c r="BI118" s="5">
        <v>1078</v>
      </c>
      <c r="BJ118" s="5">
        <v>5304</v>
      </c>
      <c r="BK118" s="5">
        <v>77</v>
      </c>
      <c r="BL118" s="5">
        <v>2851</v>
      </c>
      <c r="BM118" s="5"/>
      <c r="BN118" s="5">
        <v>542</v>
      </c>
      <c r="BO118" s="5">
        <v>55</v>
      </c>
      <c r="BP118" s="5">
        <v>0</v>
      </c>
      <c r="BQ118" s="5">
        <v>10974</v>
      </c>
      <c r="BR118" s="5">
        <v>15623</v>
      </c>
      <c r="BS118" s="5">
        <v>15</v>
      </c>
      <c r="BT118" s="5">
        <v>246</v>
      </c>
      <c r="BU118" s="5">
        <v>240</v>
      </c>
      <c r="BV118" s="5"/>
      <c r="BW118" s="5">
        <v>6</v>
      </c>
      <c r="BX118" s="5">
        <v>219</v>
      </c>
      <c r="BY118" s="5"/>
      <c r="BZ118" s="5">
        <v>321</v>
      </c>
      <c r="CA118" s="5">
        <v>1</v>
      </c>
      <c r="CB118" s="5">
        <v>0</v>
      </c>
      <c r="CC118" s="5">
        <v>12589</v>
      </c>
      <c r="CD118" s="5">
        <v>60228</v>
      </c>
      <c r="CE118" s="5">
        <v>81015</v>
      </c>
      <c r="CF118" s="5">
        <v>15187</v>
      </c>
      <c r="CG118" s="5">
        <v>0</v>
      </c>
      <c r="CH118" s="5">
        <v>0</v>
      </c>
      <c r="CI118" s="5">
        <v>53</v>
      </c>
      <c r="CJ118" s="5">
        <v>94</v>
      </c>
      <c r="CK118" s="5">
        <v>234</v>
      </c>
      <c r="CL118" s="5"/>
      <c r="CM118" s="5"/>
      <c r="CN118" s="5"/>
      <c r="CO118" s="5"/>
      <c r="CP118" s="5"/>
      <c r="CQ118" s="5"/>
      <c r="CR118" s="5"/>
      <c r="CS118" s="5"/>
      <c r="CT118" s="5" t="s">
        <v>82</v>
      </c>
      <c r="CU118" s="5" t="s">
        <v>82</v>
      </c>
      <c r="CV118" s="5" t="s">
        <v>82</v>
      </c>
      <c r="CW118" s="5">
        <v>0</v>
      </c>
      <c r="CX118" s="5">
        <v>0</v>
      </c>
      <c r="CY118" s="5">
        <v>0</v>
      </c>
      <c r="DA118" s="6"/>
      <c r="DD118" s="6">
        <f t="shared" si="19"/>
        <v>338462</v>
      </c>
      <c r="DE118" s="6">
        <f t="shared" si="20"/>
        <v>185438</v>
      </c>
      <c r="DF118" s="16">
        <f t="shared" si="21"/>
        <v>523900</v>
      </c>
      <c r="DK118" s="6">
        <f t="shared" si="22"/>
        <v>60050</v>
      </c>
      <c r="DL118" s="6">
        <f t="shared" si="23"/>
        <v>95938</v>
      </c>
      <c r="DM118" s="6">
        <f t="shared" si="33"/>
        <v>13845</v>
      </c>
      <c r="DN118" s="6">
        <f t="shared" si="34"/>
        <v>15605</v>
      </c>
      <c r="DO118" s="6">
        <f t="shared" si="24"/>
        <v>265844</v>
      </c>
      <c r="DP118" s="6">
        <f t="shared" si="32"/>
        <v>51316</v>
      </c>
      <c r="DQ118" s="6"/>
      <c r="DR118" s="6">
        <f t="shared" si="25"/>
        <v>12642</v>
      </c>
      <c r="DS118" s="6">
        <f t="shared" si="26"/>
        <v>0</v>
      </c>
      <c r="DT118" s="6">
        <f t="shared" si="27"/>
        <v>8660</v>
      </c>
      <c r="DU118" s="6"/>
      <c r="DV118" s="6"/>
      <c r="DW118" s="6">
        <f t="shared" si="28"/>
        <v>523900</v>
      </c>
      <c r="DY118" s="6">
        <f t="shared" si="29"/>
        <v>274504</v>
      </c>
      <c r="DZ118" s="6">
        <f t="shared" si="30"/>
        <v>0</v>
      </c>
      <c r="EB118" s="6">
        <f t="shared" si="31"/>
        <v>523900</v>
      </c>
      <c r="EC118" s="6"/>
      <c r="ED118" s="6"/>
      <c r="EF118" s="6"/>
      <c r="EG118" s="6"/>
    </row>
    <row r="119" spans="2:137" ht="14">
      <c r="B119" s="4">
        <v>35582</v>
      </c>
      <c r="C119" s="5">
        <v>0</v>
      </c>
      <c r="D119" s="5">
        <v>0</v>
      </c>
      <c r="E119" s="5">
        <v>0</v>
      </c>
      <c r="F119" s="5" t="s">
        <v>82</v>
      </c>
      <c r="G119" s="5" t="s">
        <v>82</v>
      </c>
      <c r="H119" s="5">
        <v>0</v>
      </c>
      <c r="I119" s="5">
        <v>0</v>
      </c>
      <c r="J119" s="5">
        <v>0</v>
      </c>
      <c r="K119" s="5">
        <v>0</v>
      </c>
      <c r="L119" s="5"/>
      <c r="M119" s="5">
        <v>33943</v>
      </c>
      <c r="N119" s="5">
        <v>3218</v>
      </c>
      <c r="O119" s="5"/>
      <c r="P119" s="5">
        <v>4285</v>
      </c>
      <c r="Q119" s="5">
        <v>5389</v>
      </c>
      <c r="R119" s="5">
        <v>1560</v>
      </c>
      <c r="S119" s="5">
        <v>8461</v>
      </c>
      <c r="T119" s="5">
        <v>13787</v>
      </c>
      <c r="U119" s="5"/>
      <c r="V119" s="5"/>
      <c r="W119" s="5">
        <v>3186</v>
      </c>
      <c r="X119" s="5">
        <v>0</v>
      </c>
      <c r="Y119" s="5">
        <v>765</v>
      </c>
      <c r="Z119" s="5">
        <v>33</v>
      </c>
      <c r="AA119" s="155"/>
      <c r="AB119" s="5">
        <v>26</v>
      </c>
      <c r="AC119" s="5">
        <v>0</v>
      </c>
      <c r="AD119" s="5">
        <v>15</v>
      </c>
      <c r="AE119" s="5">
        <v>33</v>
      </c>
      <c r="AF119" s="5">
        <v>28</v>
      </c>
      <c r="AG119" s="5">
        <v>58</v>
      </c>
      <c r="AH119" s="5"/>
      <c r="AI119" s="5"/>
      <c r="AJ119" s="5">
        <v>20</v>
      </c>
      <c r="AK119" s="5">
        <v>0</v>
      </c>
      <c r="AL119" s="5">
        <v>83100</v>
      </c>
      <c r="AM119" s="5">
        <v>3571</v>
      </c>
      <c r="AN119" s="5">
        <v>6841</v>
      </c>
      <c r="AO119" s="5">
        <v>50</v>
      </c>
      <c r="AP119" s="5">
        <v>10</v>
      </c>
      <c r="AQ119" s="5">
        <v>0</v>
      </c>
      <c r="AR119" s="5">
        <v>0</v>
      </c>
      <c r="AS119" s="5">
        <v>1856</v>
      </c>
      <c r="AT119" s="5" t="s">
        <v>82</v>
      </c>
      <c r="AU119" s="5">
        <v>1586</v>
      </c>
      <c r="AV119" s="5">
        <v>1501</v>
      </c>
      <c r="AW119" s="5">
        <v>2462</v>
      </c>
      <c r="AX119" s="5">
        <v>8692</v>
      </c>
      <c r="AY119" s="155"/>
      <c r="AZ119" s="155"/>
      <c r="BA119" s="155">
        <v>0</v>
      </c>
      <c r="BB119" s="155"/>
      <c r="BC119" s="5">
        <v>974</v>
      </c>
      <c r="BD119" s="5"/>
      <c r="BE119" s="5">
        <v>37807</v>
      </c>
      <c r="BF119" s="5">
        <v>89953</v>
      </c>
      <c r="BG119" s="5">
        <v>293</v>
      </c>
      <c r="BH119" s="5">
        <v>896</v>
      </c>
      <c r="BI119" s="5">
        <v>1091</v>
      </c>
      <c r="BJ119" s="5">
        <v>5346</v>
      </c>
      <c r="BK119" s="5">
        <v>72</v>
      </c>
      <c r="BL119" s="5">
        <v>2853</v>
      </c>
      <c r="BM119" s="5"/>
      <c r="BN119" s="5">
        <v>572</v>
      </c>
      <c r="BO119" s="5">
        <v>55</v>
      </c>
      <c r="BP119" s="5">
        <v>0</v>
      </c>
      <c r="BQ119" s="5">
        <v>11323</v>
      </c>
      <c r="BR119" s="5">
        <v>15912</v>
      </c>
      <c r="BS119" s="5">
        <v>14</v>
      </c>
      <c r="BT119" s="5">
        <v>296</v>
      </c>
      <c r="BU119" s="5">
        <v>301</v>
      </c>
      <c r="BV119" s="5"/>
      <c r="BW119" s="5">
        <v>8</v>
      </c>
      <c r="BX119" s="5">
        <v>216</v>
      </c>
      <c r="BY119" s="5"/>
      <c r="BZ119" s="5">
        <v>306</v>
      </c>
      <c r="CA119" s="5">
        <v>0</v>
      </c>
      <c r="CB119" s="5">
        <v>0</v>
      </c>
      <c r="CC119" s="5">
        <v>12562</v>
      </c>
      <c r="CD119" s="5">
        <v>59902</v>
      </c>
      <c r="CE119" s="5">
        <v>81254</v>
      </c>
      <c r="CF119" s="5">
        <v>15222</v>
      </c>
      <c r="CG119" s="5">
        <v>0</v>
      </c>
      <c r="CH119" s="5">
        <v>0</v>
      </c>
      <c r="CI119" s="5">
        <v>54</v>
      </c>
      <c r="CJ119" s="5">
        <v>91</v>
      </c>
      <c r="CK119" s="5">
        <v>231</v>
      </c>
      <c r="CL119" s="5"/>
      <c r="CM119" s="5"/>
      <c r="CN119" s="5"/>
      <c r="CO119" s="5"/>
      <c r="CP119" s="5"/>
      <c r="CQ119" s="5"/>
      <c r="CR119" s="5"/>
      <c r="CS119" s="5"/>
      <c r="CT119" s="5" t="s">
        <v>82</v>
      </c>
      <c r="CU119" s="5" t="s">
        <v>82</v>
      </c>
      <c r="CV119" s="5" t="s">
        <v>82</v>
      </c>
      <c r="CW119" s="5">
        <v>0</v>
      </c>
      <c r="CX119" s="5">
        <v>0</v>
      </c>
      <c r="CY119" s="5">
        <v>0</v>
      </c>
      <c r="DA119" s="6"/>
      <c r="DD119" s="6">
        <f t="shared" si="19"/>
        <v>336630</v>
      </c>
      <c r="DE119" s="6">
        <f t="shared" si="20"/>
        <v>185450</v>
      </c>
      <c r="DF119" s="16">
        <f t="shared" si="21"/>
        <v>522080</v>
      </c>
      <c r="DK119" s="6">
        <f t="shared" si="22"/>
        <v>60042</v>
      </c>
      <c r="DL119" s="6">
        <f t="shared" si="23"/>
        <v>96020</v>
      </c>
      <c r="DM119" s="6">
        <f t="shared" si="33"/>
        <v>13787</v>
      </c>
      <c r="DN119" s="6">
        <f t="shared" si="34"/>
        <v>15601</v>
      </c>
      <c r="DO119" s="6">
        <f t="shared" si="24"/>
        <v>264412</v>
      </c>
      <c r="DP119" s="6">
        <f t="shared" si="32"/>
        <v>50894</v>
      </c>
      <c r="DQ119" s="6"/>
      <c r="DR119" s="6">
        <f t="shared" si="25"/>
        <v>12616</v>
      </c>
      <c r="DS119" s="6">
        <f t="shared" si="26"/>
        <v>0</v>
      </c>
      <c r="DT119" s="6">
        <f t="shared" si="27"/>
        <v>8708</v>
      </c>
      <c r="DU119" s="6"/>
      <c r="DV119" s="6"/>
      <c r="DW119" s="6">
        <f t="shared" si="28"/>
        <v>522080</v>
      </c>
      <c r="DY119" s="6">
        <f t="shared" si="29"/>
        <v>273120</v>
      </c>
      <c r="DZ119" s="6">
        <f t="shared" si="30"/>
        <v>0</v>
      </c>
      <c r="EB119" s="6">
        <f t="shared" si="31"/>
        <v>522080</v>
      </c>
      <c r="EC119" s="6"/>
      <c r="ED119" s="6"/>
      <c r="EF119" s="6"/>
      <c r="EG119" s="6"/>
    </row>
    <row r="120" spans="2:137" ht="14">
      <c r="B120" s="4">
        <v>35612</v>
      </c>
      <c r="C120" s="5">
        <v>0</v>
      </c>
      <c r="D120" s="5">
        <v>0</v>
      </c>
      <c r="E120" s="5">
        <v>0</v>
      </c>
      <c r="F120" s="5" t="s">
        <v>82</v>
      </c>
      <c r="G120" s="5" t="s">
        <v>82</v>
      </c>
      <c r="H120" s="5">
        <v>0</v>
      </c>
      <c r="I120" s="5">
        <v>0</v>
      </c>
      <c r="J120" s="5">
        <v>0</v>
      </c>
      <c r="K120" s="5">
        <v>0</v>
      </c>
      <c r="L120" s="5"/>
      <c r="M120" s="5">
        <v>33786</v>
      </c>
      <c r="N120" s="5">
        <v>3196</v>
      </c>
      <c r="O120" s="5"/>
      <c r="P120" s="5">
        <v>4121</v>
      </c>
      <c r="Q120" s="5">
        <v>5469</v>
      </c>
      <c r="R120" s="5">
        <v>1501</v>
      </c>
      <c r="S120" s="5">
        <v>8609</v>
      </c>
      <c r="T120" s="5">
        <v>13774</v>
      </c>
      <c r="U120" s="5"/>
      <c r="V120" s="5"/>
      <c r="W120" s="5">
        <v>3065</v>
      </c>
      <c r="X120" s="5">
        <v>0</v>
      </c>
      <c r="Y120" s="5">
        <v>757</v>
      </c>
      <c r="Z120" s="5">
        <v>32</v>
      </c>
      <c r="AA120" s="155"/>
      <c r="AB120" s="5">
        <v>24</v>
      </c>
      <c r="AC120" s="5">
        <v>0</v>
      </c>
      <c r="AD120" s="5">
        <v>13</v>
      </c>
      <c r="AE120" s="5">
        <v>31</v>
      </c>
      <c r="AF120" s="5">
        <v>29</v>
      </c>
      <c r="AG120" s="5">
        <v>58</v>
      </c>
      <c r="AH120" s="5"/>
      <c r="AI120" s="5"/>
      <c r="AJ120" s="5">
        <v>20</v>
      </c>
      <c r="AK120" s="5">
        <v>0</v>
      </c>
      <c r="AL120" s="5">
        <v>82956</v>
      </c>
      <c r="AM120" s="5">
        <v>3556</v>
      </c>
      <c r="AN120" s="5">
        <v>6876</v>
      </c>
      <c r="AO120" s="5">
        <v>42</v>
      </c>
      <c r="AP120" s="5">
        <v>8</v>
      </c>
      <c r="AQ120" s="5">
        <v>0</v>
      </c>
      <c r="AR120" s="5">
        <v>0</v>
      </c>
      <c r="AS120" s="5">
        <v>1800</v>
      </c>
      <c r="AT120" s="5" t="s">
        <v>82</v>
      </c>
      <c r="AU120" s="5">
        <v>1596</v>
      </c>
      <c r="AV120" s="5">
        <v>1475</v>
      </c>
      <c r="AW120" s="5">
        <v>2468</v>
      </c>
      <c r="AX120" s="5">
        <v>8727</v>
      </c>
      <c r="AY120" s="155"/>
      <c r="AZ120" s="155"/>
      <c r="BA120" s="155">
        <v>0</v>
      </c>
      <c r="BB120" s="155"/>
      <c r="BC120" s="5">
        <v>944</v>
      </c>
      <c r="BD120" s="5"/>
      <c r="BE120" s="5">
        <v>36882</v>
      </c>
      <c r="BF120" s="5">
        <v>87822</v>
      </c>
      <c r="BG120" s="5">
        <v>290</v>
      </c>
      <c r="BH120" s="5">
        <v>893</v>
      </c>
      <c r="BI120" s="5">
        <v>1094</v>
      </c>
      <c r="BJ120" s="5">
        <v>5326</v>
      </c>
      <c r="BK120" s="5">
        <v>70</v>
      </c>
      <c r="BL120" s="5">
        <v>2835</v>
      </c>
      <c r="BM120" s="5"/>
      <c r="BN120" s="5">
        <v>426</v>
      </c>
      <c r="BO120" s="5">
        <v>53</v>
      </c>
      <c r="BP120" s="5">
        <v>0</v>
      </c>
      <c r="BQ120" s="5">
        <v>11348</v>
      </c>
      <c r="BR120" s="5">
        <v>15835</v>
      </c>
      <c r="BS120" s="5">
        <v>14</v>
      </c>
      <c r="BT120" s="5">
        <v>319</v>
      </c>
      <c r="BU120" s="5">
        <v>336</v>
      </c>
      <c r="BV120" s="5"/>
      <c r="BW120" s="5">
        <v>7</v>
      </c>
      <c r="BX120" s="5">
        <v>223</v>
      </c>
      <c r="BY120" s="5"/>
      <c r="BZ120" s="5">
        <v>284</v>
      </c>
      <c r="CA120" s="5">
        <v>3</v>
      </c>
      <c r="CB120" s="5">
        <v>0</v>
      </c>
      <c r="CC120" s="5">
        <v>12406</v>
      </c>
      <c r="CD120" s="5">
        <v>59288</v>
      </c>
      <c r="CE120" s="5">
        <v>80971</v>
      </c>
      <c r="CF120" s="5">
        <v>15228</v>
      </c>
      <c r="CG120" s="5">
        <v>0</v>
      </c>
      <c r="CH120" s="5">
        <v>0</v>
      </c>
      <c r="CI120" s="5">
        <v>53</v>
      </c>
      <c r="CJ120" s="5">
        <v>94</v>
      </c>
      <c r="CK120" s="5">
        <v>239</v>
      </c>
      <c r="CL120" s="5"/>
      <c r="CM120" s="5"/>
      <c r="CN120" s="5"/>
      <c r="CO120" s="5"/>
      <c r="CP120" s="5"/>
      <c r="CQ120" s="5"/>
      <c r="CR120" s="5"/>
      <c r="CS120" s="5"/>
      <c r="CT120" s="5" t="s">
        <v>82</v>
      </c>
      <c r="CU120" s="5" t="s">
        <v>82</v>
      </c>
      <c r="CV120" s="5" t="s">
        <v>82</v>
      </c>
      <c r="CW120" s="5">
        <v>0</v>
      </c>
      <c r="CX120" s="5">
        <v>0</v>
      </c>
      <c r="CY120" s="5">
        <v>0</v>
      </c>
      <c r="DA120" s="6"/>
      <c r="DD120" s="6">
        <f t="shared" si="19"/>
        <v>332339</v>
      </c>
      <c r="DE120" s="6">
        <f t="shared" si="20"/>
        <v>184933</v>
      </c>
      <c r="DF120" s="16">
        <f t="shared" si="21"/>
        <v>517272</v>
      </c>
      <c r="DK120" s="6">
        <f t="shared" si="22"/>
        <v>59747</v>
      </c>
      <c r="DL120" s="6">
        <f t="shared" si="23"/>
        <v>95743</v>
      </c>
      <c r="DM120" s="6">
        <f t="shared" si="33"/>
        <v>13774</v>
      </c>
      <c r="DN120" s="6">
        <f t="shared" si="34"/>
        <v>15669</v>
      </c>
      <c r="DO120" s="6">
        <f t="shared" si="24"/>
        <v>261338</v>
      </c>
      <c r="DP120" s="6">
        <f t="shared" si="32"/>
        <v>49868</v>
      </c>
      <c r="DQ120" s="6"/>
      <c r="DR120" s="6">
        <f t="shared" si="25"/>
        <v>12459</v>
      </c>
      <c r="DS120" s="6">
        <f t="shared" si="26"/>
        <v>0</v>
      </c>
      <c r="DT120" s="6">
        <f t="shared" si="27"/>
        <v>8674</v>
      </c>
      <c r="DU120" s="6"/>
      <c r="DV120" s="6"/>
      <c r="DW120" s="6">
        <f t="shared" si="28"/>
        <v>517272</v>
      </c>
      <c r="DY120" s="6">
        <f t="shared" si="29"/>
        <v>270012</v>
      </c>
      <c r="DZ120" s="6">
        <f t="shared" si="30"/>
        <v>0</v>
      </c>
      <c r="EB120" s="6">
        <f t="shared" si="31"/>
        <v>517272</v>
      </c>
      <c r="EC120" s="6"/>
      <c r="ED120" s="6"/>
      <c r="EF120" s="6"/>
      <c r="EG120" s="6"/>
    </row>
    <row r="121" spans="2:137" ht="14">
      <c r="B121" s="4">
        <v>35643</v>
      </c>
      <c r="C121" s="5">
        <v>0</v>
      </c>
      <c r="D121" s="5">
        <v>0</v>
      </c>
      <c r="E121" s="5">
        <v>0</v>
      </c>
      <c r="F121" s="5" t="s">
        <v>82</v>
      </c>
      <c r="G121" s="5" t="s">
        <v>82</v>
      </c>
      <c r="H121" s="5">
        <v>0</v>
      </c>
      <c r="I121" s="5">
        <v>0</v>
      </c>
      <c r="J121" s="5">
        <v>0</v>
      </c>
      <c r="K121" s="5">
        <v>0</v>
      </c>
      <c r="L121" s="5"/>
      <c r="M121" s="5">
        <v>33658</v>
      </c>
      <c r="N121" s="5">
        <v>3201</v>
      </c>
      <c r="O121" s="5"/>
      <c r="P121" s="5">
        <v>4095</v>
      </c>
      <c r="Q121" s="5">
        <v>5581</v>
      </c>
      <c r="R121" s="5">
        <v>1472</v>
      </c>
      <c r="S121" s="5">
        <v>8711</v>
      </c>
      <c r="T121" s="5">
        <v>13806</v>
      </c>
      <c r="U121" s="5"/>
      <c r="V121" s="5"/>
      <c r="W121" s="5">
        <v>3008</v>
      </c>
      <c r="X121" s="5">
        <v>0</v>
      </c>
      <c r="Y121" s="5">
        <v>754</v>
      </c>
      <c r="Z121" s="5">
        <v>31</v>
      </c>
      <c r="AA121" s="155"/>
      <c r="AB121" s="5">
        <v>25</v>
      </c>
      <c r="AC121" s="5">
        <v>0</v>
      </c>
      <c r="AD121" s="5">
        <v>13</v>
      </c>
      <c r="AE121" s="5">
        <v>31</v>
      </c>
      <c r="AF121" s="5">
        <v>32</v>
      </c>
      <c r="AG121" s="5">
        <v>60</v>
      </c>
      <c r="AH121" s="5"/>
      <c r="AI121" s="5"/>
      <c r="AJ121" s="5">
        <v>17</v>
      </c>
      <c r="AK121" s="5">
        <v>0</v>
      </c>
      <c r="AL121" s="5">
        <v>82873</v>
      </c>
      <c r="AM121" s="5">
        <v>3515</v>
      </c>
      <c r="AN121" s="5">
        <v>6955</v>
      </c>
      <c r="AO121" s="5">
        <v>38</v>
      </c>
      <c r="AP121" s="5">
        <v>6</v>
      </c>
      <c r="AQ121" s="5">
        <v>0</v>
      </c>
      <c r="AR121" s="5">
        <v>0</v>
      </c>
      <c r="AS121" s="5">
        <v>1800</v>
      </c>
      <c r="AT121" s="5" t="s">
        <v>82</v>
      </c>
      <c r="AU121" s="5">
        <v>1613</v>
      </c>
      <c r="AV121" s="5">
        <v>1472</v>
      </c>
      <c r="AW121" s="5">
        <v>2497</v>
      </c>
      <c r="AX121" s="5">
        <v>8791</v>
      </c>
      <c r="AY121" s="155"/>
      <c r="AZ121" s="155"/>
      <c r="BA121" s="155">
        <v>0</v>
      </c>
      <c r="BB121" s="155"/>
      <c r="BC121" s="5">
        <v>910</v>
      </c>
      <c r="BD121" s="5"/>
      <c r="BE121" s="5">
        <v>36216</v>
      </c>
      <c r="BF121" s="5">
        <v>86316</v>
      </c>
      <c r="BG121" s="5">
        <v>296</v>
      </c>
      <c r="BH121" s="5">
        <v>915</v>
      </c>
      <c r="BI121" s="5">
        <v>1097</v>
      </c>
      <c r="BJ121" s="5">
        <v>5353</v>
      </c>
      <c r="BK121" s="5">
        <v>68</v>
      </c>
      <c r="BL121" s="5">
        <v>2879</v>
      </c>
      <c r="BM121" s="5"/>
      <c r="BN121" s="5">
        <v>422</v>
      </c>
      <c r="BO121" s="5">
        <v>53</v>
      </c>
      <c r="BP121" s="5">
        <v>0</v>
      </c>
      <c r="BQ121" s="5">
        <v>11551</v>
      </c>
      <c r="BR121" s="5">
        <v>15899</v>
      </c>
      <c r="BS121" s="5">
        <v>14</v>
      </c>
      <c r="BT121" s="5">
        <v>341</v>
      </c>
      <c r="BU121" s="5">
        <v>376</v>
      </c>
      <c r="BV121" s="5"/>
      <c r="BW121" s="5">
        <v>10</v>
      </c>
      <c r="BX121" s="5">
        <v>223</v>
      </c>
      <c r="BY121" s="5"/>
      <c r="BZ121" s="5">
        <v>277</v>
      </c>
      <c r="CA121" s="5">
        <v>3</v>
      </c>
      <c r="CB121" s="5">
        <v>0</v>
      </c>
      <c r="CC121" s="5">
        <v>12602</v>
      </c>
      <c r="CD121" s="5">
        <v>58756</v>
      </c>
      <c r="CE121" s="5">
        <v>80887</v>
      </c>
      <c r="CF121" s="5">
        <v>15283</v>
      </c>
      <c r="CG121" s="5">
        <v>0</v>
      </c>
      <c r="CH121" s="5">
        <v>0</v>
      </c>
      <c r="CI121" s="5">
        <v>49</v>
      </c>
      <c r="CJ121" s="5">
        <v>95</v>
      </c>
      <c r="CK121" s="5">
        <v>237</v>
      </c>
      <c r="CL121" s="5"/>
      <c r="CM121" s="5"/>
      <c r="CN121" s="5"/>
      <c r="CO121" s="5"/>
      <c r="CP121" s="5"/>
      <c r="CQ121" s="5"/>
      <c r="CR121" s="5"/>
      <c r="CS121" s="5"/>
      <c r="CT121" s="5" t="s">
        <v>82</v>
      </c>
      <c r="CU121" s="5" t="s">
        <v>82</v>
      </c>
      <c r="CV121" s="5" t="s">
        <v>82</v>
      </c>
      <c r="CW121" s="5">
        <v>0</v>
      </c>
      <c r="CX121" s="5">
        <v>0</v>
      </c>
      <c r="CY121" s="5">
        <v>0</v>
      </c>
      <c r="DA121" s="6"/>
      <c r="DD121" s="6">
        <f t="shared" si="19"/>
        <v>330218</v>
      </c>
      <c r="DE121" s="6">
        <f t="shared" si="20"/>
        <v>184965</v>
      </c>
      <c r="DF121" s="16">
        <f t="shared" si="21"/>
        <v>515183</v>
      </c>
      <c r="DK121" s="6">
        <f t="shared" si="22"/>
        <v>59726</v>
      </c>
      <c r="DL121" s="6">
        <f t="shared" si="23"/>
        <v>95621</v>
      </c>
      <c r="DM121" s="6">
        <f t="shared" si="33"/>
        <v>13806</v>
      </c>
      <c r="DN121" s="6">
        <f t="shared" si="34"/>
        <v>15812</v>
      </c>
      <c r="DO121" s="6">
        <f t="shared" si="24"/>
        <v>259371</v>
      </c>
      <c r="DP121" s="6">
        <f t="shared" si="32"/>
        <v>49445</v>
      </c>
      <c r="DQ121" s="6"/>
      <c r="DR121" s="6">
        <f t="shared" si="25"/>
        <v>12651</v>
      </c>
      <c r="DS121" s="6">
        <f t="shared" si="26"/>
        <v>0</v>
      </c>
      <c r="DT121" s="6">
        <f t="shared" si="27"/>
        <v>8751</v>
      </c>
      <c r="DU121" s="6"/>
      <c r="DV121" s="6"/>
      <c r="DW121" s="6">
        <f t="shared" si="28"/>
        <v>515183</v>
      </c>
      <c r="DY121" s="6">
        <f t="shared" si="29"/>
        <v>268122</v>
      </c>
      <c r="DZ121" s="6">
        <f t="shared" si="30"/>
        <v>0</v>
      </c>
      <c r="EB121" s="6">
        <f t="shared" si="31"/>
        <v>515183</v>
      </c>
      <c r="EC121" s="6"/>
      <c r="ED121" s="6"/>
      <c r="EF121" s="6"/>
      <c r="EG121" s="6"/>
    </row>
    <row r="122" spans="2:137" ht="14">
      <c r="B122" s="4">
        <v>35674</v>
      </c>
      <c r="C122" s="5">
        <v>0</v>
      </c>
      <c r="D122" s="5">
        <v>0</v>
      </c>
      <c r="E122" s="5">
        <v>0</v>
      </c>
      <c r="F122" s="5" t="s">
        <v>82</v>
      </c>
      <c r="G122" s="5" t="s">
        <v>82</v>
      </c>
      <c r="H122" s="5">
        <v>0</v>
      </c>
      <c r="I122" s="5">
        <v>0</v>
      </c>
      <c r="J122" s="5">
        <v>0</v>
      </c>
      <c r="K122" s="5">
        <v>0</v>
      </c>
      <c r="L122" s="5"/>
      <c r="M122" s="5">
        <v>33508</v>
      </c>
      <c r="N122" s="5">
        <v>3224</v>
      </c>
      <c r="O122" s="5"/>
      <c r="P122" s="5">
        <v>4046</v>
      </c>
      <c r="Q122" s="5">
        <v>5607</v>
      </c>
      <c r="R122" s="5">
        <v>1428</v>
      </c>
      <c r="S122" s="5">
        <v>8811</v>
      </c>
      <c r="T122" s="5">
        <v>13781</v>
      </c>
      <c r="U122" s="5"/>
      <c r="V122" s="5"/>
      <c r="W122" s="5">
        <v>2934</v>
      </c>
      <c r="X122" s="5">
        <v>0</v>
      </c>
      <c r="Y122" s="5">
        <v>750</v>
      </c>
      <c r="Z122" s="5">
        <v>31</v>
      </c>
      <c r="AA122" s="155"/>
      <c r="AB122" s="5">
        <v>30</v>
      </c>
      <c r="AC122" s="5">
        <v>0</v>
      </c>
      <c r="AD122" s="5">
        <v>11</v>
      </c>
      <c r="AE122" s="5">
        <v>30</v>
      </c>
      <c r="AF122" s="5">
        <v>32</v>
      </c>
      <c r="AG122" s="5">
        <v>59</v>
      </c>
      <c r="AH122" s="5"/>
      <c r="AI122" s="5"/>
      <c r="AJ122" s="5">
        <v>12</v>
      </c>
      <c r="AK122" s="5">
        <v>0</v>
      </c>
      <c r="AL122" s="5">
        <v>82192</v>
      </c>
      <c r="AM122" s="5">
        <v>3499</v>
      </c>
      <c r="AN122" s="5">
        <v>7016</v>
      </c>
      <c r="AO122" s="5">
        <v>38</v>
      </c>
      <c r="AP122" s="5">
        <v>6</v>
      </c>
      <c r="AQ122" s="5">
        <v>0</v>
      </c>
      <c r="AR122" s="5">
        <v>0</v>
      </c>
      <c r="AS122" s="5">
        <v>1730</v>
      </c>
      <c r="AT122" s="5" t="s">
        <v>82</v>
      </c>
      <c r="AU122" s="5">
        <v>1611</v>
      </c>
      <c r="AV122" s="5">
        <v>1483</v>
      </c>
      <c r="AW122" s="5">
        <v>2502</v>
      </c>
      <c r="AX122" s="5">
        <v>8781</v>
      </c>
      <c r="AY122" s="155"/>
      <c r="AZ122" s="155"/>
      <c r="BA122" s="155">
        <v>0</v>
      </c>
      <c r="BB122" s="155"/>
      <c r="BC122" s="5">
        <v>904</v>
      </c>
      <c r="BD122" s="5"/>
      <c r="BE122" s="5">
        <v>35246</v>
      </c>
      <c r="BF122" s="5">
        <v>84373</v>
      </c>
      <c r="BG122" s="5">
        <v>290</v>
      </c>
      <c r="BH122" s="5">
        <v>880</v>
      </c>
      <c r="BI122" s="5">
        <v>1050</v>
      </c>
      <c r="BJ122" s="5">
        <v>5322</v>
      </c>
      <c r="BK122" s="5">
        <v>66</v>
      </c>
      <c r="BL122" s="5">
        <v>2842</v>
      </c>
      <c r="BM122" s="5"/>
      <c r="BN122" s="5">
        <v>407</v>
      </c>
      <c r="BO122" s="5">
        <v>53</v>
      </c>
      <c r="BP122" s="5">
        <v>0</v>
      </c>
      <c r="BQ122" s="5">
        <v>11618</v>
      </c>
      <c r="BR122" s="5">
        <v>15823</v>
      </c>
      <c r="BS122" s="5">
        <v>17</v>
      </c>
      <c r="BT122" s="5">
        <v>356</v>
      </c>
      <c r="BU122" s="5">
        <v>383</v>
      </c>
      <c r="BV122" s="5"/>
      <c r="BW122" s="5">
        <v>10</v>
      </c>
      <c r="BX122" s="5">
        <v>210</v>
      </c>
      <c r="BY122" s="5"/>
      <c r="BZ122" s="5">
        <v>253</v>
      </c>
      <c r="CA122" s="5">
        <v>3</v>
      </c>
      <c r="CB122" s="5">
        <v>0</v>
      </c>
      <c r="CC122" s="5">
        <v>12466</v>
      </c>
      <c r="CD122" s="5">
        <v>58069</v>
      </c>
      <c r="CE122" s="5">
        <v>80328</v>
      </c>
      <c r="CF122" s="5">
        <v>15082</v>
      </c>
      <c r="CG122" s="5">
        <v>0</v>
      </c>
      <c r="CH122" s="5">
        <v>0</v>
      </c>
      <c r="CI122" s="5">
        <v>48</v>
      </c>
      <c r="CJ122" s="5">
        <v>94</v>
      </c>
      <c r="CK122" s="5">
        <v>239</v>
      </c>
      <c r="CL122" s="5"/>
      <c r="CM122" s="5"/>
      <c r="CN122" s="5"/>
      <c r="CO122" s="5"/>
      <c r="CP122" s="5"/>
      <c r="CQ122" s="5"/>
      <c r="CR122" s="5"/>
      <c r="CS122" s="5"/>
      <c r="CT122" s="5" t="s">
        <v>82</v>
      </c>
      <c r="CU122" s="5" t="s">
        <v>82</v>
      </c>
      <c r="CV122" s="5" t="s">
        <v>82</v>
      </c>
      <c r="CW122" s="5">
        <v>0</v>
      </c>
      <c r="CX122" s="5">
        <v>0</v>
      </c>
      <c r="CY122" s="5">
        <v>0</v>
      </c>
      <c r="DA122" s="6"/>
      <c r="DD122" s="6">
        <f t="shared" si="19"/>
        <v>325528</v>
      </c>
      <c r="DE122" s="6">
        <f t="shared" si="20"/>
        <v>184056</v>
      </c>
      <c r="DF122" s="16">
        <f t="shared" si="21"/>
        <v>509584</v>
      </c>
      <c r="DK122" s="6">
        <f t="shared" si="22"/>
        <v>59558</v>
      </c>
      <c r="DL122" s="6">
        <f t="shared" si="23"/>
        <v>94855</v>
      </c>
      <c r="DM122" s="6">
        <f t="shared" si="33"/>
        <v>13781</v>
      </c>
      <c r="DN122" s="6">
        <f t="shared" si="34"/>
        <v>15862</v>
      </c>
      <c r="DO122" s="6">
        <f t="shared" si="24"/>
        <v>255843</v>
      </c>
      <c r="DP122" s="6">
        <f t="shared" si="32"/>
        <v>48507</v>
      </c>
      <c r="DQ122" s="6"/>
      <c r="DR122" s="6">
        <f t="shared" si="25"/>
        <v>12514</v>
      </c>
      <c r="DS122" s="6">
        <f t="shared" si="26"/>
        <v>0</v>
      </c>
      <c r="DT122" s="6">
        <f t="shared" si="27"/>
        <v>8664</v>
      </c>
      <c r="DU122" s="6"/>
      <c r="DV122" s="6"/>
      <c r="DW122" s="6">
        <f t="shared" si="28"/>
        <v>509584</v>
      </c>
      <c r="DY122" s="6">
        <f t="shared" si="29"/>
        <v>264507</v>
      </c>
      <c r="DZ122" s="6">
        <f t="shared" si="30"/>
        <v>0</v>
      </c>
      <c r="EB122" s="6">
        <f t="shared" si="31"/>
        <v>509584</v>
      </c>
      <c r="EC122" s="6"/>
      <c r="ED122" s="6"/>
      <c r="EF122" s="6"/>
      <c r="EG122" s="6"/>
    </row>
    <row r="123" spans="2:137" ht="14">
      <c r="B123" s="4">
        <v>35704</v>
      </c>
      <c r="C123" s="5">
        <v>0</v>
      </c>
      <c r="D123" s="5">
        <v>0</v>
      </c>
      <c r="E123" s="5">
        <v>0</v>
      </c>
      <c r="F123" s="5" t="s">
        <v>82</v>
      </c>
      <c r="G123" s="5" t="s">
        <v>82</v>
      </c>
      <c r="H123" s="5">
        <v>0</v>
      </c>
      <c r="I123" s="5">
        <v>0</v>
      </c>
      <c r="J123" s="5">
        <v>0</v>
      </c>
      <c r="K123" s="5">
        <v>0</v>
      </c>
      <c r="L123" s="5"/>
      <c r="M123" s="5">
        <v>33441</v>
      </c>
      <c r="N123" s="5">
        <v>3231</v>
      </c>
      <c r="O123" s="5"/>
      <c r="P123" s="5">
        <v>4007</v>
      </c>
      <c r="Q123" s="5">
        <v>5677</v>
      </c>
      <c r="R123" s="5">
        <v>1403</v>
      </c>
      <c r="S123" s="5">
        <v>8941</v>
      </c>
      <c r="T123" s="5">
        <v>13772</v>
      </c>
      <c r="U123" s="5"/>
      <c r="V123" s="5"/>
      <c r="W123" s="5">
        <v>2873</v>
      </c>
      <c r="X123" s="5">
        <v>0</v>
      </c>
      <c r="Y123" s="5">
        <v>745</v>
      </c>
      <c r="Z123" s="5">
        <v>31</v>
      </c>
      <c r="AA123" s="155"/>
      <c r="AB123" s="5">
        <v>30</v>
      </c>
      <c r="AC123" s="5">
        <v>0</v>
      </c>
      <c r="AD123" s="5">
        <v>12</v>
      </c>
      <c r="AE123" s="5">
        <v>31</v>
      </c>
      <c r="AF123" s="5">
        <v>35</v>
      </c>
      <c r="AG123" s="5">
        <v>58</v>
      </c>
      <c r="AH123" s="5"/>
      <c r="AI123" s="5"/>
      <c r="AJ123" s="5">
        <v>15</v>
      </c>
      <c r="AK123" s="5">
        <v>0</v>
      </c>
      <c r="AL123" s="5">
        <v>81799</v>
      </c>
      <c r="AM123" s="5">
        <v>3492</v>
      </c>
      <c r="AN123" s="5">
        <v>7117</v>
      </c>
      <c r="AO123" s="5">
        <v>33</v>
      </c>
      <c r="AP123" s="5">
        <v>5</v>
      </c>
      <c r="AQ123" s="5">
        <v>0</v>
      </c>
      <c r="AR123" s="5">
        <v>0</v>
      </c>
      <c r="AS123" s="5">
        <v>1709</v>
      </c>
      <c r="AT123" s="5" t="s">
        <v>82</v>
      </c>
      <c r="AU123" s="5">
        <v>1624</v>
      </c>
      <c r="AV123" s="5">
        <v>1474</v>
      </c>
      <c r="AW123" s="5">
        <v>2508</v>
      </c>
      <c r="AX123" s="5">
        <v>8772</v>
      </c>
      <c r="AY123" s="155"/>
      <c r="AZ123" s="155"/>
      <c r="BA123" s="155">
        <v>0</v>
      </c>
      <c r="BB123" s="155"/>
      <c r="BC123" s="5">
        <v>886</v>
      </c>
      <c r="BD123" s="5"/>
      <c r="BE123" s="5">
        <v>34369</v>
      </c>
      <c r="BF123" s="5">
        <v>82440</v>
      </c>
      <c r="BG123" s="5">
        <v>299</v>
      </c>
      <c r="BH123" s="5">
        <v>897</v>
      </c>
      <c r="BI123" s="5">
        <v>1058</v>
      </c>
      <c r="BJ123" s="5">
        <v>5337</v>
      </c>
      <c r="BK123" s="5">
        <v>60</v>
      </c>
      <c r="BL123" s="5">
        <v>2844</v>
      </c>
      <c r="BM123" s="5"/>
      <c r="BN123" s="5">
        <v>424</v>
      </c>
      <c r="BO123" s="5">
        <v>53</v>
      </c>
      <c r="BP123" s="5">
        <v>0</v>
      </c>
      <c r="BQ123" s="5">
        <v>11780</v>
      </c>
      <c r="BR123" s="5">
        <v>15868</v>
      </c>
      <c r="BS123" s="5">
        <v>23</v>
      </c>
      <c r="BT123" s="5">
        <v>387</v>
      </c>
      <c r="BU123" s="5">
        <v>406</v>
      </c>
      <c r="BV123" s="5"/>
      <c r="BW123" s="5">
        <v>9</v>
      </c>
      <c r="BX123" s="5">
        <v>208</v>
      </c>
      <c r="BY123" s="5"/>
      <c r="BZ123" s="5">
        <v>237</v>
      </c>
      <c r="CA123" s="5">
        <v>3</v>
      </c>
      <c r="CB123" s="5">
        <v>0</v>
      </c>
      <c r="CC123" s="5">
        <v>12358</v>
      </c>
      <c r="CD123" s="5">
        <v>58214</v>
      </c>
      <c r="CE123" s="5">
        <v>80577</v>
      </c>
      <c r="CF123" s="5">
        <v>14660</v>
      </c>
      <c r="CG123" s="5">
        <v>0</v>
      </c>
      <c r="CH123" s="5">
        <v>0</v>
      </c>
      <c r="CI123" s="5">
        <v>51</v>
      </c>
      <c r="CJ123" s="5">
        <v>91</v>
      </c>
      <c r="CK123" s="5">
        <v>239</v>
      </c>
      <c r="CL123" s="5"/>
      <c r="CM123" s="5"/>
      <c r="CN123" s="5"/>
      <c r="CO123" s="5"/>
      <c r="CP123" s="5"/>
      <c r="CQ123" s="5"/>
      <c r="CR123" s="5"/>
      <c r="CS123" s="5"/>
      <c r="CT123" s="5" t="s">
        <v>82</v>
      </c>
      <c r="CU123" s="5" t="s">
        <v>82</v>
      </c>
      <c r="CV123" s="5" t="s">
        <v>82</v>
      </c>
      <c r="CW123" s="5">
        <v>0</v>
      </c>
      <c r="CX123" s="5">
        <v>0</v>
      </c>
      <c r="CY123" s="5">
        <v>0</v>
      </c>
      <c r="DA123" s="6"/>
      <c r="DD123" s="6">
        <f t="shared" si="19"/>
        <v>322892</v>
      </c>
      <c r="DE123" s="6">
        <f t="shared" si="20"/>
        <v>183721</v>
      </c>
      <c r="DF123" s="16">
        <f t="shared" si="21"/>
        <v>506613</v>
      </c>
      <c r="DK123" s="6">
        <f t="shared" si="22"/>
        <v>59573</v>
      </c>
      <c r="DL123" s="6">
        <f t="shared" si="23"/>
        <v>94424</v>
      </c>
      <c r="DM123" s="6">
        <f t="shared" si="33"/>
        <v>13772</v>
      </c>
      <c r="DN123" s="6">
        <f t="shared" si="34"/>
        <v>15952</v>
      </c>
      <c r="DO123" s="6">
        <f t="shared" si="24"/>
        <v>253938</v>
      </c>
      <c r="DP123" s="6">
        <f t="shared" si="32"/>
        <v>47857</v>
      </c>
      <c r="DQ123" s="6"/>
      <c r="DR123" s="6">
        <f t="shared" si="25"/>
        <v>12409</v>
      </c>
      <c r="DS123" s="6">
        <f t="shared" si="26"/>
        <v>0</v>
      </c>
      <c r="DT123" s="6">
        <f t="shared" si="27"/>
        <v>8688</v>
      </c>
      <c r="DU123" s="6"/>
      <c r="DV123" s="6"/>
      <c r="DW123" s="6">
        <f t="shared" si="28"/>
        <v>506613</v>
      </c>
      <c r="DY123" s="6">
        <f t="shared" si="29"/>
        <v>262626</v>
      </c>
      <c r="DZ123" s="6">
        <f t="shared" si="30"/>
        <v>0</v>
      </c>
      <c r="EB123" s="6">
        <f t="shared" si="31"/>
        <v>506613</v>
      </c>
      <c r="EC123" s="6"/>
      <c r="ED123" s="6"/>
      <c r="EF123" s="6"/>
      <c r="EG123" s="6"/>
    </row>
    <row r="124" spans="2:137" ht="14">
      <c r="B124" s="4">
        <v>35735</v>
      </c>
      <c r="C124" s="5">
        <v>0</v>
      </c>
      <c r="D124" s="5">
        <v>0</v>
      </c>
      <c r="E124" s="5">
        <v>0</v>
      </c>
      <c r="F124" s="5" t="s">
        <v>82</v>
      </c>
      <c r="G124" s="5" t="s">
        <v>82</v>
      </c>
      <c r="H124" s="5">
        <v>0</v>
      </c>
      <c r="I124" s="5">
        <v>0</v>
      </c>
      <c r="J124" s="5">
        <v>0</v>
      </c>
      <c r="K124" s="5">
        <v>0</v>
      </c>
      <c r="L124" s="5"/>
      <c r="M124" s="5">
        <v>33403</v>
      </c>
      <c r="N124" s="5">
        <v>3239</v>
      </c>
      <c r="O124" s="5"/>
      <c r="P124" s="5">
        <v>3953</v>
      </c>
      <c r="Q124" s="5">
        <v>5756</v>
      </c>
      <c r="R124" s="5">
        <v>1378</v>
      </c>
      <c r="S124" s="5">
        <v>9067</v>
      </c>
      <c r="T124" s="5">
        <v>13846</v>
      </c>
      <c r="U124" s="5"/>
      <c r="V124" s="5"/>
      <c r="W124" s="5">
        <v>2777</v>
      </c>
      <c r="X124" s="5">
        <v>0</v>
      </c>
      <c r="Y124" s="5">
        <v>737</v>
      </c>
      <c r="Z124" s="5">
        <v>30</v>
      </c>
      <c r="AA124" s="155"/>
      <c r="AB124" s="5">
        <v>28</v>
      </c>
      <c r="AC124" s="5">
        <v>0</v>
      </c>
      <c r="AD124" s="5">
        <v>11</v>
      </c>
      <c r="AE124" s="5">
        <v>30</v>
      </c>
      <c r="AF124" s="5">
        <v>35</v>
      </c>
      <c r="AG124" s="5">
        <v>59</v>
      </c>
      <c r="AH124" s="5"/>
      <c r="AI124" s="5"/>
      <c r="AJ124" s="5">
        <v>14</v>
      </c>
      <c r="AK124" s="5">
        <v>0</v>
      </c>
      <c r="AL124" s="5">
        <v>81707</v>
      </c>
      <c r="AM124" s="5">
        <v>3479</v>
      </c>
      <c r="AN124" s="5">
        <v>7222</v>
      </c>
      <c r="AO124" s="5">
        <v>41</v>
      </c>
      <c r="AP124" s="5">
        <v>4</v>
      </c>
      <c r="AQ124" s="5">
        <v>0</v>
      </c>
      <c r="AR124" s="5">
        <v>0</v>
      </c>
      <c r="AS124" s="5">
        <v>1730</v>
      </c>
      <c r="AT124" s="5" t="s">
        <v>82</v>
      </c>
      <c r="AU124" s="5">
        <v>1646</v>
      </c>
      <c r="AV124" s="5">
        <v>1495</v>
      </c>
      <c r="AW124" s="5">
        <v>2540</v>
      </c>
      <c r="AX124" s="5">
        <v>8857</v>
      </c>
      <c r="AY124" s="155"/>
      <c r="AZ124" s="155"/>
      <c r="BA124" s="155">
        <v>0</v>
      </c>
      <c r="BB124" s="155"/>
      <c r="BC124" s="5">
        <v>864</v>
      </c>
      <c r="BD124" s="5"/>
      <c r="BE124" s="5">
        <v>34102</v>
      </c>
      <c r="BF124" s="5">
        <v>81648</v>
      </c>
      <c r="BG124" s="5">
        <v>286</v>
      </c>
      <c r="BH124" s="5">
        <v>922</v>
      </c>
      <c r="BI124" s="5">
        <v>1102</v>
      </c>
      <c r="BJ124" s="5">
        <v>5319</v>
      </c>
      <c r="BK124" s="5">
        <v>64</v>
      </c>
      <c r="BL124" s="5">
        <v>2864</v>
      </c>
      <c r="BM124" s="5"/>
      <c r="BN124" s="5">
        <v>389</v>
      </c>
      <c r="BO124" s="5">
        <v>52</v>
      </c>
      <c r="BP124" s="5">
        <v>0</v>
      </c>
      <c r="BQ124" s="5">
        <v>11985</v>
      </c>
      <c r="BR124" s="5">
        <v>16035</v>
      </c>
      <c r="BS124" s="5">
        <v>23</v>
      </c>
      <c r="BT124" s="5">
        <v>422</v>
      </c>
      <c r="BU124" s="5">
        <v>431</v>
      </c>
      <c r="BV124" s="5"/>
      <c r="BW124" s="5">
        <v>7</v>
      </c>
      <c r="BX124" s="5">
        <v>213</v>
      </c>
      <c r="BY124" s="5"/>
      <c r="BZ124" s="5">
        <v>241</v>
      </c>
      <c r="CA124" s="5">
        <v>3</v>
      </c>
      <c r="CB124" s="5">
        <v>0</v>
      </c>
      <c r="CC124" s="5">
        <v>12523</v>
      </c>
      <c r="CD124" s="5">
        <v>58747</v>
      </c>
      <c r="CE124" s="5">
        <v>81785</v>
      </c>
      <c r="CF124" s="5">
        <v>14666</v>
      </c>
      <c r="CG124" s="5">
        <v>0</v>
      </c>
      <c r="CH124" s="5">
        <v>0</v>
      </c>
      <c r="CI124" s="5">
        <v>57</v>
      </c>
      <c r="CJ124" s="5">
        <v>91</v>
      </c>
      <c r="CK124" s="5">
        <v>237</v>
      </c>
      <c r="CL124" s="5"/>
      <c r="CM124" s="5"/>
      <c r="CN124" s="5"/>
      <c r="CO124" s="5"/>
      <c r="CP124" s="5"/>
      <c r="CQ124" s="5"/>
      <c r="CR124" s="5"/>
      <c r="CS124" s="5"/>
      <c r="CT124" s="5" t="s">
        <v>82</v>
      </c>
      <c r="CU124" s="5" t="s">
        <v>82</v>
      </c>
      <c r="CV124" s="5" t="s">
        <v>82</v>
      </c>
      <c r="CW124" s="5">
        <v>0</v>
      </c>
      <c r="CX124" s="5">
        <v>0</v>
      </c>
      <c r="CY124" s="5">
        <v>0</v>
      </c>
      <c r="DA124" s="6"/>
      <c r="DD124" s="6">
        <f t="shared" si="19"/>
        <v>324214</v>
      </c>
      <c r="DE124" s="6">
        <f t="shared" si="20"/>
        <v>183948</v>
      </c>
      <c r="DF124" s="16">
        <f t="shared" si="21"/>
        <v>508162</v>
      </c>
      <c r="DK124" s="6">
        <f t="shared" si="22"/>
        <v>59573</v>
      </c>
      <c r="DL124" s="6">
        <f t="shared" si="23"/>
        <v>94387</v>
      </c>
      <c r="DM124" s="6">
        <f t="shared" si="33"/>
        <v>13846</v>
      </c>
      <c r="DN124" s="6">
        <f t="shared" si="34"/>
        <v>16142</v>
      </c>
      <c r="DO124" s="6">
        <f t="shared" si="24"/>
        <v>255132</v>
      </c>
      <c r="DP124" s="6">
        <f t="shared" si="32"/>
        <v>47820</v>
      </c>
      <c r="DQ124" s="6"/>
      <c r="DR124" s="6">
        <f t="shared" si="25"/>
        <v>12580</v>
      </c>
      <c r="DS124" s="6">
        <f t="shared" si="26"/>
        <v>0</v>
      </c>
      <c r="DT124" s="6">
        <f t="shared" si="27"/>
        <v>8682</v>
      </c>
      <c r="DU124" s="6"/>
      <c r="DV124" s="6"/>
      <c r="DW124" s="6">
        <f t="shared" si="28"/>
        <v>508162</v>
      </c>
      <c r="DY124" s="6">
        <f t="shared" si="29"/>
        <v>263814</v>
      </c>
      <c r="DZ124" s="6">
        <f t="shared" si="30"/>
        <v>0</v>
      </c>
      <c r="EB124" s="6">
        <f t="shared" si="31"/>
        <v>508162</v>
      </c>
      <c r="EC124" s="6"/>
      <c r="ED124" s="6"/>
      <c r="EF124" s="6"/>
      <c r="EG124" s="6"/>
    </row>
    <row r="125" spans="2:137" ht="14">
      <c r="B125" s="4">
        <v>35765</v>
      </c>
      <c r="C125" s="5">
        <v>0</v>
      </c>
      <c r="D125" s="5">
        <v>0</v>
      </c>
      <c r="E125" s="5">
        <v>0</v>
      </c>
      <c r="F125" s="5" t="s">
        <v>82</v>
      </c>
      <c r="G125" s="5" t="s">
        <v>82</v>
      </c>
      <c r="H125" s="5">
        <v>0</v>
      </c>
      <c r="I125" s="5">
        <v>0</v>
      </c>
      <c r="J125" s="5">
        <v>0</v>
      </c>
      <c r="K125" s="5">
        <v>0</v>
      </c>
      <c r="L125" s="5"/>
      <c r="M125" s="5">
        <v>33337</v>
      </c>
      <c r="N125" s="5">
        <v>3229</v>
      </c>
      <c r="O125" s="5"/>
      <c r="P125" s="5">
        <v>3866</v>
      </c>
      <c r="Q125" s="5">
        <v>5784</v>
      </c>
      <c r="R125" s="5">
        <v>1362</v>
      </c>
      <c r="S125" s="5">
        <v>9116</v>
      </c>
      <c r="T125" s="5">
        <v>13854</v>
      </c>
      <c r="U125" s="5"/>
      <c r="V125" s="5"/>
      <c r="W125" s="5">
        <v>2698</v>
      </c>
      <c r="X125" s="5">
        <v>0</v>
      </c>
      <c r="Y125" s="5">
        <v>735</v>
      </c>
      <c r="Z125" s="5">
        <v>31</v>
      </c>
      <c r="AA125" s="155"/>
      <c r="AB125" s="5">
        <v>24</v>
      </c>
      <c r="AC125" s="5">
        <v>0</v>
      </c>
      <c r="AD125" s="5">
        <v>12</v>
      </c>
      <c r="AE125" s="5">
        <v>30</v>
      </c>
      <c r="AF125" s="5">
        <v>37</v>
      </c>
      <c r="AG125" s="5">
        <v>61</v>
      </c>
      <c r="AH125" s="5"/>
      <c r="AI125" s="5"/>
      <c r="AJ125" s="5">
        <v>15</v>
      </c>
      <c r="AK125" s="5">
        <v>0</v>
      </c>
      <c r="AL125" s="5">
        <v>81456</v>
      </c>
      <c r="AM125" s="5">
        <v>3460</v>
      </c>
      <c r="AN125" s="5">
        <v>7333</v>
      </c>
      <c r="AO125" s="5">
        <v>35</v>
      </c>
      <c r="AP125" s="5">
        <v>4</v>
      </c>
      <c r="AQ125" s="5">
        <v>0</v>
      </c>
      <c r="AR125" s="5">
        <v>0</v>
      </c>
      <c r="AS125" s="5">
        <v>1700</v>
      </c>
      <c r="AT125" s="5" t="s">
        <v>82</v>
      </c>
      <c r="AU125" s="5">
        <v>1672</v>
      </c>
      <c r="AV125" s="5">
        <v>1499</v>
      </c>
      <c r="AW125" s="5">
        <v>2559</v>
      </c>
      <c r="AX125" s="5">
        <v>8872</v>
      </c>
      <c r="AY125" s="155"/>
      <c r="AZ125" s="155"/>
      <c r="BA125" s="155">
        <v>0</v>
      </c>
      <c r="BB125" s="155"/>
      <c r="BC125" s="5">
        <v>865</v>
      </c>
      <c r="BD125" s="5"/>
      <c r="BE125" s="5">
        <v>33589</v>
      </c>
      <c r="BF125" s="5">
        <v>80451</v>
      </c>
      <c r="BG125" s="5">
        <v>291</v>
      </c>
      <c r="BH125" s="5">
        <v>940</v>
      </c>
      <c r="BI125" s="5">
        <v>1160</v>
      </c>
      <c r="BJ125" s="5">
        <v>5317</v>
      </c>
      <c r="BK125" s="5">
        <v>64</v>
      </c>
      <c r="BL125" s="5">
        <v>2915</v>
      </c>
      <c r="BM125" s="5"/>
      <c r="BN125" s="5">
        <v>362</v>
      </c>
      <c r="BO125" s="5">
        <v>51</v>
      </c>
      <c r="BP125" s="5">
        <v>0</v>
      </c>
      <c r="BQ125" s="5">
        <v>11846</v>
      </c>
      <c r="BR125" s="5">
        <v>15746</v>
      </c>
      <c r="BS125" s="5">
        <v>25</v>
      </c>
      <c r="BT125" s="5">
        <v>416</v>
      </c>
      <c r="BU125" s="5">
        <v>418</v>
      </c>
      <c r="BV125" s="5"/>
      <c r="BW125" s="5">
        <v>4</v>
      </c>
      <c r="BX125" s="5">
        <v>214</v>
      </c>
      <c r="BY125" s="5"/>
      <c r="BZ125" s="5">
        <v>239</v>
      </c>
      <c r="CA125" s="5">
        <v>3</v>
      </c>
      <c r="CB125" s="5">
        <v>0</v>
      </c>
      <c r="CC125" s="5">
        <v>12216</v>
      </c>
      <c r="CD125" s="5">
        <v>58674</v>
      </c>
      <c r="CE125" s="5">
        <v>82122</v>
      </c>
      <c r="CF125" s="5">
        <v>14456</v>
      </c>
      <c r="CG125" s="5">
        <v>0</v>
      </c>
      <c r="CH125" s="5">
        <v>0</v>
      </c>
      <c r="CI125" s="5">
        <v>50</v>
      </c>
      <c r="CJ125" s="5">
        <v>89</v>
      </c>
      <c r="CK125" s="5">
        <v>230</v>
      </c>
      <c r="CL125" s="5"/>
      <c r="CM125" s="5"/>
      <c r="CN125" s="5"/>
      <c r="CO125" s="5"/>
      <c r="CP125" s="5"/>
      <c r="CQ125" s="5"/>
      <c r="CR125" s="5"/>
      <c r="CS125" s="5"/>
      <c r="CT125" s="5" t="s">
        <v>82</v>
      </c>
      <c r="CU125" s="5" t="s">
        <v>82</v>
      </c>
      <c r="CV125" s="5" t="s">
        <v>82</v>
      </c>
      <c r="CW125" s="5">
        <v>0</v>
      </c>
      <c r="CX125" s="5">
        <v>0</v>
      </c>
      <c r="CY125" s="5">
        <v>0</v>
      </c>
      <c r="DA125" s="6"/>
      <c r="DD125" s="6">
        <f t="shared" si="19"/>
        <v>321888</v>
      </c>
      <c r="DE125" s="6">
        <f t="shared" si="20"/>
        <v>183646</v>
      </c>
      <c r="DF125" s="16">
        <f t="shared" si="21"/>
        <v>505534</v>
      </c>
      <c r="DK125" s="6">
        <f t="shared" si="22"/>
        <v>59392</v>
      </c>
      <c r="DL125" s="6">
        <f t="shared" si="23"/>
        <v>94130</v>
      </c>
      <c r="DM125" s="6">
        <f t="shared" si="33"/>
        <v>13854</v>
      </c>
      <c r="DN125" s="6">
        <f t="shared" si="34"/>
        <v>16270</v>
      </c>
      <c r="DO125" s="6">
        <f t="shared" si="24"/>
        <v>253732</v>
      </c>
      <c r="DP125" s="6">
        <f t="shared" si="32"/>
        <v>47153</v>
      </c>
      <c r="DQ125" s="6"/>
      <c r="DR125" s="6">
        <f t="shared" si="25"/>
        <v>12266</v>
      </c>
      <c r="DS125" s="6">
        <f t="shared" si="26"/>
        <v>0</v>
      </c>
      <c r="DT125" s="6">
        <f t="shared" si="27"/>
        <v>8737</v>
      </c>
      <c r="DU125" s="6"/>
      <c r="DV125" s="6"/>
      <c r="DW125" s="6">
        <f t="shared" si="28"/>
        <v>505534</v>
      </c>
      <c r="DY125" s="6">
        <f t="shared" si="29"/>
        <v>262469</v>
      </c>
      <c r="DZ125" s="6">
        <f t="shared" si="30"/>
        <v>0</v>
      </c>
      <c r="EB125" s="6">
        <f t="shared" si="31"/>
        <v>505534</v>
      </c>
      <c r="EC125" s="6"/>
      <c r="ED125" s="6"/>
      <c r="EF125" s="6"/>
      <c r="EG125" s="6"/>
    </row>
    <row r="126" spans="2:137" ht="14">
      <c r="B126" s="4">
        <v>35796</v>
      </c>
      <c r="C126" s="5">
        <v>0</v>
      </c>
      <c r="D126" s="5">
        <v>0</v>
      </c>
      <c r="E126" s="5">
        <v>0</v>
      </c>
      <c r="F126" s="5" t="s">
        <v>82</v>
      </c>
      <c r="G126" s="5" t="s">
        <v>82</v>
      </c>
      <c r="H126" s="5">
        <v>0</v>
      </c>
      <c r="I126" s="5">
        <v>0</v>
      </c>
      <c r="J126" s="5">
        <v>0</v>
      </c>
      <c r="K126" s="5">
        <v>0</v>
      </c>
      <c r="L126" s="5"/>
      <c r="M126" s="5">
        <v>33267</v>
      </c>
      <c r="N126" s="5">
        <v>3173</v>
      </c>
      <c r="O126" s="5"/>
      <c r="P126" s="5">
        <v>3793</v>
      </c>
      <c r="Q126" s="5">
        <v>5842</v>
      </c>
      <c r="R126" s="5">
        <v>1347</v>
      </c>
      <c r="S126" s="5">
        <v>9119</v>
      </c>
      <c r="T126" s="5">
        <v>13863</v>
      </c>
      <c r="U126" s="5"/>
      <c r="V126" s="5"/>
      <c r="W126" s="5">
        <v>2651</v>
      </c>
      <c r="X126" s="5">
        <v>0</v>
      </c>
      <c r="Y126" s="5">
        <v>727</v>
      </c>
      <c r="Z126" s="5">
        <v>33</v>
      </c>
      <c r="AA126" s="155"/>
      <c r="AB126" s="5">
        <v>26</v>
      </c>
      <c r="AC126" s="5">
        <v>0</v>
      </c>
      <c r="AD126" s="5">
        <v>14</v>
      </c>
      <c r="AE126" s="5">
        <v>28</v>
      </c>
      <c r="AF126" s="5">
        <v>38</v>
      </c>
      <c r="AG126" s="5">
        <v>64</v>
      </c>
      <c r="AH126" s="5"/>
      <c r="AI126" s="5"/>
      <c r="AJ126" s="5">
        <v>13</v>
      </c>
      <c r="AK126" s="5">
        <v>0</v>
      </c>
      <c r="AL126" s="5">
        <v>81247</v>
      </c>
      <c r="AM126" s="5">
        <v>3459</v>
      </c>
      <c r="AN126" s="5">
        <v>7372</v>
      </c>
      <c r="AO126" s="5">
        <v>28</v>
      </c>
      <c r="AP126" s="5">
        <v>8</v>
      </c>
      <c r="AQ126" s="5">
        <v>0</v>
      </c>
      <c r="AR126" s="5">
        <v>0</v>
      </c>
      <c r="AS126" s="5">
        <v>1651</v>
      </c>
      <c r="AT126" s="5" t="s">
        <v>82</v>
      </c>
      <c r="AU126" s="5">
        <v>1675</v>
      </c>
      <c r="AV126" s="5">
        <v>1514</v>
      </c>
      <c r="AW126" s="5">
        <v>2567</v>
      </c>
      <c r="AX126" s="5">
        <v>8872</v>
      </c>
      <c r="AY126" s="155"/>
      <c r="AZ126" s="155"/>
      <c r="BA126" s="155">
        <v>0</v>
      </c>
      <c r="BB126" s="155"/>
      <c r="BC126" s="5">
        <v>820</v>
      </c>
      <c r="BD126" s="5"/>
      <c r="BE126" s="5">
        <v>33038</v>
      </c>
      <c r="BF126" s="5">
        <v>79044</v>
      </c>
      <c r="BG126" s="5">
        <v>288</v>
      </c>
      <c r="BH126" s="5">
        <v>923</v>
      </c>
      <c r="BI126" s="5">
        <v>1131</v>
      </c>
      <c r="BJ126" s="5">
        <v>5350</v>
      </c>
      <c r="BK126" s="5">
        <v>66</v>
      </c>
      <c r="BL126" s="5">
        <v>2931</v>
      </c>
      <c r="BM126" s="5"/>
      <c r="BN126" s="5">
        <v>391</v>
      </c>
      <c r="BO126" s="5">
        <v>48</v>
      </c>
      <c r="BP126" s="5">
        <v>0</v>
      </c>
      <c r="BQ126" s="5">
        <v>11776</v>
      </c>
      <c r="BR126" s="5">
        <v>15463</v>
      </c>
      <c r="BS126" s="5">
        <v>23</v>
      </c>
      <c r="BT126" s="5">
        <v>437</v>
      </c>
      <c r="BU126" s="5">
        <v>433</v>
      </c>
      <c r="BV126" s="5"/>
      <c r="BW126" s="5">
        <v>4</v>
      </c>
      <c r="BX126" s="5">
        <v>207</v>
      </c>
      <c r="BY126" s="5"/>
      <c r="BZ126" s="5">
        <v>238</v>
      </c>
      <c r="CA126" s="5">
        <v>3</v>
      </c>
      <c r="CB126" s="5">
        <v>0</v>
      </c>
      <c r="CC126" s="5">
        <v>11991</v>
      </c>
      <c r="CD126" s="5">
        <v>58888</v>
      </c>
      <c r="CE126" s="5">
        <v>82589</v>
      </c>
      <c r="CF126" s="5">
        <v>14294</v>
      </c>
      <c r="CG126" s="5">
        <v>0</v>
      </c>
      <c r="CH126" s="5">
        <v>0</v>
      </c>
      <c r="CI126" s="5">
        <v>49</v>
      </c>
      <c r="CJ126" s="5">
        <v>90</v>
      </c>
      <c r="CK126" s="5">
        <v>225</v>
      </c>
      <c r="CL126" s="5"/>
      <c r="CM126" s="5"/>
      <c r="CN126" s="5"/>
      <c r="CO126" s="5"/>
      <c r="CP126" s="5"/>
      <c r="CQ126" s="5"/>
      <c r="CR126" s="5"/>
      <c r="CS126" s="5"/>
      <c r="CT126" s="5" t="s">
        <v>82</v>
      </c>
      <c r="CU126" s="5" t="s">
        <v>82</v>
      </c>
      <c r="CV126" s="5" t="s">
        <v>82</v>
      </c>
      <c r="CW126" s="5">
        <v>0</v>
      </c>
      <c r="CX126" s="5">
        <v>0</v>
      </c>
      <c r="CY126" s="5">
        <v>0</v>
      </c>
      <c r="DA126" s="6"/>
      <c r="DD126" s="6">
        <f t="shared" si="19"/>
        <v>319920</v>
      </c>
      <c r="DE126" s="6">
        <f t="shared" si="20"/>
        <v>183211</v>
      </c>
      <c r="DF126" s="16">
        <f t="shared" si="21"/>
        <v>503131</v>
      </c>
      <c r="DK126" s="6">
        <f t="shared" si="22"/>
        <v>59192</v>
      </c>
      <c r="DL126" s="6">
        <f t="shared" si="23"/>
        <v>93840</v>
      </c>
      <c r="DM126" s="6">
        <f t="shared" si="33"/>
        <v>13863</v>
      </c>
      <c r="DN126" s="6">
        <f t="shared" si="34"/>
        <v>16316</v>
      </c>
      <c r="DO126" s="6">
        <f t="shared" si="24"/>
        <v>252539</v>
      </c>
      <c r="DP126" s="6">
        <f t="shared" si="32"/>
        <v>46565</v>
      </c>
      <c r="DQ126" s="6"/>
      <c r="DR126" s="6">
        <f t="shared" si="25"/>
        <v>12040</v>
      </c>
      <c r="DS126" s="6">
        <f t="shared" si="26"/>
        <v>0</v>
      </c>
      <c r="DT126" s="6">
        <f t="shared" si="27"/>
        <v>8776</v>
      </c>
      <c r="DU126" s="6"/>
      <c r="DV126" s="6"/>
      <c r="DW126" s="6">
        <f t="shared" si="28"/>
        <v>503131</v>
      </c>
      <c r="DY126" s="6">
        <f t="shared" si="29"/>
        <v>261315</v>
      </c>
      <c r="DZ126" s="6">
        <f t="shared" si="30"/>
        <v>0</v>
      </c>
      <c r="EB126" s="6">
        <f t="shared" si="31"/>
        <v>503131</v>
      </c>
      <c r="EC126" s="6"/>
      <c r="ED126" s="6"/>
      <c r="EF126" s="6"/>
      <c r="EG126" s="6"/>
    </row>
    <row r="127" spans="2:137" ht="14">
      <c r="B127" s="4">
        <v>35827</v>
      </c>
      <c r="C127" s="5">
        <v>0</v>
      </c>
      <c r="D127" s="5">
        <v>0</v>
      </c>
      <c r="E127" s="5">
        <v>0</v>
      </c>
      <c r="F127" s="5" t="s">
        <v>82</v>
      </c>
      <c r="G127" s="5" t="s">
        <v>82</v>
      </c>
      <c r="H127" s="5">
        <v>0</v>
      </c>
      <c r="I127" s="5">
        <v>0</v>
      </c>
      <c r="J127" s="5">
        <v>0</v>
      </c>
      <c r="K127" s="5">
        <v>0</v>
      </c>
      <c r="L127" s="5"/>
      <c r="M127" s="5">
        <v>33128</v>
      </c>
      <c r="N127" s="5">
        <v>3134</v>
      </c>
      <c r="O127" s="5"/>
      <c r="P127" s="5">
        <v>3781</v>
      </c>
      <c r="Q127" s="5">
        <v>5850</v>
      </c>
      <c r="R127" s="5">
        <v>1328</v>
      </c>
      <c r="S127" s="5">
        <v>9187</v>
      </c>
      <c r="T127" s="5">
        <v>13811</v>
      </c>
      <c r="U127" s="5"/>
      <c r="V127" s="5"/>
      <c r="W127" s="5">
        <v>2544</v>
      </c>
      <c r="X127" s="5">
        <v>0</v>
      </c>
      <c r="Y127" s="5">
        <v>725</v>
      </c>
      <c r="Z127" s="5">
        <v>35</v>
      </c>
      <c r="AA127" s="155"/>
      <c r="AB127" s="5">
        <v>28</v>
      </c>
      <c r="AC127" s="5">
        <v>0</v>
      </c>
      <c r="AD127" s="5">
        <v>14</v>
      </c>
      <c r="AE127" s="5">
        <v>27</v>
      </c>
      <c r="AF127" s="5">
        <v>37</v>
      </c>
      <c r="AG127" s="5">
        <v>66</v>
      </c>
      <c r="AH127" s="5"/>
      <c r="AI127" s="5"/>
      <c r="AJ127" s="5">
        <v>15</v>
      </c>
      <c r="AK127" s="5">
        <v>0</v>
      </c>
      <c r="AL127" s="5">
        <v>81330</v>
      </c>
      <c r="AM127" s="5">
        <v>3474</v>
      </c>
      <c r="AN127" s="5">
        <v>7476</v>
      </c>
      <c r="AO127" s="5">
        <v>28</v>
      </c>
      <c r="AP127" s="5">
        <v>8</v>
      </c>
      <c r="AQ127" s="5">
        <v>0</v>
      </c>
      <c r="AR127" s="5">
        <v>0</v>
      </c>
      <c r="AS127" s="5">
        <v>1697</v>
      </c>
      <c r="AT127" s="5" t="s">
        <v>82</v>
      </c>
      <c r="AU127" s="5">
        <v>1654</v>
      </c>
      <c r="AV127" s="5">
        <v>1529</v>
      </c>
      <c r="AW127" s="5">
        <v>2584</v>
      </c>
      <c r="AX127" s="5">
        <v>8910</v>
      </c>
      <c r="AY127" s="155"/>
      <c r="AZ127" s="155"/>
      <c r="BA127" s="155">
        <v>0</v>
      </c>
      <c r="BB127" s="155"/>
      <c r="BC127" s="5">
        <v>804</v>
      </c>
      <c r="BD127" s="5"/>
      <c r="BE127" s="5">
        <v>32771</v>
      </c>
      <c r="BF127" s="5">
        <v>78207</v>
      </c>
      <c r="BG127" s="5">
        <v>284</v>
      </c>
      <c r="BH127" s="5">
        <v>974</v>
      </c>
      <c r="BI127" s="5">
        <v>1146</v>
      </c>
      <c r="BJ127" s="5">
        <v>5411</v>
      </c>
      <c r="BK127" s="5">
        <v>65</v>
      </c>
      <c r="BL127" s="5">
        <v>2989</v>
      </c>
      <c r="BM127" s="5"/>
      <c r="BN127" s="5">
        <v>410</v>
      </c>
      <c r="BO127" s="5">
        <v>47</v>
      </c>
      <c r="BP127" s="5">
        <v>0</v>
      </c>
      <c r="BQ127" s="5">
        <v>11869</v>
      </c>
      <c r="BR127" s="5">
        <v>15291</v>
      </c>
      <c r="BS127" s="5">
        <v>24</v>
      </c>
      <c r="BT127" s="5">
        <v>429</v>
      </c>
      <c r="BU127" s="5">
        <v>431</v>
      </c>
      <c r="BV127" s="5"/>
      <c r="BW127" s="5">
        <v>5</v>
      </c>
      <c r="BX127" s="5">
        <v>208</v>
      </c>
      <c r="BY127" s="5"/>
      <c r="BZ127" s="5">
        <v>243</v>
      </c>
      <c r="CA127" s="5">
        <v>3</v>
      </c>
      <c r="CB127" s="5">
        <v>0</v>
      </c>
      <c r="CC127" s="5">
        <v>12297</v>
      </c>
      <c r="CD127" s="5">
        <v>59303</v>
      </c>
      <c r="CE127" s="5">
        <v>83481</v>
      </c>
      <c r="CF127" s="5">
        <v>14376</v>
      </c>
      <c r="CG127" s="5">
        <v>0</v>
      </c>
      <c r="CH127" s="5">
        <v>0</v>
      </c>
      <c r="CI127" s="5">
        <v>55</v>
      </c>
      <c r="CJ127" s="5">
        <v>91</v>
      </c>
      <c r="CK127" s="5">
        <v>219</v>
      </c>
      <c r="CL127" s="5"/>
      <c r="CM127" s="5"/>
      <c r="CN127" s="5"/>
      <c r="CO127" s="5"/>
      <c r="CP127" s="5"/>
      <c r="CQ127" s="5"/>
      <c r="CR127" s="5"/>
      <c r="CS127" s="5"/>
      <c r="CT127" s="5" t="s">
        <v>82</v>
      </c>
      <c r="CU127" s="5" t="s">
        <v>82</v>
      </c>
      <c r="CV127" s="5" t="s">
        <v>82</v>
      </c>
      <c r="CW127" s="5">
        <v>0</v>
      </c>
      <c r="CX127" s="5">
        <v>0</v>
      </c>
      <c r="CY127" s="5">
        <v>0</v>
      </c>
      <c r="DA127" s="6"/>
      <c r="DD127" s="6">
        <f t="shared" si="19"/>
        <v>320629</v>
      </c>
      <c r="DE127" s="6">
        <f t="shared" si="20"/>
        <v>183204</v>
      </c>
      <c r="DF127" s="16">
        <f t="shared" si="21"/>
        <v>503833</v>
      </c>
      <c r="DK127" s="6">
        <f t="shared" si="22"/>
        <v>58952</v>
      </c>
      <c r="DL127" s="6">
        <f t="shared" si="23"/>
        <v>93981</v>
      </c>
      <c r="DM127" s="6">
        <f t="shared" si="33"/>
        <v>13811</v>
      </c>
      <c r="DN127" s="6">
        <f t="shared" si="34"/>
        <v>16460</v>
      </c>
      <c r="DO127" s="6">
        <f t="shared" si="24"/>
        <v>252932</v>
      </c>
      <c r="DP127" s="6">
        <f t="shared" si="32"/>
        <v>46453</v>
      </c>
      <c r="DQ127" s="6"/>
      <c r="DR127" s="6">
        <f t="shared" si="25"/>
        <v>12352</v>
      </c>
      <c r="DS127" s="6">
        <f t="shared" si="26"/>
        <v>0</v>
      </c>
      <c r="DT127" s="6">
        <f t="shared" si="27"/>
        <v>8892</v>
      </c>
      <c r="DU127" s="6"/>
      <c r="DV127" s="6"/>
      <c r="DW127" s="6">
        <f t="shared" si="28"/>
        <v>503833</v>
      </c>
      <c r="DY127" s="6">
        <f t="shared" si="29"/>
        <v>261824</v>
      </c>
      <c r="DZ127" s="6">
        <f t="shared" si="30"/>
        <v>0</v>
      </c>
      <c r="EB127" s="6">
        <f t="shared" si="31"/>
        <v>503833</v>
      </c>
      <c r="EC127" s="6"/>
      <c r="ED127" s="6"/>
      <c r="EF127" s="6"/>
      <c r="EG127" s="6"/>
    </row>
    <row r="128" spans="2:137" ht="14">
      <c r="B128" s="4">
        <v>35855</v>
      </c>
      <c r="C128" s="5">
        <v>0</v>
      </c>
      <c r="D128" s="5">
        <v>0</v>
      </c>
      <c r="E128" s="5">
        <v>0</v>
      </c>
      <c r="F128" s="5" t="s">
        <v>82</v>
      </c>
      <c r="G128" s="5" t="s">
        <v>82</v>
      </c>
      <c r="H128" s="5">
        <v>0</v>
      </c>
      <c r="I128" s="5">
        <v>0</v>
      </c>
      <c r="J128" s="5">
        <v>0</v>
      </c>
      <c r="K128" s="5">
        <v>0</v>
      </c>
      <c r="L128" s="5"/>
      <c r="M128" s="5">
        <v>33040</v>
      </c>
      <c r="N128" s="5">
        <v>3109</v>
      </c>
      <c r="O128" s="5"/>
      <c r="P128" s="5">
        <v>3708</v>
      </c>
      <c r="Q128" s="5">
        <v>5911</v>
      </c>
      <c r="R128" s="5">
        <v>1317</v>
      </c>
      <c r="S128" s="5">
        <v>9166</v>
      </c>
      <c r="T128" s="5">
        <v>13758</v>
      </c>
      <c r="U128" s="5"/>
      <c r="V128" s="5"/>
      <c r="W128" s="5">
        <v>2439</v>
      </c>
      <c r="X128" s="5">
        <v>0</v>
      </c>
      <c r="Y128" s="5">
        <v>718</v>
      </c>
      <c r="Z128" s="5">
        <v>36</v>
      </c>
      <c r="AA128" s="155"/>
      <c r="AB128" s="5">
        <v>25</v>
      </c>
      <c r="AC128" s="5">
        <v>0</v>
      </c>
      <c r="AD128" s="5">
        <v>14</v>
      </c>
      <c r="AE128" s="5">
        <v>26</v>
      </c>
      <c r="AF128" s="5">
        <v>36</v>
      </c>
      <c r="AG128" s="5">
        <v>67</v>
      </c>
      <c r="AH128" s="5"/>
      <c r="AI128" s="5"/>
      <c r="AJ128" s="5">
        <v>12</v>
      </c>
      <c r="AK128" s="5">
        <v>0</v>
      </c>
      <c r="AL128" s="5">
        <v>81105</v>
      </c>
      <c r="AM128" s="5">
        <v>3480</v>
      </c>
      <c r="AN128" s="5">
        <v>7525</v>
      </c>
      <c r="AO128" s="5">
        <v>26</v>
      </c>
      <c r="AP128" s="5">
        <v>5</v>
      </c>
      <c r="AQ128" s="5">
        <v>0</v>
      </c>
      <c r="AR128" s="5">
        <v>0</v>
      </c>
      <c r="AS128" s="5">
        <v>1665</v>
      </c>
      <c r="AT128" s="5" t="s">
        <v>82</v>
      </c>
      <c r="AU128" s="5">
        <v>1681</v>
      </c>
      <c r="AV128" s="5">
        <v>1535</v>
      </c>
      <c r="AW128" s="5">
        <v>2593</v>
      </c>
      <c r="AX128" s="5">
        <v>8906</v>
      </c>
      <c r="AY128" s="155"/>
      <c r="AZ128" s="155"/>
      <c r="BA128" s="155">
        <v>0</v>
      </c>
      <c r="BB128" s="155"/>
      <c r="BC128" s="5">
        <v>797</v>
      </c>
      <c r="BD128" s="5"/>
      <c r="BE128" s="5">
        <v>32139</v>
      </c>
      <c r="BF128" s="5">
        <v>76782</v>
      </c>
      <c r="BG128" s="5">
        <v>281</v>
      </c>
      <c r="BH128" s="5">
        <v>1053</v>
      </c>
      <c r="BI128" s="5">
        <v>1238</v>
      </c>
      <c r="BJ128" s="5">
        <v>5464</v>
      </c>
      <c r="BK128" s="5">
        <v>62</v>
      </c>
      <c r="BL128" s="5">
        <v>3009</v>
      </c>
      <c r="BM128" s="5"/>
      <c r="BN128" s="5">
        <v>418</v>
      </c>
      <c r="BO128" s="5">
        <v>47</v>
      </c>
      <c r="BP128" s="5">
        <v>0</v>
      </c>
      <c r="BQ128" s="5">
        <v>11967</v>
      </c>
      <c r="BR128" s="5">
        <v>15143</v>
      </c>
      <c r="BS128" s="5">
        <v>24</v>
      </c>
      <c r="BT128" s="5">
        <v>432</v>
      </c>
      <c r="BU128" s="5">
        <v>428</v>
      </c>
      <c r="BV128" s="5"/>
      <c r="BW128" s="5">
        <v>6</v>
      </c>
      <c r="BX128" s="5">
        <v>217</v>
      </c>
      <c r="BY128" s="5"/>
      <c r="BZ128" s="5">
        <v>246</v>
      </c>
      <c r="CA128" s="5">
        <v>3</v>
      </c>
      <c r="CB128" s="5">
        <v>0</v>
      </c>
      <c r="CC128" s="5">
        <v>12293</v>
      </c>
      <c r="CD128" s="5">
        <v>59176</v>
      </c>
      <c r="CE128" s="5">
        <v>83719</v>
      </c>
      <c r="CF128" s="5">
        <v>14326</v>
      </c>
      <c r="CG128" s="5">
        <v>0</v>
      </c>
      <c r="CH128" s="5">
        <v>0</v>
      </c>
      <c r="CI128" s="5">
        <v>57</v>
      </c>
      <c r="CJ128" s="5">
        <v>89</v>
      </c>
      <c r="CK128" s="5">
        <v>201</v>
      </c>
      <c r="CL128" s="5"/>
      <c r="CM128" s="5"/>
      <c r="CN128" s="5"/>
      <c r="CO128" s="5"/>
      <c r="CP128" s="5"/>
      <c r="CQ128" s="5"/>
      <c r="CR128" s="5"/>
      <c r="CS128" s="5"/>
      <c r="CT128" s="5" t="s">
        <v>82</v>
      </c>
      <c r="CU128" s="5" t="s">
        <v>82</v>
      </c>
      <c r="CV128" s="5" t="s">
        <v>82</v>
      </c>
      <c r="CW128" s="5">
        <v>0</v>
      </c>
      <c r="CX128" s="5">
        <v>0</v>
      </c>
      <c r="CY128" s="5">
        <v>0</v>
      </c>
      <c r="DA128" s="6"/>
      <c r="DD128" s="6">
        <f t="shared" si="19"/>
        <v>318820</v>
      </c>
      <c r="DE128" s="6">
        <f t="shared" si="20"/>
        <v>182700</v>
      </c>
      <c r="DF128" s="16">
        <f t="shared" si="21"/>
        <v>501520</v>
      </c>
      <c r="DK128" s="6">
        <f t="shared" si="22"/>
        <v>58690</v>
      </c>
      <c r="DL128" s="6">
        <f t="shared" si="23"/>
        <v>93749</v>
      </c>
      <c r="DM128" s="6">
        <f t="shared" si="33"/>
        <v>13758</v>
      </c>
      <c r="DN128" s="6">
        <f t="shared" si="34"/>
        <v>16503</v>
      </c>
      <c r="DO128" s="6">
        <f t="shared" si="24"/>
        <v>251490</v>
      </c>
      <c r="DP128" s="6">
        <f t="shared" si="32"/>
        <v>46009</v>
      </c>
      <c r="DQ128" s="6"/>
      <c r="DR128" s="6">
        <f t="shared" si="25"/>
        <v>12350</v>
      </c>
      <c r="DS128" s="6">
        <f t="shared" si="26"/>
        <v>0</v>
      </c>
      <c r="DT128" s="6">
        <f t="shared" si="27"/>
        <v>8971</v>
      </c>
      <c r="DU128" s="6"/>
      <c r="DV128" s="6"/>
      <c r="DW128" s="6">
        <f t="shared" si="28"/>
        <v>501520</v>
      </c>
      <c r="DY128" s="6">
        <f t="shared" si="29"/>
        <v>260461</v>
      </c>
      <c r="DZ128" s="6">
        <f t="shared" si="30"/>
        <v>0</v>
      </c>
      <c r="EB128" s="6">
        <f t="shared" si="31"/>
        <v>501520</v>
      </c>
      <c r="EC128" s="6"/>
      <c r="ED128" s="6"/>
      <c r="EF128" s="6"/>
      <c r="EG128" s="6"/>
    </row>
    <row r="129" spans="2:137" ht="14">
      <c r="B129" s="4">
        <v>35886</v>
      </c>
      <c r="C129" s="5">
        <v>0</v>
      </c>
      <c r="D129" s="5">
        <v>0</v>
      </c>
      <c r="E129" s="5">
        <v>0</v>
      </c>
      <c r="F129" s="5" t="s">
        <v>82</v>
      </c>
      <c r="G129" s="5" t="s">
        <v>82</v>
      </c>
      <c r="H129" s="5">
        <v>0</v>
      </c>
      <c r="I129" s="5">
        <v>0</v>
      </c>
      <c r="J129" s="5">
        <v>0</v>
      </c>
      <c r="K129" s="5">
        <v>0</v>
      </c>
      <c r="L129" s="5"/>
      <c r="M129" s="5">
        <v>32911</v>
      </c>
      <c r="N129" s="5">
        <v>3102</v>
      </c>
      <c r="O129" s="5"/>
      <c r="P129" s="5">
        <v>3697</v>
      </c>
      <c r="Q129" s="5">
        <v>6000</v>
      </c>
      <c r="R129" s="5">
        <v>1281</v>
      </c>
      <c r="S129" s="5">
        <v>9211</v>
      </c>
      <c r="T129" s="5">
        <v>13692</v>
      </c>
      <c r="U129" s="5"/>
      <c r="V129" s="5"/>
      <c r="W129" s="5">
        <v>2373</v>
      </c>
      <c r="X129" s="5">
        <v>0</v>
      </c>
      <c r="Y129" s="5">
        <v>711</v>
      </c>
      <c r="Z129" s="5">
        <v>35</v>
      </c>
      <c r="AA129" s="155"/>
      <c r="AB129" s="5">
        <v>25</v>
      </c>
      <c r="AC129" s="5">
        <v>0</v>
      </c>
      <c r="AD129" s="5">
        <v>14</v>
      </c>
      <c r="AE129" s="5">
        <v>27</v>
      </c>
      <c r="AF129" s="5">
        <v>32</v>
      </c>
      <c r="AG129" s="5">
        <v>66</v>
      </c>
      <c r="AH129" s="5"/>
      <c r="AI129" s="5"/>
      <c r="AJ129" s="5">
        <v>13</v>
      </c>
      <c r="AK129" s="5">
        <v>0</v>
      </c>
      <c r="AL129" s="5">
        <v>81016</v>
      </c>
      <c r="AM129" s="5">
        <v>3502</v>
      </c>
      <c r="AN129" s="5">
        <v>7576</v>
      </c>
      <c r="AO129" s="5">
        <v>23</v>
      </c>
      <c r="AP129" s="5">
        <v>6</v>
      </c>
      <c r="AQ129" s="5">
        <v>0</v>
      </c>
      <c r="AR129" s="5">
        <v>0</v>
      </c>
      <c r="AS129" s="5">
        <v>1682</v>
      </c>
      <c r="AT129" s="5" t="s">
        <v>82</v>
      </c>
      <c r="AU129" s="5">
        <v>1685</v>
      </c>
      <c r="AV129" s="5">
        <v>1550</v>
      </c>
      <c r="AW129" s="5">
        <v>2649</v>
      </c>
      <c r="AX129" s="5">
        <v>8965</v>
      </c>
      <c r="AY129" s="155"/>
      <c r="AZ129" s="155"/>
      <c r="BA129" s="155">
        <v>0</v>
      </c>
      <c r="BB129" s="155"/>
      <c r="BC129" s="5">
        <v>799</v>
      </c>
      <c r="BD129" s="5"/>
      <c r="BE129" s="5">
        <v>31597</v>
      </c>
      <c r="BF129" s="5">
        <v>75555</v>
      </c>
      <c r="BG129" s="5">
        <v>285</v>
      </c>
      <c r="BH129" s="5">
        <v>1070</v>
      </c>
      <c r="BI129" s="5">
        <v>1243</v>
      </c>
      <c r="BJ129" s="5">
        <v>5545</v>
      </c>
      <c r="BK129" s="5">
        <v>71</v>
      </c>
      <c r="BL129" s="5">
        <v>3007</v>
      </c>
      <c r="BM129" s="5"/>
      <c r="BN129" s="5">
        <v>412</v>
      </c>
      <c r="BO129" s="5">
        <v>44</v>
      </c>
      <c r="BP129" s="5">
        <v>0</v>
      </c>
      <c r="BQ129" s="5">
        <v>11965</v>
      </c>
      <c r="BR129" s="5">
        <v>14977</v>
      </c>
      <c r="BS129" s="5">
        <v>26</v>
      </c>
      <c r="BT129" s="5">
        <v>443</v>
      </c>
      <c r="BU129" s="5">
        <v>440</v>
      </c>
      <c r="BV129" s="5"/>
      <c r="BW129" s="5">
        <v>9</v>
      </c>
      <c r="BX129" s="5">
        <v>217</v>
      </c>
      <c r="BY129" s="5"/>
      <c r="BZ129" s="5">
        <v>251</v>
      </c>
      <c r="CA129" s="5">
        <v>0</v>
      </c>
      <c r="CB129" s="5">
        <v>0</v>
      </c>
      <c r="CC129" s="5">
        <v>12406</v>
      </c>
      <c r="CD129" s="5">
        <v>59161</v>
      </c>
      <c r="CE129" s="5">
        <v>84096</v>
      </c>
      <c r="CF129" s="5">
        <v>14313</v>
      </c>
      <c r="CG129" s="5">
        <v>0</v>
      </c>
      <c r="CH129" s="5">
        <v>0</v>
      </c>
      <c r="CI129" s="5">
        <v>61</v>
      </c>
      <c r="CJ129" s="5">
        <v>98</v>
      </c>
      <c r="CK129" s="5">
        <v>208</v>
      </c>
      <c r="CL129" s="5"/>
      <c r="CM129" s="5"/>
      <c r="CN129" s="5"/>
      <c r="CO129" s="5"/>
      <c r="CP129" s="5"/>
      <c r="CQ129" s="5"/>
      <c r="CR129" s="5"/>
      <c r="CS129" s="5"/>
      <c r="CT129" s="5" t="s">
        <v>82</v>
      </c>
      <c r="CU129" s="5" t="s">
        <v>82</v>
      </c>
      <c r="CV129" s="5" t="s">
        <v>82</v>
      </c>
      <c r="CW129" s="5">
        <v>0</v>
      </c>
      <c r="CX129" s="5">
        <v>0</v>
      </c>
      <c r="CY129" s="5">
        <v>0</v>
      </c>
      <c r="DA129" s="6"/>
      <c r="DD129" s="6">
        <f t="shared" si="19"/>
        <v>317500</v>
      </c>
      <c r="DE129" s="6">
        <f t="shared" si="20"/>
        <v>182643</v>
      </c>
      <c r="DF129" s="16">
        <f t="shared" si="21"/>
        <v>500143</v>
      </c>
      <c r="DK129" s="6">
        <f t="shared" si="22"/>
        <v>58575</v>
      </c>
      <c r="DL129" s="6">
        <f t="shared" si="23"/>
        <v>93763</v>
      </c>
      <c r="DM129" s="6">
        <f t="shared" si="33"/>
        <v>13692</v>
      </c>
      <c r="DN129" s="6">
        <f t="shared" si="34"/>
        <v>16613</v>
      </c>
      <c r="DO129" s="6">
        <f t="shared" si="24"/>
        <v>250492</v>
      </c>
      <c r="DP129" s="6">
        <f t="shared" si="32"/>
        <v>45487</v>
      </c>
      <c r="DQ129" s="6"/>
      <c r="DR129" s="6">
        <f t="shared" si="25"/>
        <v>12467</v>
      </c>
      <c r="DS129" s="6">
        <f t="shared" si="26"/>
        <v>0</v>
      </c>
      <c r="DT129" s="6">
        <f t="shared" si="27"/>
        <v>9054</v>
      </c>
      <c r="DU129" s="6"/>
      <c r="DV129" s="6"/>
      <c r="DW129" s="6">
        <f t="shared" si="28"/>
        <v>500143</v>
      </c>
      <c r="DY129" s="6">
        <f t="shared" si="29"/>
        <v>259546</v>
      </c>
      <c r="DZ129" s="6">
        <f t="shared" si="30"/>
        <v>0</v>
      </c>
      <c r="EB129" s="6">
        <f t="shared" si="31"/>
        <v>500143</v>
      </c>
      <c r="EC129" s="6"/>
      <c r="ED129" s="6"/>
      <c r="EF129" s="6"/>
      <c r="EG129" s="6"/>
    </row>
    <row r="130" spans="2:137" ht="14">
      <c r="B130" s="4">
        <v>35916</v>
      </c>
      <c r="C130" s="5">
        <v>0</v>
      </c>
      <c r="D130" s="5">
        <v>0</v>
      </c>
      <c r="E130" s="5">
        <v>0</v>
      </c>
      <c r="F130" s="5" t="s">
        <v>82</v>
      </c>
      <c r="G130" s="5" t="s">
        <v>82</v>
      </c>
      <c r="H130" s="5">
        <v>0</v>
      </c>
      <c r="I130" s="5">
        <v>0</v>
      </c>
      <c r="J130" s="5">
        <v>0</v>
      </c>
      <c r="K130" s="5">
        <v>0</v>
      </c>
      <c r="L130" s="5"/>
      <c r="M130" s="5">
        <v>32883</v>
      </c>
      <c r="N130" s="5">
        <v>3108</v>
      </c>
      <c r="O130" s="5"/>
      <c r="P130" s="5">
        <v>3616</v>
      </c>
      <c r="Q130" s="5">
        <v>6128</v>
      </c>
      <c r="R130" s="5">
        <v>1249</v>
      </c>
      <c r="S130" s="5">
        <v>9301</v>
      </c>
      <c r="T130" s="5">
        <v>13649</v>
      </c>
      <c r="U130" s="5"/>
      <c r="V130" s="5"/>
      <c r="W130" s="5">
        <v>2348</v>
      </c>
      <c r="X130" s="5">
        <v>0</v>
      </c>
      <c r="Y130" s="5">
        <v>708</v>
      </c>
      <c r="Z130" s="5">
        <v>36</v>
      </c>
      <c r="AA130" s="155"/>
      <c r="AB130" s="5">
        <v>23</v>
      </c>
      <c r="AC130" s="5">
        <v>0</v>
      </c>
      <c r="AD130" s="5">
        <v>15</v>
      </c>
      <c r="AE130" s="5">
        <v>28</v>
      </c>
      <c r="AF130" s="5">
        <v>34</v>
      </c>
      <c r="AG130" s="5">
        <v>62</v>
      </c>
      <c r="AH130" s="5"/>
      <c r="AI130" s="5"/>
      <c r="AJ130" s="5">
        <v>14</v>
      </c>
      <c r="AK130" s="5">
        <v>0</v>
      </c>
      <c r="AL130" s="5">
        <v>81177</v>
      </c>
      <c r="AM130" s="5">
        <v>3522</v>
      </c>
      <c r="AN130" s="5">
        <v>7623</v>
      </c>
      <c r="AO130" s="5">
        <v>21</v>
      </c>
      <c r="AP130" s="5">
        <v>6</v>
      </c>
      <c r="AQ130" s="5">
        <v>0</v>
      </c>
      <c r="AR130" s="5">
        <v>0</v>
      </c>
      <c r="AS130" s="5">
        <v>1699</v>
      </c>
      <c r="AT130" s="5" t="s">
        <v>82</v>
      </c>
      <c r="AU130" s="5">
        <v>1704</v>
      </c>
      <c r="AV130" s="5">
        <v>1551</v>
      </c>
      <c r="AW130" s="5">
        <v>2690</v>
      </c>
      <c r="AX130" s="5">
        <v>8970</v>
      </c>
      <c r="AY130" s="155"/>
      <c r="AZ130" s="155"/>
      <c r="BA130" s="155">
        <v>0</v>
      </c>
      <c r="BB130" s="155"/>
      <c r="BC130" s="5">
        <v>802</v>
      </c>
      <c r="BD130" s="5"/>
      <c r="BE130" s="5">
        <v>31211</v>
      </c>
      <c r="BF130" s="5">
        <v>74722</v>
      </c>
      <c r="BG130" s="5">
        <v>290</v>
      </c>
      <c r="BH130" s="5">
        <v>1035</v>
      </c>
      <c r="BI130" s="5">
        <v>1195</v>
      </c>
      <c r="BJ130" s="5">
        <v>5563</v>
      </c>
      <c r="BK130" s="5">
        <v>64</v>
      </c>
      <c r="BL130" s="5">
        <v>3017</v>
      </c>
      <c r="BM130" s="5"/>
      <c r="BN130" s="5">
        <v>400</v>
      </c>
      <c r="BO130" s="5">
        <v>41</v>
      </c>
      <c r="BP130" s="5">
        <v>0</v>
      </c>
      <c r="BQ130" s="5">
        <v>12132</v>
      </c>
      <c r="BR130" s="5">
        <v>15062</v>
      </c>
      <c r="BS130" s="5">
        <v>25</v>
      </c>
      <c r="BT130" s="5">
        <v>485</v>
      </c>
      <c r="BU130" s="5">
        <v>465</v>
      </c>
      <c r="BV130" s="5"/>
      <c r="BW130" s="5">
        <v>8</v>
      </c>
      <c r="BX130" s="5">
        <v>227</v>
      </c>
      <c r="BY130" s="5"/>
      <c r="BZ130" s="5">
        <v>261</v>
      </c>
      <c r="CA130" s="5">
        <v>0</v>
      </c>
      <c r="CB130" s="5">
        <v>0</v>
      </c>
      <c r="CC130" s="5">
        <v>12631</v>
      </c>
      <c r="CD130" s="5">
        <v>59189</v>
      </c>
      <c r="CE130" s="5">
        <v>84315</v>
      </c>
      <c r="CF130" s="5">
        <v>14433</v>
      </c>
      <c r="CG130" s="5">
        <v>0</v>
      </c>
      <c r="CH130" s="5">
        <v>0</v>
      </c>
      <c r="CI130" s="5">
        <v>67</v>
      </c>
      <c r="CJ130" s="5">
        <v>92</v>
      </c>
      <c r="CK130" s="5">
        <v>222</v>
      </c>
      <c r="CL130" s="5"/>
      <c r="CM130" s="5"/>
      <c r="CN130" s="5"/>
      <c r="CO130" s="5"/>
      <c r="CP130" s="5"/>
      <c r="CQ130" s="5"/>
      <c r="CR130" s="5"/>
      <c r="CS130" s="5"/>
      <c r="CT130" s="5" t="s">
        <v>82</v>
      </c>
      <c r="CU130" s="5" t="s">
        <v>82</v>
      </c>
      <c r="CV130" s="5" t="s">
        <v>82</v>
      </c>
      <c r="CW130" s="5">
        <v>0</v>
      </c>
      <c r="CX130" s="5">
        <v>0</v>
      </c>
      <c r="CY130" s="5">
        <v>0</v>
      </c>
      <c r="DA130" s="6"/>
      <c r="DD130" s="6">
        <f t="shared" si="19"/>
        <v>317152</v>
      </c>
      <c r="DE130" s="6">
        <f t="shared" si="20"/>
        <v>182967</v>
      </c>
      <c r="DF130" s="16">
        <f t="shared" si="21"/>
        <v>500119</v>
      </c>
      <c r="DK130" s="6">
        <f t="shared" si="22"/>
        <v>58633</v>
      </c>
      <c r="DL130" s="6">
        <f t="shared" si="23"/>
        <v>94024</v>
      </c>
      <c r="DM130" s="6">
        <f t="shared" si="33"/>
        <v>13649</v>
      </c>
      <c r="DN130" s="6">
        <f t="shared" si="34"/>
        <v>16661</v>
      </c>
      <c r="DO130" s="6">
        <f t="shared" si="24"/>
        <v>250094</v>
      </c>
      <c r="DP130" s="6">
        <f t="shared" si="32"/>
        <v>45263</v>
      </c>
      <c r="DQ130" s="6"/>
      <c r="DR130" s="6">
        <f t="shared" si="25"/>
        <v>12698</v>
      </c>
      <c r="DS130" s="6">
        <f t="shared" si="26"/>
        <v>0</v>
      </c>
      <c r="DT130" s="6">
        <f t="shared" si="27"/>
        <v>9097</v>
      </c>
      <c r="DU130" s="6"/>
      <c r="DV130" s="6"/>
      <c r="DW130" s="6">
        <f t="shared" si="28"/>
        <v>500119</v>
      </c>
      <c r="DY130" s="6">
        <f t="shared" si="29"/>
        <v>259191</v>
      </c>
      <c r="DZ130" s="6">
        <f t="shared" si="30"/>
        <v>0</v>
      </c>
      <c r="EB130" s="6">
        <f t="shared" si="31"/>
        <v>500119</v>
      </c>
      <c r="EC130" s="6"/>
      <c r="ED130" s="6"/>
      <c r="EF130" s="6"/>
      <c r="EG130" s="6"/>
    </row>
    <row r="131" spans="2:137" ht="14">
      <c r="B131" s="4">
        <v>35947</v>
      </c>
      <c r="C131" s="5">
        <v>0</v>
      </c>
      <c r="D131" s="5">
        <v>0</v>
      </c>
      <c r="E131" s="5">
        <v>0</v>
      </c>
      <c r="F131" s="5" t="s">
        <v>82</v>
      </c>
      <c r="G131" s="5" t="s">
        <v>82</v>
      </c>
      <c r="H131" s="5">
        <v>0</v>
      </c>
      <c r="I131" s="5">
        <v>0</v>
      </c>
      <c r="J131" s="5">
        <v>0</v>
      </c>
      <c r="K131" s="5">
        <v>0</v>
      </c>
      <c r="L131" s="5"/>
      <c r="M131" s="5">
        <v>32883</v>
      </c>
      <c r="N131" s="5">
        <v>3126</v>
      </c>
      <c r="O131" s="5"/>
      <c r="P131" s="5">
        <v>3532</v>
      </c>
      <c r="Q131" s="5">
        <v>6165</v>
      </c>
      <c r="R131" s="5">
        <v>1235</v>
      </c>
      <c r="S131" s="5">
        <v>9355</v>
      </c>
      <c r="T131" s="5">
        <v>13610</v>
      </c>
      <c r="U131" s="5"/>
      <c r="V131" s="5"/>
      <c r="W131" s="5">
        <v>2291</v>
      </c>
      <c r="X131" s="5">
        <v>0</v>
      </c>
      <c r="Y131" s="5">
        <v>703</v>
      </c>
      <c r="Z131" s="5">
        <v>36</v>
      </c>
      <c r="AA131" s="155"/>
      <c r="AB131" s="5">
        <v>22</v>
      </c>
      <c r="AC131" s="5">
        <v>0</v>
      </c>
      <c r="AD131" s="5">
        <v>14</v>
      </c>
      <c r="AE131" s="5">
        <v>29</v>
      </c>
      <c r="AF131" s="5">
        <v>34</v>
      </c>
      <c r="AG131" s="5">
        <v>59</v>
      </c>
      <c r="AH131" s="5"/>
      <c r="AI131" s="5"/>
      <c r="AJ131" s="5">
        <v>17</v>
      </c>
      <c r="AK131" s="5">
        <v>0</v>
      </c>
      <c r="AL131" s="5">
        <v>81192</v>
      </c>
      <c r="AM131" s="5">
        <v>3491</v>
      </c>
      <c r="AN131" s="5">
        <v>7649</v>
      </c>
      <c r="AO131" s="5">
        <v>20</v>
      </c>
      <c r="AP131" s="5">
        <v>6</v>
      </c>
      <c r="AQ131" s="5">
        <v>10</v>
      </c>
      <c r="AR131" s="5">
        <v>10</v>
      </c>
      <c r="AS131" s="5">
        <v>1731</v>
      </c>
      <c r="AT131" s="5" t="s">
        <v>82</v>
      </c>
      <c r="AU131" s="5">
        <v>1704</v>
      </c>
      <c r="AV131" s="5">
        <v>1569</v>
      </c>
      <c r="AW131" s="5">
        <v>2693</v>
      </c>
      <c r="AX131" s="5">
        <v>8974</v>
      </c>
      <c r="AY131" s="155"/>
      <c r="AZ131" s="155"/>
      <c r="BA131" s="155">
        <v>0</v>
      </c>
      <c r="BB131" s="155"/>
      <c r="BC131" s="5">
        <v>803</v>
      </c>
      <c r="BD131" s="5"/>
      <c r="BE131" s="5">
        <v>30683</v>
      </c>
      <c r="BF131" s="5">
        <v>73538</v>
      </c>
      <c r="BG131" s="5">
        <v>281</v>
      </c>
      <c r="BH131" s="5">
        <v>1010</v>
      </c>
      <c r="BI131" s="5">
        <v>1177</v>
      </c>
      <c r="BJ131" s="5">
        <v>5588</v>
      </c>
      <c r="BK131" s="5">
        <v>72</v>
      </c>
      <c r="BL131" s="5">
        <v>3001</v>
      </c>
      <c r="BM131" s="5"/>
      <c r="BN131" s="5">
        <v>435</v>
      </c>
      <c r="BO131" s="5">
        <v>34</v>
      </c>
      <c r="BP131" s="5">
        <v>0</v>
      </c>
      <c r="BQ131" s="5">
        <v>12346</v>
      </c>
      <c r="BR131" s="5">
        <v>15303</v>
      </c>
      <c r="BS131" s="5">
        <v>23</v>
      </c>
      <c r="BT131" s="5">
        <v>456</v>
      </c>
      <c r="BU131" s="5">
        <v>439</v>
      </c>
      <c r="BV131" s="5"/>
      <c r="BW131" s="5">
        <v>8</v>
      </c>
      <c r="BX131" s="5">
        <v>228</v>
      </c>
      <c r="BY131" s="5"/>
      <c r="BZ131" s="5">
        <v>249</v>
      </c>
      <c r="CA131" s="5">
        <v>0</v>
      </c>
      <c r="CB131" s="5">
        <v>0</v>
      </c>
      <c r="CC131" s="5">
        <v>12535</v>
      </c>
      <c r="CD131" s="5">
        <v>58900</v>
      </c>
      <c r="CE131" s="5">
        <v>84669</v>
      </c>
      <c r="CF131" s="5">
        <v>14324</v>
      </c>
      <c r="CG131" s="5">
        <v>0</v>
      </c>
      <c r="CH131" s="5">
        <v>0</v>
      </c>
      <c r="CI131" s="5">
        <v>63</v>
      </c>
      <c r="CJ131" s="5">
        <v>99</v>
      </c>
      <c r="CK131" s="5">
        <v>222</v>
      </c>
      <c r="CL131" s="5"/>
      <c r="CM131" s="5"/>
      <c r="CN131" s="5"/>
      <c r="CO131" s="5"/>
      <c r="CP131" s="5"/>
      <c r="CQ131" s="5"/>
      <c r="CR131" s="5"/>
      <c r="CS131" s="5"/>
      <c r="CT131" s="5" t="s">
        <v>82</v>
      </c>
      <c r="CU131" s="5" t="s">
        <v>82</v>
      </c>
      <c r="CV131" s="5" t="s">
        <v>82</v>
      </c>
      <c r="CW131" s="5">
        <v>0</v>
      </c>
      <c r="CX131" s="5">
        <v>0</v>
      </c>
      <c r="CY131" s="5">
        <v>0</v>
      </c>
      <c r="DA131" s="6"/>
      <c r="DD131" s="6">
        <f t="shared" si="19"/>
        <v>315683</v>
      </c>
      <c r="DE131" s="6">
        <f t="shared" si="20"/>
        <v>182963</v>
      </c>
      <c r="DF131" s="16">
        <f t="shared" si="21"/>
        <v>498646</v>
      </c>
      <c r="DK131" s="6">
        <f t="shared" si="22"/>
        <v>58587</v>
      </c>
      <c r="DL131" s="6">
        <f t="shared" si="23"/>
        <v>94058</v>
      </c>
      <c r="DM131" s="6">
        <f t="shared" si="33"/>
        <v>13610</v>
      </c>
      <c r="DN131" s="6">
        <f t="shared" si="34"/>
        <v>16708</v>
      </c>
      <c r="DO131" s="6">
        <f t="shared" si="24"/>
        <v>249057</v>
      </c>
      <c r="DP131" s="6">
        <f t="shared" si="32"/>
        <v>44930</v>
      </c>
      <c r="DQ131" s="6"/>
      <c r="DR131" s="6">
        <f t="shared" si="25"/>
        <v>12598</v>
      </c>
      <c r="DS131" s="6">
        <f t="shared" si="26"/>
        <v>0</v>
      </c>
      <c r="DT131" s="6">
        <f t="shared" si="27"/>
        <v>9098</v>
      </c>
      <c r="DU131" s="6"/>
      <c r="DV131" s="6"/>
      <c r="DW131" s="6">
        <f t="shared" si="28"/>
        <v>498646</v>
      </c>
      <c r="DY131" s="6">
        <f t="shared" si="29"/>
        <v>258155</v>
      </c>
      <c r="DZ131" s="6">
        <f t="shared" si="30"/>
        <v>0</v>
      </c>
      <c r="EB131" s="6">
        <f t="shared" si="31"/>
        <v>498646</v>
      </c>
      <c r="EC131" s="6"/>
      <c r="ED131" s="6"/>
      <c r="EF131" s="6"/>
      <c r="EG131" s="6"/>
    </row>
    <row r="132" spans="2:137" ht="14">
      <c r="B132" s="4">
        <v>35977</v>
      </c>
      <c r="C132" s="5">
        <v>0</v>
      </c>
      <c r="D132" s="5">
        <v>0</v>
      </c>
      <c r="E132" s="5">
        <v>0</v>
      </c>
      <c r="F132" s="5" t="s">
        <v>82</v>
      </c>
      <c r="G132" s="5" t="s">
        <v>82</v>
      </c>
      <c r="H132" s="5">
        <v>0</v>
      </c>
      <c r="I132" s="5">
        <v>0</v>
      </c>
      <c r="J132" s="5">
        <v>0</v>
      </c>
      <c r="K132" s="5">
        <v>0</v>
      </c>
      <c r="L132" s="5"/>
      <c r="M132" s="5">
        <v>32857</v>
      </c>
      <c r="N132" s="5">
        <v>3108</v>
      </c>
      <c r="O132" s="5"/>
      <c r="P132" s="5">
        <v>3482</v>
      </c>
      <c r="Q132" s="5">
        <v>6255</v>
      </c>
      <c r="R132" s="5">
        <v>1213</v>
      </c>
      <c r="S132" s="5">
        <v>9398</v>
      </c>
      <c r="T132" s="5">
        <v>13643</v>
      </c>
      <c r="U132" s="5"/>
      <c r="V132" s="5"/>
      <c r="W132" s="5">
        <v>2270</v>
      </c>
      <c r="X132" s="5">
        <v>0</v>
      </c>
      <c r="Y132" s="5">
        <v>698</v>
      </c>
      <c r="Z132" s="5">
        <v>37</v>
      </c>
      <c r="AA132" s="155"/>
      <c r="AB132" s="5">
        <v>25</v>
      </c>
      <c r="AC132" s="5">
        <v>0</v>
      </c>
      <c r="AD132" s="5">
        <v>13</v>
      </c>
      <c r="AE132" s="5">
        <v>27</v>
      </c>
      <c r="AF132" s="5">
        <v>33</v>
      </c>
      <c r="AG132" s="5">
        <v>57</v>
      </c>
      <c r="AH132" s="5"/>
      <c r="AI132" s="5"/>
      <c r="AJ132" s="5">
        <v>15</v>
      </c>
      <c r="AK132" s="5">
        <v>0</v>
      </c>
      <c r="AL132" s="5">
        <v>81152</v>
      </c>
      <c r="AM132" s="5">
        <v>3485</v>
      </c>
      <c r="AN132" s="5">
        <v>7674</v>
      </c>
      <c r="AO132" s="5">
        <v>21</v>
      </c>
      <c r="AP132" s="5">
        <v>7</v>
      </c>
      <c r="AQ132" s="5">
        <v>13</v>
      </c>
      <c r="AR132" s="5">
        <v>11</v>
      </c>
      <c r="AS132" s="5">
        <v>1716</v>
      </c>
      <c r="AT132" s="5" t="s">
        <v>82</v>
      </c>
      <c r="AU132" s="5">
        <v>1727</v>
      </c>
      <c r="AV132" s="5">
        <v>1566</v>
      </c>
      <c r="AW132" s="5">
        <v>2707</v>
      </c>
      <c r="AX132" s="5">
        <v>8951</v>
      </c>
      <c r="AY132" s="155"/>
      <c r="AZ132" s="155"/>
      <c r="BA132" s="155">
        <v>0</v>
      </c>
      <c r="BB132" s="155"/>
      <c r="BC132" s="5">
        <v>812</v>
      </c>
      <c r="BD132" s="5"/>
      <c r="BE132" s="5">
        <v>29874</v>
      </c>
      <c r="BF132" s="5">
        <v>71839</v>
      </c>
      <c r="BG132" s="5">
        <v>279</v>
      </c>
      <c r="BH132" s="5">
        <v>985</v>
      </c>
      <c r="BI132" s="5">
        <v>1159</v>
      </c>
      <c r="BJ132" s="5">
        <v>5628</v>
      </c>
      <c r="BK132" s="5">
        <v>65</v>
      </c>
      <c r="BL132" s="5">
        <v>3015</v>
      </c>
      <c r="BM132" s="5"/>
      <c r="BN132" s="5">
        <v>423</v>
      </c>
      <c r="BO132" s="5">
        <v>33</v>
      </c>
      <c r="BP132" s="5">
        <v>0</v>
      </c>
      <c r="BQ132" s="5">
        <v>12592</v>
      </c>
      <c r="BR132" s="5">
        <v>15447</v>
      </c>
      <c r="BS132" s="5">
        <v>22</v>
      </c>
      <c r="BT132" s="5">
        <v>453</v>
      </c>
      <c r="BU132" s="5">
        <v>428</v>
      </c>
      <c r="BV132" s="5"/>
      <c r="BW132" s="5">
        <v>6</v>
      </c>
      <c r="BX132" s="5">
        <v>226</v>
      </c>
      <c r="BY132" s="5"/>
      <c r="BZ132" s="5">
        <v>244</v>
      </c>
      <c r="CA132" s="5">
        <v>0</v>
      </c>
      <c r="CB132" s="5">
        <v>0</v>
      </c>
      <c r="CC132" s="5">
        <v>12602</v>
      </c>
      <c r="CD132" s="5">
        <v>58487</v>
      </c>
      <c r="CE132" s="5">
        <v>84705</v>
      </c>
      <c r="CF132" s="5">
        <v>14297</v>
      </c>
      <c r="CG132" s="5">
        <v>0</v>
      </c>
      <c r="CH132" s="5">
        <v>0</v>
      </c>
      <c r="CI132" s="5">
        <v>63</v>
      </c>
      <c r="CJ132" s="5">
        <v>92</v>
      </c>
      <c r="CK132" s="5">
        <v>224</v>
      </c>
      <c r="CL132" s="5"/>
      <c r="CM132" s="5"/>
      <c r="CN132" s="5"/>
      <c r="CO132" s="5"/>
      <c r="CP132" s="5"/>
      <c r="CQ132" s="5"/>
      <c r="CR132" s="5"/>
      <c r="CS132" s="5"/>
      <c r="CT132" s="5" t="s">
        <v>82</v>
      </c>
      <c r="CU132" s="5" t="s">
        <v>82</v>
      </c>
      <c r="CV132" s="5" t="s">
        <v>82</v>
      </c>
      <c r="CW132" s="5">
        <v>0</v>
      </c>
      <c r="CX132" s="5">
        <v>0</v>
      </c>
      <c r="CY132" s="5">
        <v>0</v>
      </c>
      <c r="DA132" s="6"/>
      <c r="DD132" s="6">
        <f t="shared" si="19"/>
        <v>313188</v>
      </c>
      <c r="DE132" s="6">
        <f t="shared" si="20"/>
        <v>182973</v>
      </c>
      <c r="DF132" s="16">
        <f t="shared" si="21"/>
        <v>496161</v>
      </c>
      <c r="DK132" s="6">
        <f t="shared" si="22"/>
        <v>58583</v>
      </c>
      <c r="DL132" s="6">
        <f t="shared" si="23"/>
        <v>94034</v>
      </c>
      <c r="DM132" s="6">
        <f t="shared" si="33"/>
        <v>13643</v>
      </c>
      <c r="DN132" s="6">
        <f t="shared" si="34"/>
        <v>16713</v>
      </c>
      <c r="DO132" s="6">
        <f t="shared" si="24"/>
        <v>247048</v>
      </c>
      <c r="DP132" s="6">
        <f t="shared" si="32"/>
        <v>44327</v>
      </c>
      <c r="DQ132" s="6"/>
      <c r="DR132" s="6">
        <f t="shared" si="25"/>
        <v>12665</v>
      </c>
      <c r="DS132" s="6">
        <f t="shared" si="26"/>
        <v>0</v>
      </c>
      <c r="DT132" s="6">
        <f t="shared" si="27"/>
        <v>9148</v>
      </c>
      <c r="DU132" s="6"/>
      <c r="DV132" s="6"/>
      <c r="DW132" s="6">
        <f t="shared" si="28"/>
        <v>496161</v>
      </c>
      <c r="DY132" s="6">
        <f t="shared" si="29"/>
        <v>256196</v>
      </c>
      <c r="DZ132" s="6">
        <f t="shared" si="30"/>
        <v>0</v>
      </c>
      <c r="EB132" s="6">
        <f t="shared" si="31"/>
        <v>496161</v>
      </c>
      <c r="EC132" s="6"/>
      <c r="ED132" s="6"/>
      <c r="EF132" s="6"/>
      <c r="EG132" s="6"/>
    </row>
    <row r="133" spans="2:137" ht="14">
      <c r="B133" s="4">
        <v>36008</v>
      </c>
      <c r="C133" s="5">
        <v>0</v>
      </c>
      <c r="D133" s="5">
        <v>0</v>
      </c>
      <c r="E133" s="5">
        <v>0</v>
      </c>
      <c r="F133" s="5" t="s">
        <v>82</v>
      </c>
      <c r="G133" s="5" t="s">
        <v>82</v>
      </c>
      <c r="H133" s="5">
        <v>0</v>
      </c>
      <c r="I133" s="5">
        <v>0</v>
      </c>
      <c r="J133" s="5">
        <v>0</v>
      </c>
      <c r="K133" s="5">
        <v>0</v>
      </c>
      <c r="L133" s="5"/>
      <c r="M133" s="5">
        <v>32797</v>
      </c>
      <c r="N133" s="5">
        <v>3142</v>
      </c>
      <c r="O133" s="5"/>
      <c r="P133" s="5">
        <v>3451</v>
      </c>
      <c r="Q133" s="5">
        <v>6342</v>
      </c>
      <c r="R133" s="5">
        <v>1181</v>
      </c>
      <c r="S133" s="5">
        <v>9496</v>
      </c>
      <c r="T133" s="5">
        <v>13602</v>
      </c>
      <c r="U133" s="5"/>
      <c r="V133" s="5"/>
      <c r="W133" s="5">
        <v>2226</v>
      </c>
      <c r="X133" s="5">
        <v>0</v>
      </c>
      <c r="Y133" s="5">
        <v>689</v>
      </c>
      <c r="Z133" s="5">
        <v>40</v>
      </c>
      <c r="AA133" s="155"/>
      <c r="AB133" s="5">
        <v>23</v>
      </c>
      <c r="AC133" s="5">
        <v>0</v>
      </c>
      <c r="AD133" s="5">
        <v>15</v>
      </c>
      <c r="AE133" s="5">
        <v>29</v>
      </c>
      <c r="AF133" s="5">
        <v>33</v>
      </c>
      <c r="AG133" s="5">
        <v>57</v>
      </c>
      <c r="AH133" s="5"/>
      <c r="AI133" s="5"/>
      <c r="AJ133" s="5">
        <v>16</v>
      </c>
      <c r="AK133" s="5">
        <v>0</v>
      </c>
      <c r="AL133" s="5">
        <v>81388</v>
      </c>
      <c r="AM133" s="5">
        <v>3484</v>
      </c>
      <c r="AN133" s="5">
        <v>7752</v>
      </c>
      <c r="AO133" s="5">
        <v>28</v>
      </c>
      <c r="AP133" s="5">
        <v>6</v>
      </c>
      <c r="AQ133" s="5">
        <v>17</v>
      </c>
      <c r="AR133" s="5">
        <v>11</v>
      </c>
      <c r="AS133" s="5">
        <v>1766</v>
      </c>
      <c r="AT133" s="5" t="s">
        <v>82</v>
      </c>
      <c r="AU133" s="5">
        <v>1764</v>
      </c>
      <c r="AV133" s="5">
        <v>1578</v>
      </c>
      <c r="AW133" s="5">
        <v>2701</v>
      </c>
      <c r="AX133" s="5">
        <v>9029</v>
      </c>
      <c r="AY133" s="155"/>
      <c r="AZ133" s="155"/>
      <c r="BA133" s="155">
        <v>0</v>
      </c>
      <c r="BB133" s="155"/>
      <c r="BC133" s="5">
        <v>808</v>
      </c>
      <c r="BD133" s="5"/>
      <c r="BE133" s="5">
        <v>29532</v>
      </c>
      <c r="BF133" s="5">
        <v>70997</v>
      </c>
      <c r="BG133" s="5">
        <v>285</v>
      </c>
      <c r="BH133" s="5">
        <v>976</v>
      </c>
      <c r="BI133" s="5">
        <v>1156</v>
      </c>
      <c r="BJ133" s="5">
        <v>5686</v>
      </c>
      <c r="BK133" s="5">
        <v>56</v>
      </c>
      <c r="BL133" s="5">
        <v>3042</v>
      </c>
      <c r="BM133" s="5"/>
      <c r="BN133" s="5">
        <v>454</v>
      </c>
      <c r="BO133" s="5">
        <v>31</v>
      </c>
      <c r="BP133" s="5">
        <v>0</v>
      </c>
      <c r="BQ133" s="5">
        <v>12805</v>
      </c>
      <c r="BR133" s="5">
        <v>15780</v>
      </c>
      <c r="BS133" s="5">
        <v>23</v>
      </c>
      <c r="BT133" s="5">
        <v>470</v>
      </c>
      <c r="BU133" s="5">
        <v>466</v>
      </c>
      <c r="BV133" s="5"/>
      <c r="BW133" s="5">
        <v>6</v>
      </c>
      <c r="BX133" s="5">
        <v>235</v>
      </c>
      <c r="BY133" s="5"/>
      <c r="BZ133" s="5">
        <v>232</v>
      </c>
      <c r="CA133" s="5">
        <v>0</v>
      </c>
      <c r="CB133" s="5">
        <v>0</v>
      </c>
      <c r="CC133" s="5">
        <v>12699</v>
      </c>
      <c r="CD133" s="5">
        <v>58236</v>
      </c>
      <c r="CE133" s="5">
        <v>84424</v>
      </c>
      <c r="CF133" s="5">
        <v>14427</v>
      </c>
      <c r="CG133" s="5">
        <v>0</v>
      </c>
      <c r="CH133" s="5">
        <v>0</v>
      </c>
      <c r="CI133" s="5">
        <v>71</v>
      </c>
      <c r="CJ133" s="5">
        <v>97</v>
      </c>
      <c r="CK133" s="5">
        <v>217</v>
      </c>
      <c r="CL133" s="5"/>
      <c r="CM133" s="5"/>
      <c r="CN133" s="5"/>
      <c r="CO133" s="5"/>
      <c r="CP133" s="5"/>
      <c r="CQ133" s="5"/>
      <c r="CR133" s="5"/>
      <c r="CS133" s="5"/>
      <c r="CT133" s="5" t="s">
        <v>82</v>
      </c>
      <c r="CU133" s="5" t="s">
        <v>82</v>
      </c>
      <c r="CV133" s="5" t="s">
        <v>82</v>
      </c>
      <c r="CW133" s="5">
        <v>0</v>
      </c>
      <c r="CX133" s="5">
        <v>0</v>
      </c>
      <c r="CY133" s="5">
        <v>0</v>
      </c>
      <c r="DA133" s="6"/>
      <c r="DD133" s="6">
        <f t="shared" si="19"/>
        <v>312403</v>
      </c>
      <c r="DE133" s="6">
        <f t="shared" si="20"/>
        <v>183471</v>
      </c>
      <c r="DF133" s="16">
        <f t="shared" si="21"/>
        <v>495874</v>
      </c>
      <c r="DK133" s="6">
        <f t="shared" si="22"/>
        <v>58635</v>
      </c>
      <c r="DL133" s="6">
        <f t="shared" si="23"/>
        <v>94362</v>
      </c>
      <c r="DM133" s="6">
        <f t="shared" si="33"/>
        <v>13602</v>
      </c>
      <c r="DN133" s="6">
        <f t="shared" si="34"/>
        <v>16872</v>
      </c>
      <c r="DO133" s="6">
        <f t="shared" si="24"/>
        <v>246148</v>
      </c>
      <c r="DP133" s="6">
        <f t="shared" si="32"/>
        <v>44237</v>
      </c>
      <c r="DQ133" s="6"/>
      <c r="DR133" s="6">
        <f t="shared" si="25"/>
        <v>12770</v>
      </c>
      <c r="DS133" s="6">
        <f t="shared" si="26"/>
        <v>0</v>
      </c>
      <c r="DT133" s="6">
        <f t="shared" si="27"/>
        <v>9248</v>
      </c>
      <c r="DU133" s="6"/>
      <c r="DV133" s="6"/>
      <c r="DW133" s="6">
        <f t="shared" si="28"/>
        <v>495874</v>
      </c>
      <c r="DY133" s="6">
        <f t="shared" si="29"/>
        <v>255396</v>
      </c>
      <c r="DZ133" s="6">
        <f t="shared" si="30"/>
        <v>0</v>
      </c>
      <c r="EB133" s="6">
        <f t="shared" si="31"/>
        <v>495874</v>
      </c>
      <c r="EC133" s="6"/>
      <c r="ED133" s="6"/>
      <c r="EF133" s="6"/>
      <c r="EG133" s="6"/>
    </row>
    <row r="134" spans="2:137" ht="14">
      <c r="B134" s="4">
        <v>36039</v>
      </c>
      <c r="C134" s="5">
        <v>0</v>
      </c>
      <c r="D134" s="5">
        <v>0</v>
      </c>
      <c r="E134" s="5">
        <v>0</v>
      </c>
      <c r="F134" s="5" t="s">
        <v>82</v>
      </c>
      <c r="G134" s="5" t="s">
        <v>82</v>
      </c>
      <c r="H134" s="5">
        <v>0</v>
      </c>
      <c r="I134" s="5">
        <v>0</v>
      </c>
      <c r="J134" s="5">
        <v>0</v>
      </c>
      <c r="K134" s="5">
        <v>0</v>
      </c>
      <c r="L134" s="5"/>
      <c r="M134" s="5">
        <v>32771</v>
      </c>
      <c r="N134" s="5">
        <v>3167</v>
      </c>
      <c r="O134" s="5"/>
      <c r="P134" s="5">
        <v>3457</v>
      </c>
      <c r="Q134" s="5">
        <v>6428</v>
      </c>
      <c r="R134" s="5">
        <v>1146</v>
      </c>
      <c r="S134" s="5">
        <v>9558</v>
      </c>
      <c r="T134" s="5">
        <v>13602</v>
      </c>
      <c r="U134" s="5"/>
      <c r="V134" s="5"/>
      <c r="W134" s="5">
        <v>2188</v>
      </c>
      <c r="X134" s="5">
        <v>0</v>
      </c>
      <c r="Y134" s="5">
        <v>683</v>
      </c>
      <c r="Z134" s="5">
        <v>38</v>
      </c>
      <c r="AA134" s="155"/>
      <c r="AB134" s="5">
        <v>23</v>
      </c>
      <c r="AC134" s="5">
        <v>0</v>
      </c>
      <c r="AD134" s="5">
        <v>14</v>
      </c>
      <c r="AE134" s="5">
        <v>29</v>
      </c>
      <c r="AF134" s="5">
        <v>34</v>
      </c>
      <c r="AG134" s="5">
        <v>57</v>
      </c>
      <c r="AH134" s="5"/>
      <c r="AI134" s="5"/>
      <c r="AJ134" s="5">
        <v>15</v>
      </c>
      <c r="AK134" s="5">
        <v>0</v>
      </c>
      <c r="AL134" s="5">
        <v>81385</v>
      </c>
      <c r="AM134" s="5">
        <v>3493</v>
      </c>
      <c r="AN134" s="5">
        <v>7807</v>
      </c>
      <c r="AO134" s="5">
        <v>29</v>
      </c>
      <c r="AP134" s="5">
        <v>7</v>
      </c>
      <c r="AQ134" s="5">
        <v>590</v>
      </c>
      <c r="AR134" s="5">
        <v>352</v>
      </c>
      <c r="AS134" s="5">
        <v>1712</v>
      </c>
      <c r="AT134" s="5" t="s">
        <v>82</v>
      </c>
      <c r="AU134" s="5">
        <v>1778</v>
      </c>
      <c r="AV134" s="5">
        <v>1594</v>
      </c>
      <c r="AW134" s="5">
        <v>2705</v>
      </c>
      <c r="AX134" s="5">
        <v>9040</v>
      </c>
      <c r="AY134" s="155"/>
      <c r="AZ134" s="155"/>
      <c r="BA134" s="155">
        <v>0</v>
      </c>
      <c r="BB134" s="155"/>
      <c r="BC134" s="5">
        <v>805</v>
      </c>
      <c r="BD134" s="5"/>
      <c r="BE134" s="5">
        <v>28921</v>
      </c>
      <c r="BF134" s="5">
        <v>69555</v>
      </c>
      <c r="BG134" s="5">
        <v>290</v>
      </c>
      <c r="BH134" s="5">
        <v>966</v>
      </c>
      <c r="BI134" s="5">
        <v>1143</v>
      </c>
      <c r="BJ134" s="5">
        <v>5727</v>
      </c>
      <c r="BK134" s="5">
        <v>46</v>
      </c>
      <c r="BL134" s="5">
        <v>3008</v>
      </c>
      <c r="BM134" s="5"/>
      <c r="BN134" s="5">
        <v>458</v>
      </c>
      <c r="BO134" s="5">
        <v>30</v>
      </c>
      <c r="BP134" s="5">
        <v>0</v>
      </c>
      <c r="BQ134" s="5">
        <v>12782</v>
      </c>
      <c r="BR134" s="5">
        <v>15826</v>
      </c>
      <c r="BS134" s="5">
        <v>21</v>
      </c>
      <c r="BT134" s="5">
        <v>476</v>
      </c>
      <c r="BU134" s="5">
        <v>471</v>
      </c>
      <c r="BV134" s="5"/>
      <c r="BW134" s="5">
        <v>7</v>
      </c>
      <c r="BX134" s="5">
        <v>220</v>
      </c>
      <c r="BY134" s="5"/>
      <c r="BZ134" s="5">
        <v>224</v>
      </c>
      <c r="CA134" s="5">
        <v>0</v>
      </c>
      <c r="CB134" s="5">
        <v>0</v>
      </c>
      <c r="CC134" s="5">
        <v>12579</v>
      </c>
      <c r="CD134" s="5">
        <v>57982</v>
      </c>
      <c r="CE134" s="5">
        <v>84189</v>
      </c>
      <c r="CF134" s="5">
        <v>14397</v>
      </c>
      <c r="CG134" s="5">
        <v>0</v>
      </c>
      <c r="CH134" s="5">
        <v>0</v>
      </c>
      <c r="CI134" s="5">
        <v>70</v>
      </c>
      <c r="CJ134" s="5">
        <v>97</v>
      </c>
      <c r="CK134" s="5">
        <v>210</v>
      </c>
      <c r="CL134" s="5"/>
      <c r="CM134" s="5"/>
      <c r="CN134" s="5"/>
      <c r="CO134" s="5"/>
      <c r="CP134" s="5"/>
      <c r="CQ134" s="5"/>
      <c r="CR134" s="5"/>
      <c r="CS134" s="5"/>
      <c r="CT134" s="5" t="s">
        <v>82</v>
      </c>
      <c r="CU134" s="5" t="s">
        <v>82</v>
      </c>
      <c r="CV134" s="5" t="s">
        <v>82</v>
      </c>
      <c r="CW134" s="5">
        <v>0</v>
      </c>
      <c r="CX134" s="5">
        <v>0</v>
      </c>
      <c r="CY134" s="5">
        <v>0</v>
      </c>
      <c r="DA134" s="6"/>
      <c r="DD134" s="6">
        <f t="shared" si="19"/>
        <v>309695</v>
      </c>
      <c r="DE134" s="6">
        <f t="shared" si="20"/>
        <v>184507</v>
      </c>
      <c r="DF134" s="16">
        <f t="shared" si="21"/>
        <v>494202</v>
      </c>
      <c r="DK134" s="6">
        <f t="shared" si="22"/>
        <v>58715</v>
      </c>
      <c r="DL134" s="6">
        <f t="shared" si="23"/>
        <v>94337</v>
      </c>
      <c r="DM134" s="6">
        <f t="shared" si="33"/>
        <v>13602</v>
      </c>
      <c r="DN134" s="6">
        <f t="shared" si="34"/>
        <v>17853</v>
      </c>
      <c r="DO134" s="6">
        <f t="shared" si="24"/>
        <v>244198</v>
      </c>
      <c r="DP134" s="6">
        <f t="shared" si="32"/>
        <v>43603</v>
      </c>
      <c r="DQ134" s="6"/>
      <c r="DR134" s="6">
        <f t="shared" si="25"/>
        <v>12649</v>
      </c>
      <c r="DS134" s="6">
        <f t="shared" si="26"/>
        <v>0</v>
      </c>
      <c r="DT134" s="6">
        <f t="shared" si="27"/>
        <v>9245</v>
      </c>
      <c r="DU134" s="6"/>
      <c r="DV134" s="6"/>
      <c r="DW134" s="6">
        <f t="shared" si="28"/>
        <v>494202</v>
      </c>
      <c r="DY134" s="6">
        <f t="shared" si="29"/>
        <v>253443</v>
      </c>
      <c r="DZ134" s="6">
        <f t="shared" si="30"/>
        <v>0</v>
      </c>
      <c r="EB134" s="6">
        <f t="shared" si="31"/>
        <v>494202</v>
      </c>
      <c r="EC134" s="6"/>
      <c r="ED134" s="6"/>
      <c r="EF134" s="6"/>
      <c r="EG134" s="6"/>
    </row>
    <row r="135" spans="2:137" ht="14">
      <c r="B135" s="4">
        <v>36069</v>
      </c>
      <c r="C135" s="5">
        <v>0</v>
      </c>
      <c r="D135" s="5">
        <v>0</v>
      </c>
      <c r="E135" s="5">
        <v>0</v>
      </c>
      <c r="F135" s="5" t="s">
        <v>82</v>
      </c>
      <c r="G135" s="5" t="s">
        <v>82</v>
      </c>
      <c r="H135" s="5">
        <v>0</v>
      </c>
      <c r="I135" s="5">
        <v>0</v>
      </c>
      <c r="J135" s="5">
        <v>0</v>
      </c>
      <c r="K135" s="5">
        <v>0</v>
      </c>
      <c r="L135" s="5"/>
      <c r="M135" s="5">
        <v>32700</v>
      </c>
      <c r="N135" s="5">
        <v>3207</v>
      </c>
      <c r="O135" s="5"/>
      <c r="P135" s="5">
        <v>3471</v>
      </c>
      <c r="Q135" s="5">
        <v>6523</v>
      </c>
      <c r="R135" s="5">
        <v>1135</v>
      </c>
      <c r="S135" s="5">
        <v>9587</v>
      </c>
      <c r="T135" s="5">
        <v>13620</v>
      </c>
      <c r="U135" s="5"/>
      <c r="V135" s="5"/>
      <c r="W135" s="5">
        <v>2147</v>
      </c>
      <c r="X135" s="5">
        <v>0</v>
      </c>
      <c r="Y135" s="5">
        <v>670</v>
      </c>
      <c r="Z135" s="5">
        <v>37</v>
      </c>
      <c r="AA135" s="155"/>
      <c r="AB135" s="5">
        <v>24</v>
      </c>
      <c r="AC135" s="5">
        <v>0</v>
      </c>
      <c r="AD135" s="5">
        <v>14</v>
      </c>
      <c r="AE135" s="5">
        <v>26</v>
      </c>
      <c r="AF135" s="5">
        <v>33</v>
      </c>
      <c r="AG135" s="5">
        <v>59</v>
      </c>
      <c r="AH135" s="5"/>
      <c r="AI135" s="5"/>
      <c r="AJ135" s="5">
        <v>18</v>
      </c>
      <c r="AK135" s="5">
        <v>0</v>
      </c>
      <c r="AL135" s="5">
        <v>81258</v>
      </c>
      <c r="AM135" s="5">
        <v>3529</v>
      </c>
      <c r="AN135" s="5">
        <v>7874</v>
      </c>
      <c r="AO135" s="5">
        <v>27</v>
      </c>
      <c r="AP135" s="5">
        <v>6</v>
      </c>
      <c r="AQ135" s="5">
        <v>651</v>
      </c>
      <c r="AR135" s="5">
        <v>403</v>
      </c>
      <c r="AS135" s="5">
        <v>1772</v>
      </c>
      <c r="AT135" s="5" t="s">
        <v>82</v>
      </c>
      <c r="AU135" s="5">
        <v>1798</v>
      </c>
      <c r="AV135" s="5">
        <v>1604</v>
      </c>
      <c r="AW135" s="5">
        <v>2721</v>
      </c>
      <c r="AX135" s="5">
        <v>9098</v>
      </c>
      <c r="AY135" s="155"/>
      <c r="AZ135" s="155"/>
      <c r="BA135" s="155">
        <v>0</v>
      </c>
      <c r="BB135" s="155"/>
      <c r="BC135" s="5">
        <v>816</v>
      </c>
      <c r="BD135" s="5"/>
      <c r="BE135" s="5">
        <v>28392</v>
      </c>
      <c r="BF135" s="5">
        <v>68362</v>
      </c>
      <c r="BG135" s="5">
        <v>289</v>
      </c>
      <c r="BH135" s="5">
        <v>961</v>
      </c>
      <c r="BI135" s="5">
        <v>1134</v>
      </c>
      <c r="BJ135" s="5">
        <v>5750</v>
      </c>
      <c r="BK135" s="5">
        <v>53</v>
      </c>
      <c r="BL135" s="5">
        <v>3036</v>
      </c>
      <c r="BM135" s="5"/>
      <c r="BN135" s="5">
        <v>529</v>
      </c>
      <c r="BO135" s="5">
        <v>30</v>
      </c>
      <c r="BP135" s="5">
        <v>0</v>
      </c>
      <c r="BQ135" s="5">
        <v>12728</v>
      </c>
      <c r="BR135" s="5">
        <v>15516</v>
      </c>
      <c r="BS135" s="5">
        <v>23</v>
      </c>
      <c r="BT135" s="5">
        <v>454</v>
      </c>
      <c r="BU135" s="5">
        <v>465</v>
      </c>
      <c r="BV135" s="5"/>
      <c r="BW135" s="5">
        <v>7</v>
      </c>
      <c r="BX135" s="5">
        <v>220</v>
      </c>
      <c r="BY135" s="5"/>
      <c r="BZ135" s="5">
        <v>218</v>
      </c>
      <c r="CA135" s="5">
        <v>0</v>
      </c>
      <c r="CB135" s="5">
        <v>0</v>
      </c>
      <c r="CC135" s="5">
        <v>12495</v>
      </c>
      <c r="CD135" s="5">
        <v>57731</v>
      </c>
      <c r="CE135" s="5">
        <v>83740</v>
      </c>
      <c r="CF135" s="5">
        <v>14424</v>
      </c>
      <c r="CG135" s="5">
        <v>0</v>
      </c>
      <c r="CH135" s="5">
        <v>0</v>
      </c>
      <c r="CI135" s="5">
        <v>74</v>
      </c>
      <c r="CJ135" s="5">
        <v>93</v>
      </c>
      <c r="CK135" s="5">
        <v>205</v>
      </c>
      <c r="CL135" s="5"/>
      <c r="CM135" s="5"/>
      <c r="CN135" s="5"/>
      <c r="CO135" s="5"/>
      <c r="CP135" s="5"/>
      <c r="CQ135" s="5"/>
      <c r="CR135" s="5"/>
      <c r="CS135" s="5"/>
      <c r="CT135" s="5" t="s">
        <v>82</v>
      </c>
      <c r="CU135" s="5" t="s">
        <v>82</v>
      </c>
      <c r="CV135" s="5" t="s">
        <v>82</v>
      </c>
      <c r="CW135" s="5">
        <v>0</v>
      </c>
      <c r="CX135" s="5">
        <v>0</v>
      </c>
      <c r="CY135" s="5">
        <v>0</v>
      </c>
      <c r="DA135" s="6"/>
      <c r="DD135" s="6">
        <f t="shared" si="19"/>
        <v>306929</v>
      </c>
      <c r="DE135" s="6">
        <f t="shared" si="20"/>
        <v>184828</v>
      </c>
      <c r="DF135" s="16">
        <f t="shared" si="21"/>
        <v>491757</v>
      </c>
      <c r="DK135" s="6">
        <f t="shared" si="22"/>
        <v>58770</v>
      </c>
      <c r="DL135" s="6">
        <f t="shared" si="23"/>
        <v>94347</v>
      </c>
      <c r="DM135" s="6">
        <f t="shared" si="33"/>
        <v>13620</v>
      </c>
      <c r="DN135" s="6">
        <f t="shared" si="34"/>
        <v>18091</v>
      </c>
      <c r="DO135" s="6">
        <f t="shared" si="24"/>
        <v>242001</v>
      </c>
      <c r="DP135" s="6">
        <f t="shared" si="32"/>
        <v>43064</v>
      </c>
      <c r="DQ135" s="6"/>
      <c r="DR135" s="6">
        <f t="shared" si="25"/>
        <v>12569</v>
      </c>
      <c r="DS135" s="6">
        <f t="shared" si="26"/>
        <v>0</v>
      </c>
      <c r="DT135" s="6">
        <f t="shared" si="27"/>
        <v>9295</v>
      </c>
      <c r="DU135" s="6"/>
      <c r="DV135" s="6"/>
      <c r="DW135" s="6">
        <f t="shared" si="28"/>
        <v>491757</v>
      </c>
      <c r="DY135" s="6">
        <f t="shared" si="29"/>
        <v>251296</v>
      </c>
      <c r="DZ135" s="6">
        <f t="shared" si="30"/>
        <v>0</v>
      </c>
      <c r="EB135" s="6">
        <f t="shared" si="31"/>
        <v>491757</v>
      </c>
      <c r="EC135" s="6"/>
      <c r="ED135" s="6"/>
      <c r="EF135" s="6"/>
      <c r="EG135" s="6"/>
    </row>
    <row r="136" spans="2:137" ht="14">
      <c r="B136" s="4">
        <v>36100</v>
      </c>
      <c r="C136" s="5">
        <v>0</v>
      </c>
      <c r="D136" s="5">
        <v>0</v>
      </c>
      <c r="E136" s="5">
        <v>0</v>
      </c>
      <c r="F136" s="5" t="s">
        <v>82</v>
      </c>
      <c r="G136" s="5" t="s">
        <v>82</v>
      </c>
      <c r="H136" s="5">
        <v>0</v>
      </c>
      <c r="I136" s="5">
        <v>0</v>
      </c>
      <c r="J136" s="5">
        <v>0</v>
      </c>
      <c r="K136" s="5">
        <v>12</v>
      </c>
      <c r="L136" s="5"/>
      <c r="M136" s="5">
        <v>32601</v>
      </c>
      <c r="N136" s="5">
        <v>3221</v>
      </c>
      <c r="O136" s="5"/>
      <c r="P136" s="5">
        <v>3416</v>
      </c>
      <c r="Q136" s="5">
        <v>6532</v>
      </c>
      <c r="R136" s="5">
        <v>1139</v>
      </c>
      <c r="S136" s="5">
        <v>9665</v>
      </c>
      <c r="T136" s="5">
        <v>13620</v>
      </c>
      <c r="U136" s="5"/>
      <c r="V136" s="5"/>
      <c r="W136" s="5">
        <v>2096</v>
      </c>
      <c r="X136" s="5">
        <v>0</v>
      </c>
      <c r="Y136" s="5">
        <v>660</v>
      </c>
      <c r="Z136" s="5">
        <v>36</v>
      </c>
      <c r="AA136" s="155"/>
      <c r="AB136" s="5">
        <v>24</v>
      </c>
      <c r="AC136" s="5">
        <v>0</v>
      </c>
      <c r="AD136" s="5">
        <v>14</v>
      </c>
      <c r="AE136" s="5">
        <v>26</v>
      </c>
      <c r="AF136" s="5">
        <v>34</v>
      </c>
      <c r="AG136" s="5">
        <v>61</v>
      </c>
      <c r="AH136" s="5"/>
      <c r="AI136" s="5"/>
      <c r="AJ136" s="5">
        <v>16</v>
      </c>
      <c r="AK136" s="5">
        <v>0</v>
      </c>
      <c r="AL136" s="5">
        <v>81098</v>
      </c>
      <c r="AM136" s="5">
        <v>3535</v>
      </c>
      <c r="AN136" s="5">
        <v>7964</v>
      </c>
      <c r="AO136" s="5">
        <v>29</v>
      </c>
      <c r="AP136" s="5">
        <v>6</v>
      </c>
      <c r="AQ136" s="5">
        <v>717</v>
      </c>
      <c r="AR136" s="5">
        <v>474</v>
      </c>
      <c r="AS136" s="5">
        <v>1795</v>
      </c>
      <c r="AT136" s="5" t="s">
        <v>82</v>
      </c>
      <c r="AU136" s="5">
        <v>1820</v>
      </c>
      <c r="AV136" s="5">
        <v>1612</v>
      </c>
      <c r="AW136" s="5">
        <v>2745</v>
      </c>
      <c r="AX136" s="5">
        <v>9124</v>
      </c>
      <c r="AY136" s="155"/>
      <c r="AZ136" s="155"/>
      <c r="BA136" s="155">
        <v>0</v>
      </c>
      <c r="BB136" s="155"/>
      <c r="BC136" s="5">
        <v>832</v>
      </c>
      <c r="BD136" s="5"/>
      <c r="BE136" s="5">
        <v>28102</v>
      </c>
      <c r="BF136" s="5">
        <v>67534</v>
      </c>
      <c r="BG136" s="5">
        <v>297</v>
      </c>
      <c r="BH136" s="5">
        <v>968</v>
      </c>
      <c r="BI136" s="5">
        <v>1152</v>
      </c>
      <c r="BJ136" s="5">
        <v>5795</v>
      </c>
      <c r="BK136" s="5">
        <v>50</v>
      </c>
      <c r="BL136" s="5">
        <v>3052</v>
      </c>
      <c r="BM136" s="5"/>
      <c r="BN136" s="5">
        <v>593</v>
      </c>
      <c r="BO136" s="5">
        <v>30</v>
      </c>
      <c r="BP136" s="5">
        <v>0</v>
      </c>
      <c r="BQ136" s="5">
        <v>12917</v>
      </c>
      <c r="BR136" s="5">
        <v>15849</v>
      </c>
      <c r="BS136" s="5">
        <v>20</v>
      </c>
      <c r="BT136" s="5">
        <v>473</v>
      </c>
      <c r="BU136" s="5">
        <v>458</v>
      </c>
      <c r="BV136" s="5"/>
      <c r="BW136" s="5">
        <v>11</v>
      </c>
      <c r="BX136" s="5">
        <v>218</v>
      </c>
      <c r="BY136" s="5"/>
      <c r="BZ136" s="5">
        <v>199</v>
      </c>
      <c r="CA136" s="5">
        <v>0</v>
      </c>
      <c r="CB136" s="5">
        <v>0</v>
      </c>
      <c r="CC136" s="5">
        <v>12494</v>
      </c>
      <c r="CD136" s="5">
        <v>57809</v>
      </c>
      <c r="CE136" s="5">
        <v>83938</v>
      </c>
      <c r="CF136" s="5">
        <v>14420</v>
      </c>
      <c r="CG136" s="5">
        <v>0</v>
      </c>
      <c r="CH136" s="5">
        <v>0</v>
      </c>
      <c r="CI136" s="5">
        <v>71</v>
      </c>
      <c r="CJ136" s="5">
        <v>87</v>
      </c>
      <c r="CK136" s="5">
        <v>188</v>
      </c>
      <c r="CL136" s="5"/>
      <c r="CM136" s="5"/>
      <c r="CN136" s="5"/>
      <c r="CO136" s="5"/>
      <c r="CP136" s="5"/>
      <c r="CQ136" s="5"/>
      <c r="CR136" s="5"/>
      <c r="CS136" s="5"/>
      <c r="CT136" s="5" t="s">
        <v>82</v>
      </c>
      <c r="CU136" s="5" t="s">
        <v>82</v>
      </c>
      <c r="CV136" s="5" t="s">
        <v>82</v>
      </c>
      <c r="CW136" s="5">
        <v>0</v>
      </c>
      <c r="CX136" s="5">
        <v>0</v>
      </c>
      <c r="CY136" s="5">
        <v>0</v>
      </c>
      <c r="DA136" s="6"/>
      <c r="DD136" s="6">
        <f t="shared" si="19"/>
        <v>306725</v>
      </c>
      <c r="DE136" s="6">
        <f t="shared" si="20"/>
        <v>184912</v>
      </c>
      <c r="DF136" s="16">
        <f t="shared" si="21"/>
        <v>491637</v>
      </c>
      <c r="DK136" s="6">
        <f t="shared" si="22"/>
        <v>58670</v>
      </c>
      <c r="DL136" s="6">
        <f t="shared" si="23"/>
        <v>94276</v>
      </c>
      <c r="DM136" s="6">
        <f t="shared" si="33"/>
        <v>13620</v>
      </c>
      <c r="DN136" s="6">
        <f t="shared" si="34"/>
        <v>18346</v>
      </c>
      <c r="DO136" s="6">
        <f t="shared" si="24"/>
        <v>241745</v>
      </c>
      <c r="DP136" s="6">
        <f t="shared" si="32"/>
        <v>43053</v>
      </c>
      <c r="DQ136" s="6"/>
      <c r="DR136" s="6">
        <f t="shared" si="25"/>
        <v>12565</v>
      </c>
      <c r="DS136" s="6">
        <f t="shared" si="26"/>
        <v>0</v>
      </c>
      <c r="DT136" s="6">
        <f t="shared" si="27"/>
        <v>9362</v>
      </c>
      <c r="DU136" s="6"/>
      <c r="DV136" s="6"/>
      <c r="DW136" s="6">
        <f t="shared" si="28"/>
        <v>491637</v>
      </c>
      <c r="DY136" s="6">
        <f t="shared" si="29"/>
        <v>251119</v>
      </c>
      <c r="DZ136" s="6">
        <f t="shared" si="30"/>
        <v>12</v>
      </c>
      <c r="EB136" s="6">
        <f t="shared" si="31"/>
        <v>491649</v>
      </c>
      <c r="EC136" s="6"/>
      <c r="ED136" s="6"/>
      <c r="EF136" s="6"/>
      <c r="EG136" s="6"/>
    </row>
    <row r="137" spans="2:137" ht="14">
      <c r="B137" s="4">
        <v>36130</v>
      </c>
      <c r="C137" s="5">
        <v>0</v>
      </c>
      <c r="D137" s="5">
        <v>0</v>
      </c>
      <c r="E137" s="5">
        <v>0</v>
      </c>
      <c r="F137" s="5" t="s">
        <v>82</v>
      </c>
      <c r="G137" s="5" t="s">
        <v>82</v>
      </c>
      <c r="H137" s="5">
        <v>0</v>
      </c>
      <c r="I137" s="5">
        <v>0</v>
      </c>
      <c r="J137" s="5">
        <v>0</v>
      </c>
      <c r="K137" s="5">
        <v>651</v>
      </c>
      <c r="L137" s="5"/>
      <c r="M137" s="5">
        <v>32648</v>
      </c>
      <c r="N137" s="5">
        <v>3229</v>
      </c>
      <c r="O137" s="5"/>
      <c r="P137" s="5">
        <v>3423</v>
      </c>
      <c r="Q137" s="5">
        <v>6567</v>
      </c>
      <c r="R137" s="5">
        <v>1128</v>
      </c>
      <c r="S137" s="5">
        <v>9666</v>
      </c>
      <c r="T137" s="5">
        <v>13598</v>
      </c>
      <c r="U137" s="5"/>
      <c r="V137" s="5"/>
      <c r="W137" s="5">
        <v>2045</v>
      </c>
      <c r="X137" s="5">
        <v>0</v>
      </c>
      <c r="Y137" s="5">
        <v>665</v>
      </c>
      <c r="Z137" s="5">
        <v>36</v>
      </c>
      <c r="AA137" s="155"/>
      <c r="AB137" s="5">
        <v>24</v>
      </c>
      <c r="AC137" s="5">
        <v>0</v>
      </c>
      <c r="AD137" s="5">
        <v>14</v>
      </c>
      <c r="AE137" s="5">
        <v>27</v>
      </c>
      <c r="AF137" s="5">
        <v>32</v>
      </c>
      <c r="AG137" s="5">
        <v>61</v>
      </c>
      <c r="AH137" s="5"/>
      <c r="AI137" s="5"/>
      <c r="AJ137" s="5">
        <v>17</v>
      </c>
      <c r="AK137" s="5">
        <v>0</v>
      </c>
      <c r="AL137" s="5">
        <v>81467</v>
      </c>
      <c r="AM137" s="5">
        <v>3506</v>
      </c>
      <c r="AN137" s="5">
        <v>7988</v>
      </c>
      <c r="AO137" s="5">
        <v>26</v>
      </c>
      <c r="AP137" s="5">
        <v>5</v>
      </c>
      <c r="AQ137" s="5">
        <v>813</v>
      </c>
      <c r="AR137" s="5">
        <v>532</v>
      </c>
      <c r="AS137" s="5">
        <v>1793</v>
      </c>
      <c r="AT137" s="5" t="s">
        <v>82</v>
      </c>
      <c r="AU137" s="5">
        <v>1836</v>
      </c>
      <c r="AV137" s="5">
        <v>1632</v>
      </c>
      <c r="AW137" s="5">
        <v>2777</v>
      </c>
      <c r="AX137" s="5">
        <v>9216</v>
      </c>
      <c r="AY137" s="155"/>
      <c r="AZ137" s="155"/>
      <c r="BA137" s="155">
        <v>0</v>
      </c>
      <c r="BB137" s="155"/>
      <c r="BC137" s="5">
        <v>820</v>
      </c>
      <c r="BD137" s="5"/>
      <c r="BE137" s="5">
        <v>27946</v>
      </c>
      <c r="BF137" s="5">
        <v>67181</v>
      </c>
      <c r="BG137" s="5">
        <v>309</v>
      </c>
      <c r="BH137" s="5">
        <v>973</v>
      </c>
      <c r="BI137" s="5">
        <v>1141</v>
      </c>
      <c r="BJ137" s="5">
        <v>5782</v>
      </c>
      <c r="BK137" s="5">
        <v>47</v>
      </c>
      <c r="BL137" s="5">
        <v>3044</v>
      </c>
      <c r="BM137" s="5"/>
      <c r="BN137" s="5">
        <v>546</v>
      </c>
      <c r="BO137" s="5">
        <v>28</v>
      </c>
      <c r="BP137" s="5">
        <v>0</v>
      </c>
      <c r="BQ137" s="5">
        <v>12915</v>
      </c>
      <c r="BR137" s="5">
        <v>15813</v>
      </c>
      <c r="BS137" s="5">
        <v>19</v>
      </c>
      <c r="BT137" s="5">
        <v>465</v>
      </c>
      <c r="BU137" s="5">
        <v>451</v>
      </c>
      <c r="BV137" s="5"/>
      <c r="BW137" s="5">
        <v>10</v>
      </c>
      <c r="BX137" s="5">
        <v>214</v>
      </c>
      <c r="BY137" s="5"/>
      <c r="BZ137" s="5">
        <v>193</v>
      </c>
      <c r="CA137" s="5">
        <v>0</v>
      </c>
      <c r="CB137" s="5">
        <v>0</v>
      </c>
      <c r="CC137" s="5">
        <v>12265</v>
      </c>
      <c r="CD137" s="5">
        <v>58067</v>
      </c>
      <c r="CE137" s="5">
        <v>84659</v>
      </c>
      <c r="CF137" s="5">
        <v>14402</v>
      </c>
      <c r="CG137" s="5">
        <v>0</v>
      </c>
      <c r="CH137" s="5">
        <v>0</v>
      </c>
      <c r="CI137" s="5">
        <v>63</v>
      </c>
      <c r="CJ137" s="5">
        <v>83</v>
      </c>
      <c r="CK137" s="5">
        <v>186</v>
      </c>
      <c r="CL137" s="5"/>
      <c r="CM137" s="5"/>
      <c r="CN137" s="5"/>
      <c r="CO137" s="5"/>
      <c r="CP137" s="5"/>
      <c r="CQ137" s="5"/>
      <c r="CR137" s="5"/>
      <c r="CS137" s="5"/>
      <c r="CT137" s="5" t="s">
        <v>82</v>
      </c>
      <c r="CU137" s="5" t="s">
        <v>82</v>
      </c>
      <c r="CV137" s="5" t="s">
        <v>82</v>
      </c>
      <c r="CW137" s="5">
        <v>0</v>
      </c>
      <c r="CX137" s="5">
        <v>0</v>
      </c>
      <c r="CY137" s="5">
        <v>0</v>
      </c>
      <c r="DA137" s="6"/>
      <c r="DD137" s="6">
        <f t="shared" si="19"/>
        <v>306802</v>
      </c>
      <c r="DE137" s="6">
        <f t="shared" si="20"/>
        <v>185591</v>
      </c>
      <c r="DF137" s="16">
        <f t="shared" si="21"/>
        <v>492393</v>
      </c>
      <c r="DK137" s="6">
        <f t="shared" si="22"/>
        <v>58706</v>
      </c>
      <c r="DL137" s="6">
        <f t="shared" si="23"/>
        <v>94672</v>
      </c>
      <c r="DM137" s="6">
        <f t="shared" si="33"/>
        <v>13598</v>
      </c>
      <c r="DN137" s="6">
        <f t="shared" si="34"/>
        <v>18615</v>
      </c>
      <c r="DO137" s="6">
        <f t="shared" si="24"/>
        <v>242280</v>
      </c>
      <c r="DP137" s="6">
        <f t="shared" si="32"/>
        <v>42845</v>
      </c>
      <c r="DQ137" s="6"/>
      <c r="DR137" s="6">
        <f t="shared" si="25"/>
        <v>12328</v>
      </c>
      <c r="DS137" s="6">
        <f t="shared" si="26"/>
        <v>0</v>
      </c>
      <c r="DT137" s="6">
        <f t="shared" si="27"/>
        <v>9349</v>
      </c>
      <c r="DU137" s="6"/>
      <c r="DV137" s="6"/>
      <c r="DW137" s="6">
        <f t="shared" si="28"/>
        <v>492393</v>
      </c>
      <c r="DY137" s="6">
        <f t="shared" si="29"/>
        <v>252280</v>
      </c>
      <c r="DZ137" s="6">
        <f t="shared" si="30"/>
        <v>651</v>
      </c>
      <c r="EB137" s="6">
        <f t="shared" si="31"/>
        <v>493044</v>
      </c>
      <c r="EC137" s="6"/>
      <c r="ED137" s="6"/>
      <c r="EF137" s="6"/>
      <c r="EG137" s="6"/>
    </row>
    <row r="138" spans="2:137" ht="14">
      <c r="B138" s="4">
        <v>36161</v>
      </c>
      <c r="C138" s="5">
        <v>0</v>
      </c>
      <c r="D138" s="5">
        <v>0</v>
      </c>
      <c r="E138" s="5">
        <v>0</v>
      </c>
      <c r="F138" s="5" t="s">
        <v>82</v>
      </c>
      <c r="G138" s="5" t="s">
        <v>82</v>
      </c>
      <c r="H138" s="5">
        <v>0</v>
      </c>
      <c r="I138" s="5">
        <v>0</v>
      </c>
      <c r="J138" s="5">
        <v>0</v>
      </c>
      <c r="K138" s="5">
        <v>1811</v>
      </c>
      <c r="L138" s="5"/>
      <c r="M138" s="5">
        <v>32597</v>
      </c>
      <c r="N138" s="5">
        <v>3214</v>
      </c>
      <c r="O138" s="5"/>
      <c r="P138" s="5">
        <v>3381</v>
      </c>
      <c r="Q138" s="5">
        <v>6561</v>
      </c>
      <c r="R138" s="5">
        <v>1131</v>
      </c>
      <c r="S138" s="5">
        <v>9668</v>
      </c>
      <c r="T138" s="5">
        <v>13588</v>
      </c>
      <c r="U138" s="5"/>
      <c r="V138" s="5"/>
      <c r="W138" s="5">
        <v>2021</v>
      </c>
      <c r="X138" s="5">
        <v>0</v>
      </c>
      <c r="Y138" s="5">
        <v>664</v>
      </c>
      <c r="Z138" s="5">
        <v>34</v>
      </c>
      <c r="AA138" s="155"/>
      <c r="AB138" s="5">
        <v>24</v>
      </c>
      <c r="AC138" s="5">
        <v>0</v>
      </c>
      <c r="AD138" s="5">
        <v>13</v>
      </c>
      <c r="AE138" s="5">
        <v>25</v>
      </c>
      <c r="AF138" s="5">
        <v>34</v>
      </c>
      <c r="AG138" s="5">
        <v>60</v>
      </c>
      <c r="AH138" s="5"/>
      <c r="AI138" s="5"/>
      <c r="AJ138" s="5">
        <v>16</v>
      </c>
      <c r="AK138" s="5">
        <v>0</v>
      </c>
      <c r="AL138" s="5">
        <v>81607</v>
      </c>
      <c r="AM138" s="5">
        <v>3477</v>
      </c>
      <c r="AN138" s="5">
        <v>8135</v>
      </c>
      <c r="AO138" s="5">
        <v>25</v>
      </c>
      <c r="AP138" s="5">
        <v>6</v>
      </c>
      <c r="AQ138" s="5">
        <v>23</v>
      </c>
      <c r="AR138" s="5">
        <v>7</v>
      </c>
      <c r="AS138" s="5">
        <v>1774</v>
      </c>
      <c r="AT138" s="5" t="s">
        <v>82</v>
      </c>
      <c r="AU138" s="5">
        <v>1852</v>
      </c>
      <c r="AV138" s="5">
        <v>1630</v>
      </c>
      <c r="AW138" s="5">
        <v>2766</v>
      </c>
      <c r="AX138" s="5">
        <v>9277</v>
      </c>
      <c r="AY138" s="155"/>
      <c r="AZ138" s="155"/>
      <c r="BA138" s="155">
        <v>0</v>
      </c>
      <c r="BB138" s="155"/>
      <c r="BC138" s="5">
        <v>811</v>
      </c>
      <c r="BD138" s="5"/>
      <c r="BE138" s="5">
        <v>27782</v>
      </c>
      <c r="BF138" s="5">
        <v>66673</v>
      </c>
      <c r="BG138" s="5">
        <v>319</v>
      </c>
      <c r="BH138" s="5">
        <v>955</v>
      </c>
      <c r="BI138" s="5">
        <v>1110</v>
      </c>
      <c r="BJ138" s="5">
        <v>5809</v>
      </c>
      <c r="BK138" s="5">
        <v>56</v>
      </c>
      <c r="BL138" s="5">
        <v>3020</v>
      </c>
      <c r="BM138" s="5"/>
      <c r="BN138" s="5">
        <v>579</v>
      </c>
      <c r="BO138" s="5">
        <v>30</v>
      </c>
      <c r="BP138" s="5">
        <v>0</v>
      </c>
      <c r="BQ138" s="5">
        <v>12814</v>
      </c>
      <c r="BR138" s="5">
        <v>15671</v>
      </c>
      <c r="BS138" s="5">
        <v>20</v>
      </c>
      <c r="BT138" s="5">
        <v>451</v>
      </c>
      <c r="BU138" s="5">
        <v>417</v>
      </c>
      <c r="BV138" s="5"/>
      <c r="BW138" s="5">
        <v>5</v>
      </c>
      <c r="BX138" s="5">
        <v>213</v>
      </c>
      <c r="BY138" s="5"/>
      <c r="BZ138" s="5">
        <v>179</v>
      </c>
      <c r="CA138" s="5">
        <v>0</v>
      </c>
      <c r="CB138" s="5">
        <v>0</v>
      </c>
      <c r="CC138" s="5">
        <v>11973</v>
      </c>
      <c r="CD138" s="5">
        <v>57847</v>
      </c>
      <c r="CE138" s="5">
        <v>85028</v>
      </c>
      <c r="CF138" s="5">
        <v>14428</v>
      </c>
      <c r="CG138" s="5">
        <v>0</v>
      </c>
      <c r="CH138" s="5">
        <v>0</v>
      </c>
      <c r="CI138" s="5">
        <v>64</v>
      </c>
      <c r="CJ138" s="5">
        <v>80</v>
      </c>
      <c r="CK138" s="5">
        <v>182</v>
      </c>
      <c r="CL138" s="5"/>
      <c r="CM138" s="5"/>
      <c r="CN138" s="5"/>
      <c r="CO138" s="5"/>
      <c r="CP138" s="5"/>
      <c r="CQ138" s="5"/>
      <c r="CR138" s="5"/>
      <c r="CS138" s="5"/>
      <c r="CT138" s="5" t="s">
        <v>82</v>
      </c>
      <c r="CU138" s="5" t="s">
        <v>82</v>
      </c>
      <c r="CV138" s="5" t="s">
        <v>82</v>
      </c>
      <c r="CW138" s="5">
        <v>0</v>
      </c>
      <c r="CX138" s="5">
        <v>0</v>
      </c>
      <c r="CY138" s="5">
        <v>0</v>
      </c>
      <c r="DA138" s="6"/>
      <c r="DD138" s="6">
        <f t="shared" si="19"/>
        <v>305705</v>
      </c>
      <c r="DE138" s="6">
        <f t="shared" si="20"/>
        <v>184421</v>
      </c>
      <c r="DF138" s="16">
        <f t="shared" si="21"/>
        <v>490126</v>
      </c>
      <c r="DK138" s="6">
        <f t="shared" si="22"/>
        <v>58573</v>
      </c>
      <c r="DL138" s="6">
        <f t="shared" si="23"/>
        <v>94752</v>
      </c>
      <c r="DM138" s="6">
        <f t="shared" si="33"/>
        <v>13588</v>
      </c>
      <c r="DN138" s="6">
        <f t="shared" si="34"/>
        <v>17508</v>
      </c>
      <c r="DO138" s="6">
        <f t="shared" si="24"/>
        <v>241726</v>
      </c>
      <c r="DP138" s="6">
        <f t="shared" si="32"/>
        <v>42581</v>
      </c>
      <c r="DQ138" s="6"/>
      <c r="DR138" s="6">
        <f t="shared" si="25"/>
        <v>12037</v>
      </c>
      <c r="DS138" s="6">
        <f t="shared" si="26"/>
        <v>0</v>
      </c>
      <c r="DT138" s="6">
        <f t="shared" si="27"/>
        <v>9361</v>
      </c>
      <c r="DU138" s="6"/>
      <c r="DV138" s="6"/>
      <c r="DW138" s="6">
        <f t="shared" si="28"/>
        <v>490126</v>
      </c>
      <c r="DY138" s="6">
        <f t="shared" si="29"/>
        <v>252898</v>
      </c>
      <c r="DZ138" s="6">
        <f t="shared" si="30"/>
        <v>1811</v>
      </c>
      <c r="EB138" s="6">
        <f t="shared" si="31"/>
        <v>491937</v>
      </c>
      <c r="EC138" s="6"/>
      <c r="ED138" s="6"/>
      <c r="EF138" s="6"/>
      <c r="EG138" s="6"/>
    </row>
    <row r="139" spans="2:137" ht="14">
      <c r="B139" s="4">
        <v>36192</v>
      </c>
      <c r="C139" s="5">
        <v>0</v>
      </c>
      <c r="D139" s="5">
        <v>0</v>
      </c>
      <c r="E139" s="5">
        <v>0</v>
      </c>
      <c r="F139" s="5" t="s">
        <v>82</v>
      </c>
      <c r="G139" s="5" t="s">
        <v>82</v>
      </c>
      <c r="H139" s="5">
        <v>0</v>
      </c>
      <c r="I139" s="5">
        <v>0</v>
      </c>
      <c r="J139" s="5">
        <v>0</v>
      </c>
      <c r="K139" s="5">
        <v>3033</v>
      </c>
      <c r="L139" s="5"/>
      <c r="M139" s="5">
        <v>32471</v>
      </c>
      <c r="N139" s="5">
        <v>3193</v>
      </c>
      <c r="O139" s="5"/>
      <c r="P139" s="5">
        <v>3350</v>
      </c>
      <c r="Q139" s="5">
        <v>6510</v>
      </c>
      <c r="R139" s="5">
        <v>1122</v>
      </c>
      <c r="S139" s="5">
        <v>9589</v>
      </c>
      <c r="T139" s="5">
        <v>13582</v>
      </c>
      <c r="U139" s="5"/>
      <c r="V139" s="5"/>
      <c r="W139" s="5">
        <v>1949</v>
      </c>
      <c r="X139" s="5">
        <v>0</v>
      </c>
      <c r="Y139" s="5">
        <v>662</v>
      </c>
      <c r="Z139" s="5">
        <v>32</v>
      </c>
      <c r="AA139" s="155"/>
      <c r="AB139" s="5">
        <v>23</v>
      </c>
      <c r="AC139" s="5">
        <v>0</v>
      </c>
      <c r="AD139" s="5">
        <v>13</v>
      </c>
      <c r="AE139" s="5">
        <v>24</v>
      </c>
      <c r="AF139" s="5">
        <v>34</v>
      </c>
      <c r="AG139" s="5">
        <v>62</v>
      </c>
      <c r="AH139" s="5"/>
      <c r="AI139" s="5"/>
      <c r="AJ139" s="5">
        <v>16</v>
      </c>
      <c r="AK139" s="5">
        <v>0</v>
      </c>
      <c r="AL139" s="5">
        <v>81789</v>
      </c>
      <c r="AM139" s="5">
        <v>3479</v>
      </c>
      <c r="AN139" s="5">
        <v>8255</v>
      </c>
      <c r="AO139" s="5">
        <v>21</v>
      </c>
      <c r="AP139" s="5">
        <v>10</v>
      </c>
      <c r="AQ139" s="5">
        <v>177</v>
      </c>
      <c r="AR139" s="5">
        <v>74</v>
      </c>
      <c r="AS139" s="5">
        <v>1761</v>
      </c>
      <c r="AT139" s="5" t="s">
        <v>82</v>
      </c>
      <c r="AU139" s="5">
        <v>1882</v>
      </c>
      <c r="AV139" s="5">
        <v>1641</v>
      </c>
      <c r="AW139" s="5">
        <v>2801</v>
      </c>
      <c r="AX139" s="5">
        <v>9293</v>
      </c>
      <c r="AY139" s="155"/>
      <c r="AZ139" s="155"/>
      <c r="BA139" s="155">
        <v>0</v>
      </c>
      <c r="BB139" s="155"/>
      <c r="BC139" s="5">
        <v>834</v>
      </c>
      <c r="BD139" s="5"/>
      <c r="BE139" s="5">
        <v>27680</v>
      </c>
      <c r="BF139" s="5">
        <v>66175</v>
      </c>
      <c r="BG139" s="5">
        <v>323</v>
      </c>
      <c r="BH139" s="5">
        <v>973</v>
      </c>
      <c r="BI139" s="5">
        <v>1134</v>
      </c>
      <c r="BJ139" s="5">
        <v>5836</v>
      </c>
      <c r="BK139" s="5">
        <v>58</v>
      </c>
      <c r="BL139" s="5">
        <v>3016</v>
      </c>
      <c r="BM139" s="5"/>
      <c r="BN139" s="5">
        <v>602</v>
      </c>
      <c r="BO139" s="5">
        <v>32</v>
      </c>
      <c r="BP139" s="5">
        <v>0</v>
      </c>
      <c r="BQ139" s="5">
        <v>12787</v>
      </c>
      <c r="BR139" s="5">
        <v>15430</v>
      </c>
      <c r="BS139" s="5">
        <v>19</v>
      </c>
      <c r="BT139" s="5">
        <v>454</v>
      </c>
      <c r="BU139" s="5">
        <v>397</v>
      </c>
      <c r="BV139" s="5"/>
      <c r="BW139" s="5">
        <v>7</v>
      </c>
      <c r="BX139" s="5">
        <v>208</v>
      </c>
      <c r="BY139" s="5"/>
      <c r="BZ139" s="5">
        <v>168</v>
      </c>
      <c r="CA139" s="5">
        <v>0</v>
      </c>
      <c r="CB139" s="5">
        <v>0</v>
      </c>
      <c r="CC139" s="5">
        <v>12149</v>
      </c>
      <c r="CD139" s="5">
        <v>57934</v>
      </c>
      <c r="CE139" s="5">
        <v>85549</v>
      </c>
      <c r="CF139" s="5">
        <v>14424</v>
      </c>
      <c r="CG139" s="5">
        <v>0</v>
      </c>
      <c r="CH139" s="5">
        <v>0</v>
      </c>
      <c r="CI139" s="5">
        <v>65</v>
      </c>
      <c r="CJ139" s="5">
        <v>73</v>
      </c>
      <c r="CK139" s="5">
        <v>168</v>
      </c>
      <c r="CL139" s="5"/>
      <c r="CM139" s="5"/>
      <c r="CN139" s="5"/>
      <c r="CO139" s="5"/>
      <c r="CP139" s="5"/>
      <c r="CQ139" s="5"/>
      <c r="CR139" s="5"/>
      <c r="CS139" s="5"/>
      <c r="CT139" s="5" t="s">
        <v>82</v>
      </c>
      <c r="CU139" s="5" t="s">
        <v>82</v>
      </c>
      <c r="CV139" s="5" t="s">
        <v>82</v>
      </c>
      <c r="CW139" s="5">
        <v>0</v>
      </c>
      <c r="CX139" s="5">
        <v>0</v>
      </c>
      <c r="CY139" s="5">
        <v>0</v>
      </c>
      <c r="DA139" s="6"/>
      <c r="DD139" s="6">
        <f t="shared" si="19"/>
        <v>305661</v>
      </c>
      <c r="DE139" s="6">
        <f t="shared" si="20"/>
        <v>184649</v>
      </c>
      <c r="DF139" s="16">
        <f t="shared" si="21"/>
        <v>490310</v>
      </c>
      <c r="DK139" s="6">
        <f t="shared" si="22"/>
        <v>58184</v>
      </c>
      <c r="DL139" s="6">
        <f t="shared" si="23"/>
        <v>95012</v>
      </c>
      <c r="DM139" s="6">
        <f t="shared" si="33"/>
        <v>13582</v>
      </c>
      <c r="DN139" s="6">
        <f t="shared" si="34"/>
        <v>17871</v>
      </c>
      <c r="DO139" s="6">
        <f t="shared" si="24"/>
        <v>241568</v>
      </c>
      <c r="DP139" s="6">
        <f t="shared" si="32"/>
        <v>42496</v>
      </c>
      <c r="DQ139" s="6"/>
      <c r="DR139" s="6">
        <f t="shared" si="25"/>
        <v>12214</v>
      </c>
      <c r="DS139" s="6">
        <f t="shared" si="26"/>
        <v>0</v>
      </c>
      <c r="DT139" s="6">
        <f t="shared" si="27"/>
        <v>9383</v>
      </c>
      <c r="DU139" s="6"/>
      <c r="DV139" s="6"/>
      <c r="DW139" s="6">
        <f t="shared" si="28"/>
        <v>490310</v>
      </c>
      <c r="DY139" s="6">
        <f t="shared" si="29"/>
        <v>253984</v>
      </c>
      <c r="DZ139" s="6">
        <f t="shared" si="30"/>
        <v>3033</v>
      </c>
      <c r="EB139" s="6">
        <f t="shared" si="31"/>
        <v>493343</v>
      </c>
      <c r="EC139" s="6"/>
      <c r="ED139" s="6"/>
      <c r="EF139" s="6"/>
      <c r="EG139" s="6"/>
    </row>
    <row r="140" spans="2:137" ht="14">
      <c r="B140" s="4">
        <v>36220</v>
      </c>
      <c r="C140" s="5">
        <v>0</v>
      </c>
      <c r="D140" s="5">
        <v>0</v>
      </c>
      <c r="E140" s="5">
        <v>0</v>
      </c>
      <c r="F140" s="5" t="s">
        <v>82</v>
      </c>
      <c r="G140" s="5" t="s">
        <v>82</v>
      </c>
      <c r="H140" s="5">
        <v>0</v>
      </c>
      <c r="I140" s="5">
        <v>0</v>
      </c>
      <c r="J140" s="5">
        <v>0</v>
      </c>
      <c r="K140" s="5">
        <v>4621</v>
      </c>
      <c r="L140" s="5"/>
      <c r="M140" s="5">
        <v>32404</v>
      </c>
      <c r="N140" s="5">
        <v>3183</v>
      </c>
      <c r="O140" s="5"/>
      <c r="P140" s="5">
        <v>3273</v>
      </c>
      <c r="Q140" s="5">
        <v>6542</v>
      </c>
      <c r="R140" s="5">
        <v>1102</v>
      </c>
      <c r="S140" s="5">
        <v>9532</v>
      </c>
      <c r="T140" s="5">
        <v>13608</v>
      </c>
      <c r="U140" s="5"/>
      <c r="V140" s="5"/>
      <c r="W140" s="5">
        <v>1899</v>
      </c>
      <c r="X140" s="5">
        <v>0</v>
      </c>
      <c r="Y140" s="5">
        <v>657</v>
      </c>
      <c r="Z140" s="5">
        <v>30</v>
      </c>
      <c r="AA140" s="155"/>
      <c r="AB140" s="5">
        <v>22</v>
      </c>
      <c r="AC140" s="5">
        <v>0</v>
      </c>
      <c r="AD140" s="5">
        <v>12</v>
      </c>
      <c r="AE140" s="5">
        <v>25</v>
      </c>
      <c r="AF140" s="5">
        <v>35</v>
      </c>
      <c r="AG140" s="5">
        <v>62</v>
      </c>
      <c r="AH140" s="5"/>
      <c r="AI140" s="5"/>
      <c r="AJ140" s="5">
        <v>11</v>
      </c>
      <c r="AK140" s="5">
        <v>0</v>
      </c>
      <c r="AL140" s="5">
        <v>81766</v>
      </c>
      <c r="AM140" s="5">
        <v>3472</v>
      </c>
      <c r="AN140" s="5">
        <v>8392</v>
      </c>
      <c r="AO140" s="5">
        <v>25</v>
      </c>
      <c r="AP140" s="5">
        <v>10</v>
      </c>
      <c r="AQ140" s="5">
        <v>583</v>
      </c>
      <c r="AR140" s="5">
        <v>266</v>
      </c>
      <c r="AS140" s="5">
        <v>1710</v>
      </c>
      <c r="AT140" s="5" t="s">
        <v>82</v>
      </c>
      <c r="AU140" s="5">
        <v>1901</v>
      </c>
      <c r="AV140" s="5">
        <v>1654</v>
      </c>
      <c r="AW140" s="5">
        <v>2825</v>
      </c>
      <c r="AX140" s="5">
        <v>9359</v>
      </c>
      <c r="AY140" s="155"/>
      <c r="AZ140" s="155"/>
      <c r="BA140" s="155">
        <v>0</v>
      </c>
      <c r="BB140" s="155"/>
      <c r="BC140" s="5">
        <v>830</v>
      </c>
      <c r="BD140" s="5"/>
      <c r="BE140" s="5">
        <v>27389</v>
      </c>
      <c r="BF140" s="5">
        <v>65379</v>
      </c>
      <c r="BG140" s="5">
        <v>328</v>
      </c>
      <c r="BH140" s="5">
        <v>979</v>
      </c>
      <c r="BI140" s="5">
        <v>1102</v>
      </c>
      <c r="BJ140" s="5">
        <v>5844</v>
      </c>
      <c r="BK140" s="5">
        <v>55</v>
      </c>
      <c r="BL140" s="5">
        <v>2999</v>
      </c>
      <c r="BM140" s="5"/>
      <c r="BN140" s="5">
        <v>594</v>
      </c>
      <c r="BO140" s="5">
        <v>32</v>
      </c>
      <c r="BP140" s="5">
        <v>0</v>
      </c>
      <c r="BQ140" s="5">
        <v>12905</v>
      </c>
      <c r="BR140" s="5">
        <v>15661</v>
      </c>
      <c r="BS140" s="5">
        <v>18</v>
      </c>
      <c r="BT140" s="5">
        <v>479</v>
      </c>
      <c r="BU140" s="5">
        <v>413</v>
      </c>
      <c r="BV140" s="5"/>
      <c r="BW140" s="5">
        <v>12</v>
      </c>
      <c r="BX140" s="5">
        <v>216</v>
      </c>
      <c r="BY140" s="5"/>
      <c r="BZ140" s="5">
        <v>148</v>
      </c>
      <c r="CA140" s="5">
        <v>0</v>
      </c>
      <c r="CB140" s="5">
        <v>0</v>
      </c>
      <c r="CC140" s="5">
        <v>12325</v>
      </c>
      <c r="CD140" s="5">
        <v>58088</v>
      </c>
      <c r="CE140" s="5">
        <v>86079</v>
      </c>
      <c r="CF140" s="5">
        <v>14349</v>
      </c>
      <c r="CG140" s="5">
        <v>0</v>
      </c>
      <c r="CH140" s="5">
        <v>0</v>
      </c>
      <c r="CI140" s="5">
        <v>67</v>
      </c>
      <c r="CJ140" s="5">
        <v>75</v>
      </c>
      <c r="CK140" s="5">
        <v>158</v>
      </c>
      <c r="CL140" s="5"/>
      <c r="CM140" s="5"/>
      <c r="CN140" s="5"/>
      <c r="CO140" s="5"/>
      <c r="CP140" s="5"/>
      <c r="CQ140" s="5"/>
      <c r="CR140" s="5"/>
      <c r="CS140" s="5"/>
      <c r="CT140" s="5" t="s">
        <v>82</v>
      </c>
      <c r="CU140" s="5" t="s">
        <v>82</v>
      </c>
      <c r="CV140" s="5" t="s">
        <v>82</v>
      </c>
      <c r="CW140" s="5">
        <v>0</v>
      </c>
      <c r="CX140" s="5">
        <v>0</v>
      </c>
      <c r="CY140" s="5">
        <v>0</v>
      </c>
      <c r="DA140" s="6"/>
      <c r="DD140" s="6">
        <f t="shared" ref="DD140:DD203" si="35">SUM(BE140:CK140)</f>
        <v>305694</v>
      </c>
      <c r="DE140" s="6">
        <f t="shared" ref="DE140:DE203" si="36">SUM(M140:N140,P140:AX140,BB140:BC140)+CR140+CS140</f>
        <v>185190</v>
      </c>
      <c r="DF140" s="16">
        <f t="shared" ref="DF140:DF203" si="37">SUM(DD140:DE140)</f>
        <v>490884</v>
      </c>
      <c r="DK140" s="6">
        <f t="shared" ref="DK140:DK203" si="38">SUM(M140:N140,P140:S140,U140:X140)</f>
        <v>57935</v>
      </c>
      <c r="DL140" s="6">
        <f t="shared" ref="DL140:DL203" si="39">SUM(Y140:AF140,AH140:AM140,AO140,AS140:AW140,BA140:BC140)</f>
        <v>94975</v>
      </c>
      <c r="DM140" s="6">
        <f t="shared" si="33"/>
        <v>13608</v>
      </c>
      <c r="DN140" s="6">
        <f t="shared" si="34"/>
        <v>18672</v>
      </c>
      <c r="DO140" s="6">
        <f t="shared" ref="DO140:DO191" si="40">SUM(BF140,BI140,BK140,BO140,BR140:BS140,BU140:BW140,BZ140:CB140,CD140:CF140,CJ140:CK140)</f>
        <v>241569</v>
      </c>
      <c r="DP140" s="6">
        <f t="shared" si="32"/>
        <v>42346</v>
      </c>
      <c r="DQ140" s="6"/>
      <c r="DR140" s="6">
        <f t="shared" ref="DR140:DR191" si="41">CC140+CI140</f>
        <v>12392</v>
      </c>
      <c r="DS140" s="6">
        <f t="shared" ref="DS140:DS191" si="42">BP140</f>
        <v>0</v>
      </c>
      <c r="DT140" s="6">
        <f t="shared" ref="DT140:DT191" si="43">BG140+BJ140+BL140+BX140</f>
        <v>9387</v>
      </c>
      <c r="DU140" s="6"/>
      <c r="DV140" s="6"/>
      <c r="DW140" s="6">
        <f t="shared" ref="DW140:DW191" si="44">SUM(DK140:DT140)</f>
        <v>490884</v>
      </c>
      <c r="DY140" s="6">
        <f t="shared" ref="DY140:DY203" si="45">DO140+DT140+H140+I140+J140+K140+CG140</f>
        <v>255577</v>
      </c>
      <c r="DZ140" s="6">
        <f t="shared" ref="DZ140:DZ203" si="46">SUM(G140:L140,O140)</f>
        <v>4621</v>
      </c>
      <c r="EB140" s="6">
        <f t="shared" ref="EB140:EB203" si="47">DZ140+DF140</f>
        <v>495505</v>
      </c>
      <c r="EC140" s="6"/>
      <c r="ED140" s="6"/>
      <c r="EF140" s="6"/>
      <c r="EG140" s="6"/>
    </row>
    <row r="141" spans="2:137" ht="14">
      <c r="B141" s="4">
        <v>36251</v>
      </c>
      <c r="C141" s="5">
        <v>0</v>
      </c>
      <c r="D141" s="5">
        <v>0</v>
      </c>
      <c r="E141" s="5">
        <v>0</v>
      </c>
      <c r="F141" s="5" t="s">
        <v>82</v>
      </c>
      <c r="G141" s="5" t="s">
        <v>82</v>
      </c>
      <c r="H141" s="5">
        <v>0</v>
      </c>
      <c r="I141" s="5">
        <v>0</v>
      </c>
      <c r="J141" s="5">
        <v>0</v>
      </c>
      <c r="K141" s="5">
        <v>6909</v>
      </c>
      <c r="L141" s="5"/>
      <c r="M141" s="5">
        <v>32408</v>
      </c>
      <c r="N141" s="5">
        <v>3167</v>
      </c>
      <c r="O141" s="5"/>
      <c r="P141" s="5">
        <v>3240</v>
      </c>
      <c r="Q141" s="5">
        <v>6580</v>
      </c>
      <c r="R141" s="5">
        <v>1093</v>
      </c>
      <c r="S141" s="5">
        <v>9546</v>
      </c>
      <c r="T141" s="5">
        <v>13666</v>
      </c>
      <c r="U141" s="5"/>
      <c r="V141" s="5"/>
      <c r="W141" s="5">
        <v>1842</v>
      </c>
      <c r="X141" s="5">
        <v>0</v>
      </c>
      <c r="Y141" s="5">
        <v>649</v>
      </c>
      <c r="Z141" s="5">
        <v>31</v>
      </c>
      <c r="AA141" s="155"/>
      <c r="AB141" s="5">
        <v>20</v>
      </c>
      <c r="AC141" s="5">
        <v>0</v>
      </c>
      <c r="AD141" s="5">
        <v>14</v>
      </c>
      <c r="AE141" s="5">
        <v>25</v>
      </c>
      <c r="AF141" s="5">
        <v>33</v>
      </c>
      <c r="AG141" s="5">
        <v>63</v>
      </c>
      <c r="AH141" s="5"/>
      <c r="AI141" s="5"/>
      <c r="AJ141" s="5">
        <v>11</v>
      </c>
      <c r="AK141" s="5">
        <v>0</v>
      </c>
      <c r="AL141" s="5">
        <v>81815</v>
      </c>
      <c r="AM141" s="5">
        <v>3506</v>
      </c>
      <c r="AN141" s="5">
        <v>8527</v>
      </c>
      <c r="AO141" s="5">
        <v>26</v>
      </c>
      <c r="AP141" s="5">
        <v>10</v>
      </c>
      <c r="AQ141" s="5">
        <v>905</v>
      </c>
      <c r="AR141" s="5">
        <v>449</v>
      </c>
      <c r="AS141" s="5">
        <v>1734</v>
      </c>
      <c r="AT141" s="5" t="s">
        <v>82</v>
      </c>
      <c r="AU141" s="5">
        <v>1918</v>
      </c>
      <c r="AV141" s="5">
        <v>1648</v>
      </c>
      <c r="AW141" s="5">
        <v>2814</v>
      </c>
      <c r="AX141" s="5">
        <v>9438</v>
      </c>
      <c r="AY141" s="155"/>
      <c r="AZ141" s="155"/>
      <c r="BA141" s="155">
        <v>0</v>
      </c>
      <c r="BB141" s="155"/>
      <c r="BC141" s="5">
        <v>824</v>
      </c>
      <c r="BD141" s="5"/>
      <c r="BE141" s="5">
        <v>26998</v>
      </c>
      <c r="BF141" s="5">
        <v>64456</v>
      </c>
      <c r="BG141" s="5">
        <v>328</v>
      </c>
      <c r="BH141" s="5">
        <v>981</v>
      </c>
      <c r="BI141" s="5">
        <v>1088</v>
      </c>
      <c r="BJ141" s="5">
        <v>5957</v>
      </c>
      <c r="BK141" s="5">
        <v>58</v>
      </c>
      <c r="BL141" s="5">
        <v>3134</v>
      </c>
      <c r="BM141" s="5"/>
      <c r="BN141" s="5">
        <v>549</v>
      </c>
      <c r="BO141" s="5">
        <v>31</v>
      </c>
      <c r="BP141" s="5">
        <v>0</v>
      </c>
      <c r="BQ141" s="5">
        <v>13136</v>
      </c>
      <c r="BR141" s="5">
        <v>15870</v>
      </c>
      <c r="BS141" s="5">
        <v>20</v>
      </c>
      <c r="BT141" s="5">
        <v>482</v>
      </c>
      <c r="BU141" s="5">
        <v>411</v>
      </c>
      <c r="BV141" s="5"/>
      <c r="BW141" s="5">
        <v>11</v>
      </c>
      <c r="BX141" s="5">
        <v>221</v>
      </c>
      <c r="BY141" s="5"/>
      <c r="BZ141" s="5">
        <v>140</v>
      </c>
      <c r="CA141" s="5">
        <v>0</v>
      </c>
      <c r="CB141" s="5">
        <v>0</v>
      </c>
      <c r="CC141" s="5">
        <v>12482</v>
      </c>
      <c r="CD141" s="5">
        <v>58319</v>
      </c>
      <c r="CE141" s="5">
        <v>87050</v>
      </c>
      <c r="CF141" s="5">
        <v>14475</v>
      </c>
      <c r="CG141" s="5">
        <v>0</v>
      </c>
      <c r="CH141" s="5">
        <v>0</v>
      </c>
      <c r="CI141" s="5">
        <v>76</v>
      </c>
      <c r="CJ141" s="5">
        <v>74</v>
      </c>
      <c r="CK141" s="5">
        <v>143</v>
      </c>
      <c r="CL141" s="5"/>
      <c r="CM141" s="5"/>
      <c r="CN141" s="5"/>
      <c r="CO141" s="5"/>
      <c r="CP141" s="5"/>
      <c r="CQ141" s="5"/>
      <c r="CR141" s="5"/>
      <c r="CS141" s="5"/>
      <c r="CT141" s="5" t="s">
        <v>82</v>
      </c>
      <c r="CU141" s="5" t="s">
        <v>82</v>
      </c>
      <c r="CV141" s="5" t="s">
        <v>82</v>
      </c>
      <c r="CW141" s="5">
        <v>0</v>
      </c>
      <c r="CX141" s="5">
        <v>0</v>
      </c>
      <c r="CY141" s="5">
        <v>0</v>
      </c>
      <c r="DA141" s="6"/>
      <c r="DD141" s="6">
        <f t="shared" si="35"/>
        <v>306490</v>
      </c>
      <c r="DE141" s="6">
        <f t="shared" si="36"/>
        <v>186002</v>
      </c>
      <c r="DF141" s="16">
        <f t="shared" si="37"/>
        <v>492492</v>
      </c>
      <c r="DK141" s="6">
        <f t="shared" si="38"/>
        <v>57876</v>
      </c>
      <c r="DL141" s="6">
        <f t="shared" si="39"/>
        <v>95068</v>
      </c>
      <c r="DM141" s="6">
        <f t="shared" si="33"/>
        <v>13666</v>
      </c>
      <c r="DN141" s="6">
        <f t="shared" si="34"/>
        <v>19392</v>
      </c>
      <c r="DO141" s="6">
        <f t="shared" si="40"/>
        <v>242146</v>
      </c>
      <c r="DP141" s="6">
        <f t="shared" ref="DP141:DP204" si="48">SUM(BD141:BE141,BH141,BN141,BQ141,BT141)</f>
        <v>42146</v>
      </c>
      <c r="DQ141" s="6"/>
      <c r="DR141" s="6">
        <f t="shared" si="41"/>
        <v>12558</v>
      </c>
      <c r="DS141" s="6">
        <f t="shared" si="42"/>
        <v>0</v>
      </c>
      <c r="DT141" s="6">
        <f t="shared" si="43"/>
        <v>9640</v>
      </c>
      <c r="DU141" s="6"/>
      <c r="DV141" s="6"/>
      <c r="DW141" s="6">
        <f t="shared" si="44"/>
        <v>492492</v>
      </c>
      <c r="DY141" s="6">
        <f t="shared" si="45"/>
        <v>258695</v>
      </c>
      <c r="DZ141" s="6">
        <f t="shared" si="46"/>
        <v>6909</v>
      </c>
      <c r="EB141" s="6">
        <f t="shared" si="47"/>
        <v>499401</v>
      </c>
      <c r="EC141" s="6"/>
      <c r="ED141" s="6"/>
      <c r="EF141" s="6"/>
      <c r="EG141" s="6"/>
    </row>
    <row r="142" spans="2:137" ht="14">
      <c r="B142" s="4">
        <v>36281</v>
      </c>
      <c r="C142" s="5">
        <v>0</v>
      </c>
      <c r="D142" s="5">
        <v>0</v>
      </c>
      <c r="E142" s="5">
        <v>0</v>
      </c>
      <c r="F142" s="5" t="s">
        <v>82</v>
      </c>
      <c r="G142" s="5" t="s">
        <v>82</v>
      </c>
      <c r="H142" s="5">
        <v>0</v>
      </c>
      <c r="I142" s="5">
        <v>0</v>
      </c>
      <c r="J142" s="5">
        <v>0</v>
      </c>
      <c r="K142" s="5">
        <v>8826</v>
      </c>
      <c r="L142" s="5"/>
      <c r="M142" s="5">
        <v>32378</v>
      </c>
      <c r="N142" s="5">
        <v>3175</v>
      </c>
      <c r="O142" s="5"/>
      <c r="P142" s="5">
        <v>3188</v>
      </c>
      <c r="Q142" s="5">
        <v>6679</v>
      </c>
      <c r="R142" s="5">
        <v>1078</v>
      </c>
      <c r="S142" s="5">
        <v>9605</v>
      </c>
      <c r="T142" s="5">
        <v>13734</v>
      </c>
      <c r="U142" s="5"/>
      <c r="V142" s="5"/>
      <c r="W142" s="5">
        <v>1804</v>
      </c>
      <c r="X142" s="5">
        <v>0</v>
      </c>
      <c r="Y142" s="5">
        <v>642</v>
      </c>
      <c r="Z142" s="5">
        <v>29</v>
      </c>
      <c r="AA142" s="155"/>
      <c r="AB142" s="5">
        <v>21</v>
      </c>
      <c r="AC142" s="5">
        <v>0</v>
      </c>
      <c r="AD142" s="5">
        <v>14</v>
      </c>
      <c r="AE142" s="5">
        <v>23</v>
      </c>
      <c r="AF142" s="5">
        <v>33</v>
      </c>
      <c r="AG142" s="5">
        <v>61</v>
      </c>
      <c r="AH142" s="5"/>
      <c r="AI142" s="5"/>
      <c r="AJ142" s="5">
        <v>10</v>
      </c>
      <c r="AK142" s="5">
        <v>0</v>
      </c>
      <c r="AL142" s="5">
        <v>82012</v>
      </c>
      <c r="AM142" s="5">
        <v>3516</v>
      </c>
      <c r="AN142" s="5">
        <v>8526</v>
      </c>
      <c r="AO142" s="5">
        <v>27</v>
      </c>
      <c r="AP142" s="5">
        <v>11</v>
      </c>
      <c r="AQ142" s="5">
        <v>1110</v>
      </c>
      <c r="AR142" s="5">
        <v>608</v>
      </c>
      <c r="AS142" s="5">
        <v>1801</v>
      </c>
      <c r="AT142" s="5" t="s">
        <v>82</v>
      </c>
      <c r="AU142" s="5">
        <v>1932</v>
      </c>
      <c r="AV142" s="5">
        <v>1670</v>
      </c>
      <c r="AW142" s="5">
        <v>2834</v>
      </c>
      <c r="AX142" s="5">
        <v>9519</v>
      </c>
      <c r="AY142" s="155"/>
      <c r="AZ142" s="155"/>
      <c r="BA142" s="155">
        <v>0</v>
      </c>
      <c r="BB142" s="155"/>
      <c r="BC142" s="5">
        <v>818</v>
      </c>
      <c r="BD142" s="5"/>
      <c r="BE142" s="5">
        <v>26662</v>
      </c>
      <c r="BF142" s="5">
        <v>63862</v>
      </c>
      <c r="BG142" s="5">
        <v>334</v>
      </c>
      <c r="BH142" s="5">
        <v>938</v>
      </c>
      <c r="BI142" s="5">
        <v>1051</v>
      </c>
      <c r="BJ142" s="5">
        <v>6008</v>
      </c>
      <c r="BK142" s="5">
        <v>62</v>
      </c>
      <c r="BL142" s="5">
        <v>3207</v>
      </c>
      <c r="BM142" s="5"/>
      <c r="BN142" s="5">
        <v>463</v>
      </c>
      <c r="BO142" s="5">
        <v>31</v>
      </c>
      <c r="BP142" s="5">
        <v>0</v>
      </c>
      <c r="BQ142" s="5">
        <v>13217</v>
      </c>
      <c r="BR142" s="5">
        <v>15878</v>
      </c>
      <c r="BS142" s="5">
        <v>19</v>
      </c>
      <c r="BT142" s="5">
        <v>475</v>
      </c>
      <c r="BU142" s="5">
        <v>419</v>
      </c>
      <c r="BV142" s="5"/>
      <c r="BW142" s="5">
        <v>8</v>
      </c>
      <c r="BX142" s="5">
        <v>217</v>
      </c>
      <c r="BY142" s="5"/>
      <c r="BZ142" s="5">
        <v>146</v>
      </c>
      <c r="CA142" s="5">
        <v>0</v>
      </c>
      <c r="CB142" s="5">
        <v>0</v>
      </c>
      <c r="CC142" s="5">
        <v>12687</v>
      </c>
      <c r="CD142" s="5">
        <v>58474</v>
      </c>
      <c r="CE142" s="5">
        <v>87704</v>
      </c>
      <c r="CF142" s="5">
        <v>14388</v>
      </c>
      <c r="CG142" s="5">
        <v>0</v>
      </c>
      <c r="CH142" s="5">
        <v>0</v>
      </c>
      <c r="CI142" s="5">
        <v>75</v>
      </c>
      <c r="CJ142" s="5">
        <v>72</v>
      </c>
      <c r="CK142" s="5">
        <v>127</v>
      </c>
      <c r="CL142" s="5"/>
      <c r="CM142" s="5"/>
      <c r="CN142" s="5"/>
      <c r="CO142" s="5"/>
      <c r="CP142" s="5"/>
      <c r="CQ142" s="5"/>
      <c r="CR142" s="5"/>
      <c r="CS142" s="5"/>
      <c r="CT142" s="5" t="s">
        <v>82</v>
      </c>
      <c r="CU142" s="5" t="s">
        <v>82</v>
      </c>
      <c r="CV142" s="5" t="s">
        <v>82</v>
      </c>
      <c r="CW142" s="5">
        <v>0</v>
      </c>
      <c r="CX142" s="5">
        <v>0</v>
      </c>
      <c r="CY142" s="5">
        <v>0</v>
      </c>
      <c r="DA142" s="6"/>
      <c r="DD142" s="6">
        <f t="shared" si="35"/>
        <v>306524</v>
      </c>
      <c r="DE142" s="6">
        <f t="shared" si="36"/>
        <v>186858</v>
      </c>
      <c r="DF142" s="16">
        <f t="shared" si="37"/>
        <v>493382</v>
      </c>
      <c r="DK142" s="6">
        <f t="shared" si="38"/>
        <v>57907</v>
      </c>
      <c r="DL142" s="6">
        <f t="shared" si="39"/>
        <v>95382</v>
      </c>
      <c r="DM142" s="6">
        <f t="shared" si="33"/>
        <v>13734</v>
      </c>
      <c r="DN142" s="6">
        <f t="shared" si="34"/>
        <v>19835</v>
      </c>
      <c r="DO142" s="6">
        <f t="shared" si="40"/>
        <v>242241</v>
      </c>
      <c r="DP142" s="6">
        <f t="shared" si="48"/>
        <v>41755</v>
      </c>
      <c r="DQ142" s="6"/>
      <c r="DR142" s="6">
        <f t="shared" si="41"/>
        <v>12762</v>
      </c>
      <c r="DS142" s="6">
        <f t="shared" si="42"/>
        <v>0</v>
      </c>
      <c r="DT142" s="6">
        <f t="shared" si="43"/>
        <v>9766</v>
      </c>
      <c r="DU142" s="6"/>
      <c r="DV142" s="6"/>
      <c r="DW142" s="6">
        <f t="shared" si="44"/>
        <v>493382</v>
      </c>
      <c r="DY142" s="6">
        <f t="shared" si="45"/>
        <v>260833</v>
      </c>
      <c r="DZ142" s="6">
        <f t="shared" si="46"/>
        <v>8826</v>
      </c>
      <c r="EB142" s="6">
        <f t="shared" si="47"/>
        <v>502208</v>
      </c>
      <c r="EC142" s="6"/>
      <c r="ED142" s="6"/>
      <c r="EF142" s="6"/>
      <c r="EG142" s="6"/>
    </row>
    <row r="143" spans="2:137" ht="14">
      <c r="B143" s="4">
        <v>36312</v>
      </c>
      <c r="C143" s="5">
        <v>0</v>
      </c>
      <c r="D143" s="5">
        <v>0</v>
      </c>
      <c r="E143" s="5">
        <v>0</v>
      </c>
      <c r="F143" s="5" t="s">
        <v>82</v>
      </c>
      <c r="G143" s="5" t="s">
        <v>82</v>
      </c>
      <c r="H143" s="5">
        <v>0</v>
      </c>
      <c r="I143" s="5">
        <v>0</v>
      </c>
      <c r="J143" s="5">
        <v>0</v>
      </c>
      <c r="K143" s="5">
        <v>10231</v>
      </c>
      <c r="L143" s="5"/>
      <c r="M143" s="5">
        <v>32423</v>
      </c>
      <c r="N143" s="5">
        <v>3155</v>
      </c>
      <c r="O143" s="5"/>
      <c r="P143" s="5">
        <v>3128</v>
      </c>
      <c r="Q143" s="5">
        <v>6738</v>
      </c>
      <c r="R143" s="5">
        <v>1055</v>
      </c>
      <c r="S143" s="5">
        <v>9640</v>
      </c>
      <c r="T143" s="5">
        <v>13738</v>
      </c>
      <c r="U143" s="5"/>
      <c r="V143" s="5"/>
      <c r="W143" s="5">
        <v>1754</v>
      </c>
      <c r="X143" s="5">
        <v>0</v>
      </c>
      <c r="Y143" s="5">
        <v>638</v>
      </c>
      <c r="Z143" s="5">
        <v>30</v>
      </c>
      <c r="AA143" s="155"/>
      <c r="AB143" s="5">
        <v>20</v>
      </c>
      <c r="AC143" s="5">
        <v>0</v>
      </c>
      <c r="AD143" s="5">
        <v>14</v>
      </c>
      <c r="AE143" s="5">
        <v>24</v>
      </c>
      <c r="AF143" s="5">
        <v>34</v>
      </c>
      <c r="AG143" s="5">
        <v>63</v>
      </c>
      <c r="AH143" s="5"/>
      <c r="AI143" s="5"/>
      <c r="AJ143" s="5">
        <v>12</v>
      </c>
      <c r="AK143" s="5">
        <v>0</v>
      </c>
      <c r="AL143" s="5">
        <v>81928</v>
      </c>
      <c r="AM143" s="5">
        <v>3504</v>
      </c>
      <c r="AN143" s="5">
        <v>8475</v>
      </c>
      <c r="AO143" s="5">
        <v>31</v>
      </c>
      <c r="AP143" s="5">
        <v>14</v>
      </c>
      <c r="AQ143" s="5">
        <v>1276</v>
      </c>
      <c r="AR143" s="5">
        <v>711</v>
      </c>
      <c r="AS143" s="5">
        <v>1821</v>
      </c>
      <c r="AT143" s="5" t="s">
        <v>82</v>
      </c>
      <c r="AU143" s="5">
        <v>1929</v>
      </c>
      <c r="AV143" s="5">
        <v>1671</v>
      </c>
      <c r="AW143" s="5">
        <v>2841</v>
      </c>
      <c r="AX143" s="5">
        <v>9544</v>
      </c>
      <c r="AY143" s="155"/>
      <c r="AZ143" s="155"/>
      <c r="BA143" s="155">
        <v>0</v>
      </c>
      <c r="BB143" s="155"/>
      <c r="BC143" s="5">
        <v>816</v>
      </c>
      <c r="BD143" s="5"/>
      <c r="BE143" s="5">
        <v>26175</v>
      </c>
      <c r="BF143" s="5">
        <v>62987</v>
      </c>
      <c r="BG143" s="5">
        <v>333</v>
      </c>
      <c r="BH143" s="5">
        <v>929</v>
      </c>
      <c r="BI143" s="5">
        <v>1053</v>
      </c>
      <c r="BJ143" s="5">
        <v>6005</v>
      </c>
      <c r="BK143" s="5">
        <v>58</v>
      </c>
      <c r="BL143" s="5">
        <v>3212</v>
      </c>
      <c r="BM143" s="5"/>
      <c r="BN143" s="5">
        <v>477</v>
      </c>
      <c r="BO143" s="5">
        <v>29</v>
      </c>
      <c r="BP143" s="5">
        <v>0</v>
      </c>
      <c r="BQ143" s="5">
        <v>13307</v>
      </c>
      <c r="BR143" s="5">
        <v>15984</v>
      </c>
      <c r="BS143" s="5">
        <v>21</v>
      </c>
      <c r="BT143" s="5">
        <v>464</v>
      </c>
      <c r="BU143" s="5">
        <v>412</v>
      </c>
      <c r="BV143" s="5"/>
      <c r="BW143" s="5">
        <v>12</v>
      </c>
      <c r="BX143" s="5">
        <v>214</v>
      </c>
      <c r="BY143" s="5"/>
      <c r="BZ143" s="5">
        <v>139</v>
      </c>
      <c r="CA143" s="5">
        <v>0</v>
      </c>
      <c r="CB143" s="5">
        <v>0</v>
      </c>
      <c r="CC143" s="5">
        <v>12480</v>
      </c>
      <c r="CD143" s="5">
        <v>58108</v>
      </c>
      <c r="CE143" s="5">
        <v>87837</v>
      </c>
      <c r="CF143" s="5">
        <v>14223</v>
      </c>
      <c r="CG143" s="5">
        <v>0</v>
      </c>
      <c r="CH143" s="5">
        <v>0</v>
      </c>
      <c r="CI143" s="5">
        <v>70</v>
      </c>
      <c r="CJ143" s="5">
        <v>68</v>
      </c>
      <c r="CK143" s="5">
        <v>122</v>
      </c>
      <c r="CL143" s="5"/>
      <c r="CM143" s="5"/>
      <c r="CN143" s="5"/>
      <c r="CO143" s="5"/>
      <c r="CP143" s="5"/>
      <c r="CQ143" s="5"/>
      <c r="CR143" s="5"/>
      <c r="CS143" s="5"/>
      <c r="CT143" s="5" t="s">
        <v>82</v>
      </c>
      <c r="CU143" s="5" t="s">
        <v>82</v>
      </c>
      <c r="CV143" s="5" t="s">
        <v>82</v>
      </c>
      <c r="CW143" s="5">
        <v>0</v>
      </c>
      <c r="CX143" s="5">
        <v>0</v>
      </c>
      <c r="CY143" s="5">
        <v>0</v>
      </c>
      <c r="DA143" s="6"/>
      <c r="DD143" s="6">
        <f t="shared" si="35"/>
        <v>304719</v>
      </c>
      <c r="DE143" s="6">
        <f t="shared" si="36"/>
        <v>187027</v>
      </c>
      <c r="DF143" s="16">
        <f t="shared" si="37"/>
        <v>491746</v>
      </c>
      <c r="DK143" s="6">
        <f t="shared" si="38"/>
        <v>57893</v>
      </c>
      <c r="DL143" s="6">
        <f t="shared" si="39"/>
        <v>95313</v>
      </c>
      <c r="DM143" s="6">
        <f t="shared" si="33"/>
        <v>13738</v>
      </c>
      <c r="DN143" s="6">
        <f t="shared" si="34"/>
        <v>20083</v>
      </c>
      <c r="DO143" s="6">
        <f t="shared" si="40"/>
        <v>241053</v>
      </c>
      <c r="DP143" s="6">
        <f t="shared" si="48"/>
        <v>41352</v>
      </c>
      <c r="DQ143" s="6"/>
      <c r="DR143" s="6">
        <f t="shared" si="41"/>
        <v>12550</v>
      </c>
      <c r="DS143" s="6">
        <f t="shared" si="42"/>
        <v>0</v>
      </c>
      <c r="DT143" s="6">
        <f t="shared" si="43"/>
        <v>9764</v>
      </c>
      <c r="DU143" s="6"/>
      <c r="DV143" s="6"/>
      <c r="DW143" s="6">
        <f t="shared" si="44"/>
        <v>491746</v>
      </c>
      <c r="DY143" s="6">
        <f t="shared" si="45"/>
        <v>261048</v>
      </c>
      <c r="DZ143" s="6">
        <f t="shared" si="46"/>
        <v>10231</v>
      </c>
      <c r="EB143" s="6">
        <f t="shared" si="47"/>
        <v>501977</v>
      </c>
      <c r="EC143" s="6"/>
      <c r="ED143" s="6"/>
      <c r="EF143" s="6"/>
      <c r="EG143" s="6"/>
    </row>
    <row r="144" spans="2:137" ht="14">
      <c r="B144" s="4">
        <v>36342</v>
      </c>
      <c r="C144" s="5">
        <v>0</v>
      </c>
      <c r="D144" s="5">
        <v>0</v>
      </c>
      <c r="E144" s="5">
        <v>0</v>
      </c>
      <c r="F144" s="5" t="s">
        <v>82</v>
      </c>
      <c r="G144" s="5" t="s">
        <v>82</v>
      </c>
      <c r="H144" s="5">
        <v>0</v>
      </c>
      <c r="I144" s="5">
        <v>0</v>
      </c>
      <c r="J144" s="5">
        <v>0</v>
      </c>
      <c r="K144" s="5">
        <v>11736</v>
      </c>
      <c r="L144" s="5"/>
      <c r="M144" s="5">
        <v>32406</v>
      </c>
      <c r="N144" s="5">
        <v>3156</v>
      </c>
      <c r="O144" s="5"/>
      <c r="P144" s="5">
        <v>3075</v>
      </c>
      <c r="Q144" s="5">
        <v>6774</v>
      </c>
      <c r="R144" s="5">
        <v>1046</v>
      </c>
      <c r="S144" s="5">
        <v>9687</v>
      </c>
      <c r="T144" s="5">
        <v>13782</v>
      </c>
      <c r="U144" s="5"/>
      <c r="V144" s="5"/>
      <c r="W144" s="5">
        <v>1741</v>
      </c>
      <c r="X144" s="5">
        <v>0</v>
      </c>
      <c r="Y144" s="5">
        <v>641</v>
      </c>
      <c r="Z144" s="5">
        <v>32</v>
      </c>
      <c r="AA144" s="155"/>
      <c r="AB144" s="5">
        <v>18</v>
      </c>
      <c r="AC144" s="5">
        <v>0</v>
      </c>
      <c r="AD144" s="5">
        <v>13</v>
      </c>
      <c r="AE144" s="5">
        <v>22</v>
      </c>
      <c r="AF144" s="5">
        <v>37</v>
      </c>
      <c r="AG144" s="5">
        <v>65</v>
      </c>
      <c r="AH144" s="5"/>
      <c r="AI144" s="5"/>
      <c r="AJ144" s="5">
        <v>13</v>
      </c>
      <c r="AK144" s="5">
        <v>0</v>
      </c>
      <c r="AL144" s="5">
        <v>81794</v>
      </c>
      <c r="AM144" s="5">
        <v>3510</v>
      </c>
      <c r="AN144" s="5">
        <v>8583</v>
      </c>
      <c r="AO144" s="5">
        <v>35</v>
      </c>
      <c r="AP144" s="5">
        <v>13</v>
      </c>
      <c r="AQ144" s="5">
        <v>1408</v>
      </c>
      <c r="AR144" s="5">
        <v>827</v>
      </c>
      <c r="AS144" s="5">
        <v>1834</v>
      </c>
      <c r="AT144" s="5" t="s">
        <v>82</v>
      </c>
      <c r="AU144" s="5">
        <v>1940</v>
      </c>
      <c r="AV144" s="5">
        <v>1698</v>
      </c>
      <c r="AW144" s="5">
        <v>2889</v>
      </c>
      <c r="AX144" s="5">
        <v>9590</v>
      </c>
      <c r="AY144" s="155"/>
      <c r="AZ144" s="155"/>
      <c r="BA144" s="155">
        <v>0</v>
      </c>
      <c r="BB144" s="155"/>
      <c r="BC144" s="5">
        <v>812</v>
      </c>
      <c r="BD144" s="5"/>
      <c r="BE144" s="5">
        <v>25646</v>
      </c>
      <c r="BF144" s="5">
        <v>62021</v>
      </c>
      <c r="BG144" s="5">
        <v>344</v>
      </c>
      <c r="BH144" s="5">
        <v>889</v>
      </c>
      <c r="BI144" s="5">
        <v>1002</v>
      </c>
      <c r="BJ144" s="5">
        <v>6016</v>
      </c>
      <c r="BK144" s="5">
        <v>53</v>
      </c>
      <c r="BL144" s="5">
        <v>3190</v>
      </c>
      <c r="BM144" s="5"/>
      <c r="BN144" s="5">
        <v>503</v>
      </c>
      <c r="BO144" s="5">
        <v>30</v>
      </c>
      <c r="BP144" s="5">
        <v>0</v>
      </c>
      <c r="BQ144" s="5">
        <v>13374</v>
      </c>
      <c r="BR144" s="5">
        <v>15932</v>
      </c>
      <c r="BS144" s="5">
        <v>22</v>
      </c>
      <c r="BT144" s="5">
        <v>453</v>
      </c>
      <c r="BU144" s="5">
        <v>387</v>
      </c>
      <c r="BV144" s="5"/>
      <c r="BW144" s="5">
        <v>15</v>
      </c>
      <c r="BX144" s="5">
        <v>218</v>
      </c>
      <c r="BY144" s="5"/>
      <c r="BZ144" s="5">
        <v>131</v>
      </c>
      <c r="CA144" s="5">
        <v>0</v>
      </c>
      <c r="CB144" s="5">
        <v>0</v>
      </c>
      <c r="CC144" s="5">
        <v>12510</v>
      </c>
      <c r="CD144" s="5">
        <v>57957</v>
      </c>
      <c r="CE144" s="5">
        <v>87980</v>
      </c>
      <c r="CF144" s="5">
        <v>14106</v>
      </c>
      <c r="CG144" s="5">
        <v>0</v>
      </c>
      <c r="CH144" s="5">
        <v>0</v>
      </c>
      <c r="CI144" s="5">
        <v>64</v>
      </c>
      <c r="CJ144" s="5">
        <v>66</v>
      </c>
      <c r="CK144" s="5">
        <v>95</v>
      </c>
      <c r="CL144" s="5"/>
      <c r="CM144" s="5"/>
      <c r="CN144" s="5"/>
      <c r="CO144" s="5"/>
      <c r="CP144" s="5"/>
      <c r="CQ144" s="5"/>
      <c r="CR144" s="5"/>
      <c r="CS144" s="5"/>
      <c r="CT144" s="5" t="s">
        <v>82</v>
      </c>
      <c r="CU144" s="5" t="s">
        <v>82</v>
      </c>
      <c r="CV144" s="5" t="s">
        <v>82</v>
      </c>
      <c r="CW144" s="5">
        <v>0</v>
      </c>
      <c r="CX144" s="5">
        <v>0</v>
      </c>
      <c r="CY144" s="5">
        <v>0</v>
      </c>
      <c r="DA144" s="6"/>
      <c r="DD144" s="6">
        <f t="shared" si="35"/>
        <v>303004</v>
      </c>
      <c r="DE144" s="6">
        <f t="shared" si="36"/>
        <v>187441</v>
      </c>
      <c r="DF144" s="16">
        <f t="shared" si="37"/>
        <v>490445</v>
      </c>
      <c r="DK144" s="6">
        <f t="shared" si="38"/>
        <v>57885</v>
      </c>
      <c r="DL144" s="6">
        <f t="shared" si="39"/>
        <v>95288</v>
      </c>
      <c r="DM144" s="6">
        <f t="shared" si="33"/>
        <v>13782</v>
      </c>
      <c r="DN144" s="6">
        <f t="shared" si="34"/>
        <v>20486</v>
      </c>
      <c r="DO144" s="6">
        <f t="shared" si="40"/>
        <v>239797</v>
      </c>
      <c r="DP144" s="6">
        <f t="shared" si="48"/>
        <v>40865</v>
      </c>
      <c r="DQ144" s="6"/>
      <c r="DR144" s="6">
        <f t="shared" si="41"/>
        <v>12574</v>
      </c>
      <c r="DS144" s="6">
        <f t="shared" si="42"/>
        <v>0</v>
      </c>
      <c r="DT144" s="6">
        <f t="shared" si="43"/>
        <v>9768</v>
      </c>
      <c r="DU144" s="6"/>
      <c r="DV144" s="6"/>
      <c r="DW144" s="6">
        <f t="shared" si="44"/>
        <v>490445</v>
      </c>
      <c r="DY144" s="6">
        <f t="shared" si="45"/>
        <v>261301</v>
      </c>
      <c r="DZ144" s="6">
        <f t="shared" si="46"/>
        <v>11736</v>
      </c>
      <c r="EB144" s="6">
        <f t="shared" si="47"/>
        <v>502181</v>
      </c>
      <c r="EC144" s="6"/>
      <c r="ED144" s="6"/>
      <c r="EF144" s="6"/>
      <c r="EG144" s="6"/>
    </row>
    <row r="145" spans="2:137" ht="14">
      <c r="B145" s="4">
        <v>36373</v>
      </c>
      <c r="C145" s="5">
        <v>0</v>
      </c>
      <c r="D145" s="5">
        <v>0</v>
      </c>
      <c r="E145" s="5">
        <v>0</v>
      </c>
      <c r="F145" s="5" t="s">
        <v>82</v>
      </c>
      <c r="G145" s="5" t="s">
        <v>82</v>
      </c>
      <c r="H145" s="5">
        <v>0</v>
      </c>
      <c r="I145" s="5">
        <v>0</v>
      </c>
      <c r="J145" s="5">
        <v>0</v>
      </c>
      <c r="K145" s="5">
        <v>12946</v>
      </c>
      <c r="L145" s="5"/>
      <c r="M145" s="5">
        <v>32417</v>
      </c>
      <c r="N145" s="5">
        <v>3175</v>
      </c>
      <c r="O145" s="5"/>
      <c r="P145" s="5">
        <v>3019</v>
      </c>
      <c r="Q145" s="5">
        <v>6846</v>
      </c>
      <c r="R145" s="5">
        <v>1034</v>
      </c>
      <c r="S145" s="5">
        <v>9679</v>
      </c>
      <c r="T145" s="5">
        <v>13842</v>
      </c>
      <c r="U145" s="5"/>
      <c r="V145" s="5"/>
      <c r="W145" s="5">
        <v>1702</v>
      </c>
      <c r="X145" s="5">
        <v>0</v>
      </c>
      <c r="Y145" s="5">
        <v>629</v>
      </c>
      <c r="Z145" s="5">
        <v>32</v>
      </c>
      <c r="AA145" s="155"/>
      <c r="AB145" s="5">
        <v>18</v>
      </c>
      <c r="AC145" s="5">
        <v>0</v>
      </c>
      <c r="AD145" s="5">
        <v>13</v>
      </c>
      <c r="AE145" s="5">
        <v>24</v>
      </c>
      <c r="AF145" s="5">
        <v>36</v>
      </c>
      <c r="AG145" s="5">
        <v>63</v>
      </c>
      <c r="AH145" s="5"/>
      <c r="AI145" s="5"/>
      <c r="AJ145" s="5">
        <v>13</v>
      </c>
      <c r="AK145" s="5">
        <v>0</v>
      </c>
      <c r="AL145" s="5">
        <v>82047</v>
      </c>
      <c r="AM145" s="5">
        <v>3499</v>
      </c>
      <c r="AN145" s="5">
        <v>8621</v>
      </c>
      <c r="AO145" s="5">
        <v>27</v>
      </c>
      <c r="AP145" s="5">
        <v>12</v>
      </c>
      <c r="AQ145" s="5">
        <v>1496</v>
      </c>
      <c r="AR145" s="5">
        <v>885</v>
      </c>
      <c r="AS145" s="5">
        <v>1822</v>
      </c>
      <c r="AT145" s="5" t="s">
        <v>82</v>
      </c>
      <c r="AU145" s="5">
        <v>1938</v>
      </c>
      <c r="AV145" s="5">
        <v>1674</v>
      </c>
      <c r="AW145" s="5">
        <v>2888</v>
      </c>
      <c r="AX145" s="5">
        <v>9653</v>
      </c>
      <c r="AY145" s="155"/>
      <c r="AZ145" s="155"/>
      <c r="BA145" s="155">
        <v>0</v>
      </c>
      <c r="BB145" s="155"/>
      <c r="BC145" s="5">
        <v>791</v>
      </c>
      <c r="BD145" s="5"/>
      <c r="BE145" s="5">
        <v>25278</v>
      </c>
      <c r="BF145" s="5">
        <v>61343</v>
      </c>
      <c r="BG145" s="5">
        <v>340</v>
      </c>
      <c r="BH145" s="5">
        <v>900</v>
      </c>
      <c r="BI145" s="5">
        <v>1010</v>
      </c>
      <c r="BJ145" s="5">
        <v>5981</v>
      </c>
      <c r="BK145" s="5">
        <v>52</v>
      </c>
      <c r="BL145" s="5">
        <v>3228</v>
      </c>
      <c r="BM145" s="5"/>
      <c r="BN145" s="5">
        <v>538</v>
      </c>
      <c r="BO145" s="5">
        <v>30</v>
      </c>
      <c r="BP145" s="5">
        <v>0</v>
      </c>
      <c r="BQ145" s="5">
        <v>13473</v>
      </c>
      <c r="BR145" s="5">
        <v>16010</v>
      </c>
      <c r="BS145" s="5">
        <v>22</v>
      </c>
      <c r="BT145" s="5">
        <v>441</v>
      </c>
      <c r="BU145" s="5">
        <v>383</v>
      </c>
      <c r="BV145" s="5"/>
      <c r="BW145" s="5">
        <v>15</v>
      </c>
      <c r="BX145" s="5">
        <v>212</v>
      </c>
      <c r="BY145" s="5"/>
      <c r="BZ145" s="5">
        <v>127</v>
      </c>
      <c r="CA145" s="5">
        <v>0</v>
      </c>
      <c r="CB145" s="5">
        <v>1598</v>
      </c>
      <c r="CC145" s="5">
        <v>12553</v>
      </c>
      <c r="CD145" s="5">
        <v>57638</v>
      </c>
      <c r="CE145" s="5">
        <v>87995</v>
      </c>
      <c r="CF145" s="5">
        <v>14030</v>
      </c>
      <c r="CG145" s="5">
        <v>0</v>
      </c>
      <c r="CH145" s="5">
        <v>0</v>
      </c>
      <c r="CI145" s="5">
        <v>59</v>
      </c>
      <c r="CJ145" s="5">
        <v>62</v>
      </c>
      <c r="CK145" s="5">
        <v>90</v>
      </c>
      <c r="CL145" s="5"/>
      <c r="CM145" s="5"/>
      <c r="CN145" s="5"/>
      <c r="CO145" s="5"/>
      <c r="CP145" s="5"/>
      <c r="CQ145" s="5"/>
      <c r="CR145" s="5"/>
      <c r="CS145" s="5"/>
      <c r="CT145" s="5" t="s">
        <v>82</v>
      </c>
      <c r="CU145" s="5" t="s">
        <v>82</v>
      </c>
      <c r="CV145" s="5" t="s">
        <v>82</v>
      </c>
      <c r="CW145" s="5">
        <v>0</v>
      </c>
      <c r="CX145" s="5">
        <v>0</v>
      </c>
      <c r="CY145" s="5">
        <v>0</v>
      </c>
      <c r="DA145" s="6"/>
      <c r="DD145" s="6">
        <f t="shared" si="35"/>
        <v>303408</v>
      </c>
      <c r="DE145" s="6">
        <f t="shared" si="36"/>
        <v>187895</v>
      </c>
      <c r="DF145" s="16">
        <f t="shared" si="37"/>
        <v>491303</v>
      </c>
      <c r="DK145" s="6">
        <f t="shared" si="38"/>
        <v>57872</v>
      </c>
      <c r="DL145" s="6">
        <f t="shared" si="39"/>
        <v>95451</v>
      </c>
      <c r="DM145" s="6">
        <f t="shared" si="33"/>
        <v>13842</v>
      </c>
      <c r="DN145" s="6">
        <f t="shared" si="34"/>
        <v>20730</v>
      </c>
      <c r="DO145" s="6">
        <f t="shared" si="40"/>
        <v>240405</v>
      </c>
      <c r="DP145" s="6">
        <f t="shared" si="48"/>
        <v>40630</v>
      </c>
      <c r="DQ145" s="6"/>
      <c r="DR145" s="6">
        <f t="shared" si="41"/>
        <v>12612</v>
      </c>
      <c r="DS145" s="6">
        <f t="shared" si="42"/>
        <v>0</v>
      </c>
      <c r="DT145" s="6">
        <f t="shared" si="43"/>
        <v>9761</v>
      </c>
      <c r="DU145" s="6"/>
      <c r="DV145" s="6"/>
      <c r="DW145" s="6">
        <f t="shared" si="44"/>
        <v>491303</v>
      </c>
      <c r="DY145" s="6">
        <f t="shared" si="45"/>
        <v>263112</v>
      </c>
      <c r="DZ145" s="6">
        <f t="shared" si="46"/>
        <v>12946</v>
      </c>
      <c r="EB145" s="6">
        <f t="shared" si="47"/>
        <v>504249</v>
      </c>
      <c r="EC145" s="6"/>
      <c r="ED145" s="6"/>
      <c r="EF145" s="6"/>
      <c r="EG145" s="6"/>
    </row>
    <row r="146" spans="2:137" ht="14">
      <c r="B146" s="4">
        <v>36404</v>
      </c>
      <c r="C146" s="5">
        <v>0</v>
      </c>
      <c r="D146" s="5">
        <v>0</v>
      </c>
      <c r="E146" s="5">
        <v>0</v>
      </c>
      <c r="F146" s="5" t="s">
        <v>82</v>
      </c>
      <c r="G146" s="5" t="s">
        <v>82</v>
      </c>
      <c r="H146" s="5">
        <v>0</v>
      </c>
      <c r="I146" s="5">
        <v>0</v>
      </c>
      <c r="J146" s="5">
        <v>0</v>
      </c>
      <c r="K146" s="5">
        <v>14513</v>
      </c>
      <c r="L146" s="5"/>
      <c r="M146" s="5">
        <v>32378</v>
      </c>
      <c r="N146" s="5">
        <v>3207</v>
      </c>
      <c r="O146" s="5"/>
      <c r="P146" s="5">
        <v>2925</v>
      </c>
      <c r="Q146" s="5">
        <v>6945</v>
      </c>
      <c r="R146" s="5">
        <v>1015</v>
      </c>
      <c r="S146" s="5">
        <v>9764</v>
      </c>
      <c r="T146" s="5">
        <v>13798</v>
      </c>
      <c r="U146" s="5"/>
      <c r="V146" s="5"/>
      <c r="W146" s="5">
        <v>1600</v>
      </c>
      <c r="X146" s="5">
        <v>0</v>
      </c>
      <c r="Y146" s="5">
        <v>633</v>
      </c>
      <c r="Z146" s="5">
        <v>32</v>
      </c>
      <c r="AA146" s="155"/>
      <c r="AB146" s="5">
        <v>21</v>
      </c>
      <c r="AC146" s="5">
        <v>0</v>
      </c>
      <c r="AD146" s="5">
        <v>15</v>
      </c>
      <c r="AE146" s="5">
        <v>25</v>
      </c>
      <c r="AF146" s="5">
        <v>36</v>
      </c>
      <c r="AG146" s="5">
        <v>61</v>
      </c>
      <c r="AH146" s="5"/>
      <c r="AI146" s="5"/>
      <c r="AJ146" s="5">
        <v>12</v>
      </c>
      <c r="AK146" s="5">
        <v>0</v>
      </c>
      <c r="AL146" s="5">
        <v>82029</v>
      </c>
      <c r="AM146" s="5">
        <v>3492</v>
      </c>
      <c r="AN146" s="5">
        <v>8625</v>
      </c>
      <c r="AO146" s="5">
        <v>31</v>
      </c>
      <c r="AP146" s="5">
        <v>8</v>
      </c>
      <c r="AQ146" s="5">
        <v>1637</v>
      </c>
      <c r="AR146" s="5">
        <v>968</v>
      </c>
      <c r="AS146" s="5">
        <v>1760</v>
      </c>
      <c r="AT146" s="5" t="s">
        <v>82</v>
      </c>
      <c r="AU146" s="5">
        <v>1978</v>
      </c>
      <c r="AV146" s="5">
        <v>1692</v>
      </c>
      <c r="AW146" s="5">
        <v>2909</v>
      </c>
      <c r="AX146" s="5">
        <v>9676</v>
      </c>
      <c r="AY146" s="155"/>
      <c r="AZ146" s="155"/>
      <c r="BA146" s="155">
        <v>0</v>
      </c>
      <c r="BB146" s="155"/>
      <c r="BC146" s="5">
        <v>788</v>
      </c>
      <c r="BD146" s="5"/>
      <c r="BE146" s="5">
        <v>24737</v>
      </c>
      <c r="BF146" s="5">
        <v>60342</v>
      </c>
      <c r="BG146" s="5">
        <v>345</v>
      </c>
      <c r="BH146" s="5">
        <v>877</v>
      </c>
      <c r="BI146" s="5">
        <v>925</v>
      </c>
      <c r="BJ146" s="5">
        <v>5984</v>
      </c>
      <c r="BK146" s="5">
        <v>41</v>
      </c>
      <c r="BL146" s="5">
        <v>3149</v>
      </c>
      <c r="BM146" s="5"/>
      <c r="BN146" s="5">
        <v>552</v>
      </c>
      <c r="BO146" s="5">
        <v>30</v>
      </c>
      <c r="BP146" s="5">
        <v>0</v>
      </c>
      <c r="BQ146" s="5">
        <v>13569</v>
      </c>
      <c r="BR146" s="5">
        <v>16059</v>
      </c>
      <c r="BS146" s="5">
        <v>23</v>
      </c>
      <c r="BT146" s="5">
        <v>465</v>
      </c>
      <c r="BU146" s="5">
        <v>394</v>
      </c>
      <c r="BV146" s="5"/>
      <c r="BW146" s="5">
        <v>15</v>
      </c>
      <c r="BX146" s="5">
        <v>205</v>
      </c>
      <c r="BY146" s="5"/>
      <c r="BZ146" s="5">
        <v>120</v>
      </c>
      <c r="CA146" s="5">
        <v>0</v>
      </c>
      <c r="CB146" s="5">
        <v>1786</v>
      </c>
      <c r="CC146" s="5">
        <v>12539</v>
      </c>
      <c r="CD146" s="5">
        <v>57216</v>
      </c>
      <c r="CE146" s="5">
        <v>87885</v>
      </c>
      <c r="CF146" s="5">
        <v>13968</v>
      </c>
      <c r="CG146" s="5">
        <v>0</v>
      </c>
      <c r="CH146" s="5">
        <v>0</v>
      </c>
      <c r="CI146" s="5">
        <v>68</v>
      </c>
      <c r="CJ146" s="5">
        <v>65</v>
      </c>
      <c r="CK146" s="5">
        <v>80</v>
      </c>
      <c r="CL146" s="5"/>
      <c r="CM146" s="5"/>
      <c r="CN146" s="5"/>
      <c r="CO146" s="5"/>
      <c r="CP146" s="5"/>
      <c r="CQ146" s="5"/>
      <c r="CR146" s="5"/>
      <c r="CS146" s="5"/>
      <c r="CT146" s="5" t="s">
        <v>82</v>
      </c>
      <c r="CU146" s="5" t="s">
        <v>82</v>
      </c>
      <c r="CV146" s="5" t="s">
        <v>82</v>
      </c>
      <c r="CW146" s="5">
        <v>0</v>
      </c>
      <c r="CX146" s="5">
        <v>0</v>
      </c>
      <c r="CY146" s="5">
        <v>0</v>
      </c>
      <c r="DA146" s="6"/>
      <c r="DD146" s="6">
        <f t="shared" si="35"/>
        <v>301439</v>
      </c>
      <c r="DE146" s="6">
        <f t="shared" si="36"/>
        <v>188060</v>
      </c>
      <c r="DF146" s="16">
        <f t="shared" si="37"/>
        <v>489499</v>
      </c>
      <c r="DK146" s="6">
        <f t="shared" si="38"/>
        <v>57834</v>
      </c>
      <c r="DL146" s="6">
        <f t="shared" si="39"/>
        <v>95453</v>
      </c>
      <c r="DM146" s="6">
        <f t="shared" si="33"/>
        <v>13798</v>
      </c>
      <c r="DN146" s="6">
        <f t="shared" si="34"/>
        <v>20975</v>
      </c>
      <c r="DO146" s="6">
        <f t="shared" si="40"/>
        <v>238949</v>
      </c>
      <c r="DP146" s="6">
        <f t="shared" si="48"/>
        <v>40200</v>
      </c>
      <c r="DQ146" s="6"/>
      <c r="DR146" s="6">
        <f t="shared" si="41"/>
        <v>12607</v>
      </c>
      <c r="DS146" s="6">
        <f t="shared" si="42"/>
        <v>0</v>
      </c>
      <c r="DT146" s="6">
        <f t="shared" si="43"/>
        <v>9683</v>
      </c>
      <c r="DU146" s="6"/>
      <c r="DV146" s="6"/>
      <c r="DW146" s="6">
        <f t="shared" si="44"/>
        <v>489499</v>
      </c>
      <c r="DY146" s="6">
        <f t="shared" si="45"/>
        <v>263145</v>
      </c>
      <c r="DZ146" s="6">
        <f t="shared" si="46"/>
        <v>14513</v>
      </c>
      <c r="EB146" s="6">
        <f t="shared" si="47"/>
        <v>504012</v>
      </c>
      <c r="EC146" s="6"/>
      <c r="ED146" s="6"/>
      <c r="EF146" s="6"/>
      <c r="EG146" s="6"/>
    </row>
    <row r="147" spans="2:137" ht="14">
      <c r="B147" s="4">
        <v>36434</v>
      </c>
      <c r="C147" s="5">
        <v>0</v>
      </c>
      <c r="D147" s="5">
        <v>0</v>
      </c>
      <c r="E147" s="5">
        <v>0</v>
      </c>
      <c r="F147" s="5" t="s">
        <v>82</v>
      </c>
      <c r="G147" s="5" t="s">
        <v>82</v>
      </c>
      <c r="H147" s="5">
        <v>0</v>
      </c>
      <c r="I147" s="5">
        <v>0</v>
      </c>
      <c r="J147" s="5">
        <v>0</v>
      </c>
      <c r="K147" s="5">
        <v>15515</v>
      </c>
      <c r="L147" s="5"/>
      <c r="M147" s="5">
        <v>32445</v>
      </c>
      <c r="N147" s="5">
        <v>3250</v>
      </c>
      <c r="O147" s="5"/>
      <c r="P147" s="5">
        <v>2878</v>
      </c>
      <c r="Q147" s="5">
        <v>7007</v>
      </c>
      <c r="R147" s="5">
        <v>1001</v>
      </c>
      <c r="S147" s="5">
        <v>9810</v>
      </c>
      <c r="T147" s="5">
        <v>13874</v>
      </c>
      <c r="U147" s="5"/>
      <c r="V147" s="5"/>
      <c r="W147" s="5">
        <v>1542</v>
      </c>
      <c r="X147" s="5">
        <v>0</v>
      </c>
      <c r="Y147" s="5">
        <v>628</v>
      </c>
      <c r="Z147" s="5">
        <v>35</v>
      </c>
      <c r="AA147" s="155"/>
      <c r="AB147" s="5">
        <v>21</v>
      </c>
      <c r="AC147" s="5">
        <v>0</v>
      </c>
      <c r="AD147" s="5">
        <v>15</v>
      </c>
      <c r="AE147" s="5">
        <v>24</v>
      </c>
      <c r="AF147" s="5">
        <v>34</v>
      </c>
      <c r="AG147" s="5">
        <v>60</v>
      </c>
      <c r="AH147" s="5"/>
      <c r="AI147" s="5"/>
      <c r="AJ147" s="5">
        <v>11</v>
      </c>
      <c r="AK147" s="5">
        <v>0</v>
      </c>
      <c r="AL147" s="5">
        <v>82386</v>
      </c>
      <c r="AM147" s="5">
        <v>3513</v>
      </c>
      <c r="AN147" s="5">
        <v>8642</v>
      </c>
      <c r="AO147" s="5">
        <v>33</v>
      </c>
      <c r="AP147" s="5">
        <v>8</v>
      </c>
      <c r="AQ147" s="5">
        <v>1728</v>
      </c>
      <c r="AR147" s="5">
        <v>1050</v>
      </c>
      <c r="AS147" s="5">
        <v>1717</v>
      </c>
      <c r="AT147" s="5" t="s">
        <v>82</v>
      </c>
      <c r="AU147" s="5">
        <v>1987</v>
      </c>
      <c r="AV147" s="5">
        <v>1706</v>
      </c>
      <c r="AW147" s="5">
        <v>2933</v>
      </c>
      <c r="AX147" s="5">
        <v>9688</v>
      </c>
      <c r="AY147" s="155"/>
      <c r="AZ147" s="155"/>
      <c r="BA147" s="155">
        <v>0</v>
      </c>
      <c r="BB147" s="155"/>
      <c r="BC147" s="5">
        <v>764</v>
      </c>
      <c r="BD147" s="5"/>
      <c r="BE147" s="5">
        <v>24574</v>
      </c>
      <c r="BF147" s="5">
        <v>59820</v>
      </c>
      <c r="BG147" s="5">
        <v>355</v>
      </c>
      <c r="BH147" s="5">
        <v>861</v>
      </c>
      <c r="BI147" s="5">
        <v>931</v>
      </c>
      <c r="BJ147" s="5">
        <v>6035</v>
      </c>
      <c r="BK147" s="5">
        <v>41</v>
      </c>
      <c r="BL147" s="5">
        <v>3197</v>
      </c>
      <c r="BM147" s="5"/>
      <c r="BN147" s="5">
        <v>705</v>
      </c>
      <c r="BO147" s="5">
        <v>29</v>
      </c>
      <c r="BP147" s="5">
        <v>0</v>
      </c>
      <c r="BQ147" s="5">
        <v>13834</v>
      </c>
      <c r="BR147" s="5">
        <v>16419</v>
      </c>
      <c r="BS147" s="5">
        <v>22</v>
      </c>
      <c r="BT147" s="5">
        <v>453</v>
      </c>
      <c r="BU147" s="5">
        <v>368</v>
      </c>
      <c r="BV147" s="5"/>
      <c r="BW147" s="5">
        <v>9</v>
      </c>
      <c r="BX147" s="5">
        <v>204</v>
      </c>
      <c r="BY147" s="5"/>
      <c r="BZ147" s="5">
        <v>119</v>
      </c>
      <c r="CA147" s="5">
        <v>0</v>
      </c>
      <c r="CB147" s="5">
        <v>1993</v>
      </c>
      <c r="CC147" s="5">
        <v>12544</v>
      </c>
      <c r="CD147" s="5">
        <v>57297</v>
      </c>
      <c r="CE147" s="5">
        <v>88371</v>
      </c>
      <c r="CF147" s="5">
        <v>14143</v>
      </c>
      <c r="CG147" s="5">
        <v>0</v>
      </c>
      <c r="CH147" s="5">
        <v>0</v>
      </c>
      <c r="CI147" s="5">
        <v>70</v>
      </c>
      <c r="CJ147" s="5">
        <v>64</v>
      </c>
      <c r="CK147" s="5">
        <v>79</v>
      </c>
      <c r="CL147" s="5"/>
      <c r="CM147" s="5"/>
      <c r="CN147" s="5"/>
      <c r="CO147" s="5"/>
      <c r="CP147" s="5"/>
      <c r="CQ147" s="5"/>
      <c r="CR147" s="5"/>
      <c r="CS147" s="5"/>
      <c r="CT147" s="5" t="s">
        <v>82</v>
      </c>
      <c r="CU147" s="5" t="s">
        <v>82</v>
      </c>
      <c r="CV147" s="5" t="s">
        <v>82</v>
      </c>
      <c r="CW147" s="5">
        <v>0</v>
      </c>
      <c r="CX147" s="5">
        <v>0</v>
      </c>
      <c r="CY147" s="5">
        <v>0</v>
      </c>
      <c r="DA147" s="6"/>
      <c r="DD147" s="6">
        <f t="shared" si="35"/>
        <v>302537</v>
      </c>
      <c r="DE147" s="6">
        <f t="shared" si="36"/>
        <v>188790</v>
      </c>
      <c r="DF147" s="16">
        <f t="shared" si="37"/>
        <v>491327</v>
      </c>
      <c r="DK147" s="6">
        <f t="shared" si="38"/>
        <v>57933</v>
      </c>
      <c r="DL147" s="6">
        <f t="shared" si="39"/>
        <v>95807</v>
      </c>
      <c r="DM147" s="6">
        <f t="shared" si="33"/>
        <v>13874</v>
      </c>
      <c r="DN147" s="6">
        <f t="shared" si="34"/>
        <v>21176</v>
      </c>
      <c r="DO147" s="6">
        <f t="shared" si="40"/>
        <v>239705</v>
      </c>
      <c r="DP147" s="6">
        <f t="shared" si="48"/>
        <v>40427</v>
      </c>
      <c r="DQ147" s="6"/>
      <c r="DR147" s="6">
        <f t="shared" si="41"/>
        <v>12614</v>
      </c>
      <c r="DS147" s="6">
        <f t="shared" si="42"/>
        <v>0</v>
      </c>
      <c r="DT147" s="6">
        <f t="shared" si="43"/>
        <v>9791</v>
      </c>
      <c r="DU147" s="6"/>
      <c r="DV147" s="6"/>
      <c r="DW147" s="6">
        <f t="shared" si="44"/>
        <v>491327</v>
      </c>
      <c r="DY147" s="6">
        <f t="shared" si="45"/>
        <v>265011</v>
      </c>
      <c r="DZ147" s="6">
        <f t="shared" si="46"/>
        <v>15515</v>
      </c>
      <c r="EB147" s="6">
        <f t="shared" si="47"/>
        <v>506842</v>
      </c>
      <c r="EC147" s="6"/>
      <c r="ED147" s="6"/>
      <c r="EF147" s="6"/>
      <c r="EG147" s="6"/>
    </row>
    <row r="148" spans="2:137" ht="14">
      <c r="B148" s="4">
        <v>36465</v>
      </c>
      <c r="C148" s="5">
        <v>0</v>
      </c>
      <c r="D148" s="5">
        <v>0</v>
      </c>
      <c r="E148" s="5">
        <v>0</v>
      </c>
      <c r="F148" s="5" t="s">
        <v>82</v>
      </c>
      <c r="G148" s="5" t="s">
        <v>82</v>
      </c>
      <c r="H148" s="5">
        <v>0</v>
      </c>
      <c r="I148" s="5">
        <v>0</v>
      </c>
      <c r="J148" s="5">
        <v>0</v>
      </c>
      <c r="K148" s="5">
        <v>16912</v>
      </c>
      <c r="L148" s="5"/>
      <c r="M148" s="5">
        <v>32427</v>
      </c>
      <c r="N148" s="5">
        <v>3235</v>
      </c>
      <c r="O148" s="5"/>
      <c r="P148" s="5">
        <v>2830</v>
      </c>
      <c r="Q148" s="5">
        <v>7036</v>
      </c>
      <c r="R148" s="5">
        <v>986</v>
      </c>
      <c r="S148" s="5">
        <v>9759</v>
      </c>
      <c r="T148" s="5">
        <v>13918</v>
      </c>
      <c r="U148" s="5"/>
      <c r="V148" s="5"/>
      <c r="W148" s="5">
        <v>1509</v>
      </c>
      <c r="X148" s="5">
        <v>0</v>
      </c>
      <c r="Y148" s="5">
        <v>628</v>
      </c>
      <c r="Z148" s="5">
        <v>35</v>
      </c>
      <c r="AA148" s="155"/>
      <c r="AB148" s="5">
        <v>20</v>
      </c>
      <c r="AC148" s="5">
        <v>0</v>
      </c>
      <c r="AD148" s="5">
        <v>14</v>
      </c>
      <c r="AE148" s="5">
        <v>23</v>
      </c>
      <c r="AF148" s="5">
        <v>35</v>
      </c>
      <c r="AG148" s="5">
        <v>61</v>
      </c>
      <c r="AH148" s="5"/>
      <c r="AI148" s="5"/>
      <c r="AJ148" s="5">
        <v>10</v>
      </c>
      <c r="AK148" s="5">
        <v>0</v>
      </c>
      <c r="AL148" s="5">
        <v>82282</v>
      </c>
      <c r="AM148" s="5">
        <v>3509</v>
      </c>
      <c r="AN148" s="5">
        <v>8709</v>
      </c>
      <c r="AO148" s="5">
        <v>33</v>
      </c>
      <c r="AP148" s="5">
        <v>9</v>
      </c>
      <c r="AQ148" s="5">
        <v>1798</v>
      </c>
      <c r="AR148" s="5">
        <v>1102</v>
      </c>
      <c r="AS148" s="5">
        <v>1722</v>
      </c>
      <c r="AT148" s="5" t="s">
        <v>82</v>
      </c>
      <c r="AU148" s="5">
        <v>2007</v>
      </c>
      <c r="AV148" s="5">
        <v>1703</v>
      </c>
      <c r="AW148" s="5">
        <v>2956</v>
      </c>
      <c r="AX148" s="5">
        <v>9699</v>
      </c>
      <c r="AY148" s="155"/>
      <c r="AZ148" s="155"/>
      <c r="BA148" s="155">
        <v>0</v>
      </c>
      <c r="BB148" s="155"/>
      <c r="BC148" s="5">
        <v>766</v>
      </c>
      <c r="BD148" s="5"/>
      <c r="BE148" s="5">
        <v>24038</v>
      </c>
      <c r="BF148" s="5">
        <v>58922</v>
      </c>
      <c r="BG148" s="5">
        <v>361</v>
      </c>
      <c r="BH148" s="5">
        <v>874</v>
      </c>
      <c r="BI148" s="5">
        <v>962</v>
      </c>
      <c r="BJ148" s="5">
        <v>6027</v>
      </c>
      <c r="BK148" s="5">
        <v>45</v>
      </c>
      <c r="BL148" s="5">
        <v>3178</v>
      </c>
      <c r="BM148" s="5"/>
      <c r="BN148" s="5">
        <v>805</v>
      </c>
      <c r="BO148" s="5">
        <v>28</v>
      </c>
      <c r="BP148" s="5">
        <v>0</v>
      </c>
      <c r="BQ148" s="5">
        <v>13969</v>
      </c>
      <c r="BR148" s="5">
        <v>16836</v>
      </c>
      <c r="BS148" s="5">
        <v>20</v>
      </c>
      <c r="BT148" s="5">
        <v>471</v>
      </c>
      <c r="BU148" s="5">
        <v>394</v>
      </c>
      <c r="BV148" s="5"/>
      <c r="BW148" s="5">
        <v>10</v>
      </c>
      <c r="BX148" s="5">
        <v>206</v>
      </c>
      <c r="BY148" s="5"/>
      <c r="BZ148" s="5">
        <v>116</v>
      </c>
      <c r="CA148" s="5">
        <v>0</v>
      </c>
      <c r="CB148" s="5">
        <v>2248</v>
      </c>
      <c r="CC148" s="5">
        <v>12420</v>
      </c>
      <c r="CD148" s="5">
        <v>57062</v>
      </c>
      <c r="CE148" s="5">
        <v>88224</v>
      </c>
      <c r="CF148" s="5">
        <v>14057</v>
      </c>
      <c r="CG148" s="5">
        <v>0</v>
      </c>
      <c r="CH148" s="5">
        <v>0</v>
      </c>
      <c r="CI148" s="5">
        <v>65</v>
      </c>
      <c r="CJ148" s="5">
        <v>60</v>
      </c>
      <c r="CK148" s="5">
        <v>74</v>
      </c>
      <c r="CL148" s="5"/>
      <c r="CM148" s="5"/>
      <c r="CN148" s="5"/>
      <c r="CO148" s="5"/>
      <c r="CP148" s="5"/>
      <c r="CQ148" s="5"/>
      <c r="CR148" s="5"/>
      <c r="CS148" s="5"/>
      <c r="CT148" s="5" t="s">
        <v>82</v>
      </c>
      <c r="CU148" s="5" t="s">
        <v>82</v>
      </c>
      <c r="CV148" s="5" t="s">
        <v>82</v>
      </c>
      <c r="CW148" s="5">
        <v>0</v>
      </c>
      <c r="CX148" s="5">
        <v>0</v>
      </c>
      <c r="CY148" s="5">
        <v>0</v>
      </c>
      <c r="DA148" s="6"/>
      <c r="DD148" s="6">
        <f t="shared" si="35"/>
        <v>301472</v>
      </c>
      <c r="DE148" s="6">
        <f t="shared" si="36"/>
        <v>188821</v>
      </c>
      <c r="DF148" s="16">
        <f t="shared" si="37"/>
        <v>490293</v>
      </c>
      <c r="DK148" s="6">
        <f t="shared" si="38"/>
        <v>57782</v>
      </c>
      <c r="DL148" s="6">
        <f t="shared" si="39"/>
        <v>95743</v>
      </c>
      <c r="DM148" s="6">
        <f t="shared" si="33"/>
        <v>13918</v>
      </c>
      <c r="DN148" s="6">
        <f t="shared" si="34"/>
        <v>21378</v>
      </c>
      <c r="DO148" s="6">
        <f t="shared" si="40"/>
        <v>239058</v>
      </c>
      <c r="DP148" s="6">
        <f t="shared" si="48"/>
        <v>40157</v>
      </c>
      <c r="DQ148" s="6"/>
      <c r="DR148" s="6">
        <f t="shared" si="41"/>
        <v>12485</v>
      </c>
      <c r="DS148" s="6">
        <f t="shared" si="42"/>
        <v>0</v>
      </c>
      <c r="DT148" s="6">
        <f t="shared" si="43"/>
        <v>9772</v>
      </c>
      <c r="DU148" s="6"/>
      <c r="DV148" s="6"/>
      <c r="DW148" s="6">
        <f t="shared" si="44"/>
        <v>490293</v>
      </c>
      <c r="DY148" s="6">
        <f t="shared" si="45"/>
        <v>265742</v>
      </c>
      <c r="DZ148" s="6">
        <f t="shared" si="46"/>
        <v>16912</v>
      </c>
      <c r="EB148" s="6">
        <f t="shared" si="47"/>
        <v>507205</v>
      </c>
      <c r="EC148" s="6"/>
      <c r="ED148" s="6"/>
      <c r="EF148" s="6"/>
      <c r="EG148" s="6"/>
    </row>
    <row r="149" spans="2:137" ht="14">
      <c r="B149" s="4">
        <v>36495</v>
      </c>
      <c r="C149" s="5">
        <v>0</v>
      </c>
      <c r="D149" s="5">
        <v>0</v>
      </c>
      <c r="E149" s="5">
        <v>0</v>
      </c>
      <c r="F149" s="5" t="s">
        <v>82</v>
      </c>
      <c r="G149" s="5" t="s">
        <v>82</v>
      </c>
      <c r="H149" s="5">
        <v>0</v>
      </c>
      <c r="I149" s="5">
        <v>0</v>
      </c>
      <c r="J149" s="5">
        <v>0</v>
      </c>
      <c r="K149" s="5">
        <v>18139</v>
      </c>
      <c r="L149" s="5"/>
      <c r="M149" s="5">
        <v>32447</v>
      </c>
      <c r="N149" s="5">
        <v>3228</v>
      </c>
      <c r="O149" s="5"/>
      <c r="P149" s="5">
        <v>2794</v>
      </c>
      <c r="Q149" s="5">
        <v>7076</v>
      </c>
      <c r="R149" s="5">
        <v>979</v>
      </c>
      <c r="S149" s="5">
        <v>9819</v>
      </c>
      <c r="T149" s="5">
        <v>13976</v>
      </c>
      <c r="U149" s="5"/>
      <c r="V149" s="5"/>
      <c r="W149" s="5">
        <v>1460</v>
      </c>
      <c r="X149" s="5">
        <v>0</v>
      </c>
      <c r="Y149" s="5">
        <v>624</v>
      </c>
      <c r="Z149" s="5">
        <v>33</v>
      </c>
      <c r="AA149" s="155"/>
      <c r="AB149" s="5">
        <v>16</v>
      </c>
      <c r="AC149" s="5">
        <v>0</v>
      </c>
      <c r="AD149" s="5">
        <v>15</v>
      </c>
      <c r="AE149" s="5">
        <v>23</v>
      </c>
      <c r="AF149" s="5">
        <v>35</v>
      </c>
      <c r="AG149" s="5">
        <v>61</v>
      </c>
      <c r="AH149" s="5"/>
      <c r="AI149" s="5"/>
      <c r="AJ149" s="5">
        <v>11</v>
      </c>
      <c r="AK149" s="5">
        <v>0</v>
      </c>
      <c r="AL149" s="5">
        <v>82758</v>
      </c>
      <c r="AM149" s="5">
        <v>3481</v>
      </c>
      <c r="AN149" s="5">
        <v>8800</v>
      </c>
      <c r="AO149" s="5">
        <v>30</v>
      </c>
      <c r="AP149" s="5">
        <v>10</v>
      </c>
      <c r="AQ149" s="5">
        <v>1882</v>
      </c>
      <c r="AR149" s="5">
        <v>1216</v>
      </c>
      <c r="AS149" s="5">
        <v>1690</v>
      </c>
      <c r="AT149" s="5" t="s">
        <v>82</v>
      </c>
      <c r="AU149" s="5">
        <v>2025</v>
      </c>
      <c r="AV149" s="5">
        <v>1715</v>
      </c>
      <c r="AW149" s="5">
        <v>2992</v>
      </c>
      <c r="AX149" s="5">
        <v>9813</v>
      </c>
      <c r="AY149" s="155"/>
      <c r="AZ149" s="155"/>
      <c r="BA149" s="155">
        <v>0</v>
      </c>
      <c r="BB149" s="155"/>
      <c r="BC149" s="5">
        <v>755</v>
      </c>
      <c r="BD149" s="5"/>
      <c r="BE149" s="5">
        <v>23826</v>
      </c>
      <c r="BF149" s="5">
        <v>58331</v>
      </c>
      <c r="BG149" s="5">
        <v>360</v>
      </c>
      <c r="BH149" s="5">
        <v>907</v>
      </c>
      <c r="BI149" s="5">
        <v>998</v>
      </c>
      <c r="BJ149" s="5">
        <v>6059</v>
      </c>
      <c r="BK149" s="5">
        <v>44</v>
      </c>
      <c r="BL149" s="5">
        <v>3180</v>
      </c>
      <c r="BM149" s="5"/>
      <c r="BN149" s="5">
        <v>819</v>
      </c>
      <c r="BO149" s="5">
        <v>28</v>
      </c>
      <c r="BP149" s="5">
        <v>0</v>
      </c>
      <c r="BQ149" s="5">
        <v>14115</v>
      </c>
      <c r="BR149" s="5">
        <v>17043</v>
      </c>
      <c r="BS149" s="5">
        <v>19</v>
      </c>
      <c r="BT149" s="5">
        <v>483</v>
      </c>
      <c r="BU149" s="5">
        <v>418</v>
      </c>
      <c r="BV149" s="5"/>
      <c r="BW149" s="5">
        <v>9</v>
      </c>
      <c r="BX149" s="5">
        <v>202</v>
      </c>
      <c r="BY149" s="5"/>
      <c r="BZ149" s="5">
        <v>114</v>
      </c>
      <c r="CA149" s="5">
        <v>0</v>
      </c>
      <c r="CB149" s="5">
        <v>2440</v>
      </c>
      <c r="CC149" s="5">
        <v>12264</v>
      </c>
      <c r="CD149" s="5">
        <v>57476</v>
      </c>
      <c r="CE149" s="5">
        <v>89195</v>
      </c>
      <c r="CF149" s="5">
        <v>14248</v>
      </c>
      <c r="CG149" s="5">
        <v>0</v>
      </c>
      <c r="CH149" s="5">
        <v>0</v>
      </c>
      <c r="CI149" s="5">
        <v>59</v>
      </c>
      <c r="CJ149" s="5">
        <v>58</v>
      </c>
      <c r="CK149" s="5">
        <v>83</v>
      </c>
      <c r="CL149" s="5"/>
      <c r="CM149" s="5"/>
      <c r="CN149" s="5"/>
      <c r="CO149" s="5"/>
      <c r="CP149" s="5"/>
      <c r="CQ149" s="5"/>
      <c r="CR149" s="5"/>
      <c r="CS149" s="5"/>
      <c r="CT149" s="5" t="s">
        <v>82</v>
      </c>
      <c r="CU149" s="5" t="s">
        <v>82</v>
      </c>
      <c r="CV149" s="5" t="s">
        <v>82</v>
      </c>
      <c r="CW149" s="5">
        <v>0</v>
      </c>
      <c r="CX149" s="5">
        <v>0</v>
      </c>
      <c r="CY149" s="5">
        <v>0</v>
      </c>
      <c r="DA149" s="6"/>
      <c r="DD149" s="6">
        <f t="shared" si="35"/>
        <v>302778</v>
      </c>
      <c r="DE149" s="6">
        <f t="shared" si="36"/>
        <v>189764</v>
      </c>
      <c r="DF149" s="16">
        <f t="shared" si="37"/>
        <v>492542</v>
      </c>
      <c r="DK149" s="6">
        <f t="shared" si="38"/>
        <v>57803</v>
      </c>
      <c r="DL149" s="6">
        <f t="shared" si="39"/>
        <v>96203</v>
      </c>
      <c r="DM149" s="6">
        <f t="shared" si="33"/>
        <v>13976</v>
      </c>
      <c r="DN149" s="6">
        <f t="shared" si="34"/>
        <v>21782</v>
      </c>
      <c r="DO149" s="6">
        <f t="shared" si="40"/>
        <v>240504</v>
      </c>
      <c r="DP149" s="6">
        <f t="shared" si="48"/>
        <v>40150</v>
      </c>
      <c r="DQ149" s="6"/>
      <c r="DR149" s="6">
        <f t="shared" si="41"/>
        <v>12323</v>
      </c>
      <c r="DS149" s="6">
        <f t="shared" si="42"/>
        <v>0</v>
      </c>
      <c r="DT149" s="6">
        <f t="shared" si="43"/>
        <v>9801</v>
      </c>
      <c r="DU149" s="6"/>
      <c r="DV149" s="6"/>
      <c r="DW149" s="6">
        <f t="shared" si="44"/>
        <v>492542</v>
      </c>
      <c r="DY149" s="6">
        <f t="shared" si="45"/>
        <v>268444</v>
      </c>
      <c r="DZ149" s="6">
        <f t="shared" si="46"/>
        <v>18139</v>
      </c>
      <c r="EB149" s="6">
        <f t="shared" si="47"/>
        <v>510681</v>
      </c>
      <c r="EC149" s="6"/>
      <c r="ED149" s="6"/>
      <c r="EF149" s="6"/>
      <c r="EG149" s="6"/>
    </row>
    <row r="150" spans="2:137" ht="14">
      <c r="B150" s="4">
        <v>36526</v>
      </c>
      <c r="C150" s="5">
        <v>0</v>
      </c>
      <c r="D150" s="5">
        <v>0</v>
      </c>
      <c r="E150" s="5">
        <v>0</v>
      </c>
      <c r="F150" s="5" t="s">
        <v>82</v>
      </c>
      <c r="G150" s="5" t="s">
        <v>82</v>
      </c>
      <c r="H150" s="5">
        <v>0</v>
      </c>
      <c r="I150" s="5">
        <v>0</v>
      </c>
      <c r="J150" s="5">
        <v>0</v>
      </c>
      <c r="K150" s="5">
        <v>18952</v>
      </c>
      <c r="L150" s="5"/>
      <c r="M150" s="5">
        <v>32386</v>
      </c>
      <c r="N150" s="5">
        <v>3227</v>
      </c>
      <c r="O150" s="5"/>
      <c r="P150" s="5">
        <v>2745</v>
      </c>
      <c r="Q150" s="5">
        <v>7067</v>
      </c>
      <c r="R150" s="5">
        <v>967</v>
      </c>
      <c r="S150" s="5">
        <v>9784</v>
      </c>
      <c r="T150" s="5">
        <v>13955</v>
      </c>
      <c r="U150" s="5"/>
      <c r="V150" s="5"/>
      <c r="W150" s="5">
        <v>1424</v>
      </c>
      <c r="X150" s="5">
        <v>0</v>
      </c>
      <c r="Y150" s="5">
        <v>626</v>
      </c>
      <c r="Z150" s="5">
        <v>33</v>
      </c>
      <c r="AA150" s="155"/>
      <c r="AB150" s="5">
        <v>17</v>
      </c>
      <c r="AC150" s="5">
        <v>0</v>
      </c>
      <c r="AD150" s="5">
        <v>15</v>
      </c>
      <c r="AE150" s="5">
        <v>23</v>
      </c>
      <c r="AF150" s="5">
        <v>33</v>
      </c>
      <c r="AG150" s="5">
        <v>61</v>
      </c>
      <c r="AH150" s="5"/>
      <c r="AI150" s="5"/>
      <c r="AJ150" s="5">
        <v>11</v>
      </c>
      <c r="AK150" s="5">
        <v>0</v>
      </c>
      <c r="AL150" s="5">
        <v>82667</v>
      </c>
      <c r="AM150" s="5">
        <v>3478</v>
      </c>
      <c r="AN150" s="5">
        <v>8809</v>
      </c>
      <c r="AO150" s="5">
        <v>22</v>
      </c>
      <c r="AP150" s="5">
        <v>14</v>
      </c>
      <c r="AQ150" s="5">
        <v>21</v>
      </c>
      <c r="AR150" s="5">
        <v>4</v>
      </c>
      <c r="AS150" s="5">
        <v>1677</v>
      </c>
      <c r="AT150" s="5" t="s">
        <v>82</v>
      </c>
      <c r="AU150" s="5">
        <v>2023</v>
      </c>
      <c r="AV150" s="5">
        <v>1726</v>
      </c>
      <c r="AW150" s="5">
        <v>3008</v>
      </c>
      <c r="AX150" s="5">
        <v>9783</v>
      </c>
      <c r="AY150" s="155"/>
      <c r="AZ150" s="155"/>
      <c r="BA150" s="155">
        <v>0</v>
      </c>
      <c r="BB150" s="155"/>
      <c r="BC150" s="5">
        <v>734</v>
      </c>
      <c r="BD150" s="5"/>
      <c r="BE150" s="5">
        <v>23216</v>
      </c>
      <c r="BF150" s="5">
        <v>57020</v>
      </c>
      <c r="BG150" s="5">
        <v>358</v>
      </c>
      <c r="BH150" s="5">
        <v>899</v>
      </c>
      <c r="BI150" s="5">
        <v>983</v>
      </c>
      <c r="BJ150" s="5">
        <v>6047</v>
      </c>
      <c r="BK150" s="5">
        <v>37</v>
      </c>
      <c r="BL150" s="5">
        <v>3167</v>
      </c>
      <c r="BM150" s="5"/>
      <c r="BN150" s="5">
        <v>817</v>
      </c>
      <c r="BO150" s="5">
        <v>25</v>
      </c>
      <c r="BP150" s="5">
        <v>0</v>
      </c>
      <c r="BQ150" s="5">
        <v>14001</v>
      </c>
      <c r="BR150" s="5">
        <v>16942</v>
      </c>
      <c r="BS150" s="5">
        <v>21</v>
      </c>
      <c r="BT150" s="5">
        <v>484</v>
      </c>
      <c r="BU150" s="5">
        <v>434</v>
      </c>
      <c r="BV150" s="5"/>
      <c r="BW150" s="5">
        <v>9</v>
      </c>
      <c r="BX150" s="5">
        <v>195</v>
      </c>
      <c r="BY150" s="5"/>
      <c r="BZ150" s="5">
        <v>108</v>
      </c>
      <c r="CA150" s="5">
        <v>0</v>
      </c>
      <c r="CB150" s="5">
        <v>2567</v>
      </c>
      <c r="CC150" s="5">
        <v>12100</v>
      </c>
      <c r="CD150" s="5">
        <v>56720</v>
      </c>
      <c r="CE150" s="5">
        <v>88697</v>
      </c>
      <c r="CF150" s="5">
        <v>14232</v>
      </c>
      <c r="CG150" s="5">
        <v>0</v>
      </c>
      <c r="CH150" s="5">
        <v>0</v>
      </c>
      <c r="CI150" s="5">
        <v>51</v>
      </c>
      <c r="CJ150" s="5">
        <v>59</v>
      </c>
      <c r="CK150" s="5">
        <v>82</v>
      </c>
      <c r="CL150" s="5"/>
      <c r="CM150" s="5"/>
      <c r="CN150" s="5"/>
      <c r="CO150" s="5"/>
      <c r="CP150" s="5"/>
      <c r="CQ150" s="5"/>
      <c r="CR150" s="5"/>
      <c r="CS150" s="5"/>
      <c r="CT150" s="5" t="s">
        <v>82</v>
      </c>
      <c r="CU150" s="5" t="s">
        <v>82</v>
      </c>
      <c r="CV150" s="5" t="s">
        <v>82</v>
      </c>
      <c r="CW150" s="5">
        <v>0</v>
      </c>
      <c r="CX150" s="5">
        <v>0</v>
      </c>
      <c r="CY150" s="5">
        <v>0</v>
      </c>
      <c r="DA150" s="6"/>
      <c r="DD150" s="6">
        <f t="shared" si="35"/>
        <v>299271</v>
      </c>
      <c r="DE150" s="6">
        <f t="shared" si="36"/>
        <v>186340</v>
      </c>
      <c r="DF150" s="16">
        <f t="shared" si="37"/>
        <v>485611</v>
      </c>
      <c r="DK150" s="6">
        <f t="shared" si="38"/>
        <v>57600</v>
      </c>
      <c r="DL150" s="6">
        <f t="shared" si="39"/>
        <v>96093</v>
      </c>
      <c r="DM150" s="6">
        <f t="shared" si="33"/>
        <v>13955</v>
      </c>
      <c r="DN150" s="6">
        <f t="shared" si="34"/>
        <v>18692</v>
      </c>
      <c r="DO150" s="6">
        <f t="shared" si="40"/>
        <v>237936</v>
      </c>
      <c r="DP150" s="6">
        <f t="shared" si="48"/>
        <v>39417</v>
      </c>
      <c r="DQ150" s="6"/>
      <c r="DR150" s="6">
        <f t="shared" si="41"/>
        <v>12151</v>
      </c>
      <c r="DS150" s="6">
        <f t="shared" si="42"/>
        <v>0</v>
      </c>
      <c r="DT150" s="6">
        <f t="shared" si="43"/>
        <v>9767</v>
      </c>
      <c r="DU150" s="6"/>
      <c r="DV150" s="6"/>
      <c r="DW150" s="6">
        <f t="shared" si="44"/>
        <v>485611</v>
      </c>
      <c r="DY150" s="6">
        <f t="shared" si="45"/>
        <v>266655</v>
      </c>
      <c r="DZ150" s="6">
        <f t="shared" si="46"/>
        <v>18952</v>
      </c>
      <c r="EB150" s="6">
        <f t="shared" si="47"/>
        <v>504563</v>
      </c>
      <c r="EC150" s="6"/>
      <c r="ED150" s="6"/>
      <c r="EF150" s="6"/>
      <c r="EG150" s="6"/>
    </row>
    <row r="151" spans="2:137" ht="14">
      <c r="B151" s="4">
        <v>36557</v>
      </c>
      <c r="C151" s="5">
        <v>0</v>
      </c>
      <c r="D151" s="5">
        <v>0</v>
      </c>
      <c r="E151" s="5">
        <v>0</v>
      </c>
      <c r="F151" s="5" t="s">
        <v>82</v>
      </c>
      <c r="G151" s="5" t="s">
        <v>82</v>
      </c>
      <c r="H151" s="5">
        <v>0</v>
      </c>
      <c r="I151" s="5">
        <v>0</v>
      </c>
      <c r="J151" s="5">
        <v>0</v>
      </c>
      <c r="K151" s="5">
        <v>20088</v>
      </c>
      <c r="L151" s="5"/>
      <c r="M151" s="5">
        <v>32370</v>
      </c>
      <c r="N151" s="5">
        <v>3204</v>
      </c>
      <c r="O151" s="5"/>
      <c r="P151" s="5">
        <v>2729</v>
      </c>
      <c r="Q151" s="5">
        <v>7010</v>
      </c>
      <c r="R151" s="5">
        <v>951</v>
      </c>
      <c r="S151" s="5">
        <v>9710</v>
      </c>
      <c r="T151" s="5">
        <v>13930</v>
      </c>
      <c r="U151" s="5"/>
      <c r="V151" s="5"/>
      <c r="W151" s="5">
        <v>1384</v>
      </c>
      <c r="X151" s="5">
        <v>0</v>
      </c>
      <c r="Y151" s="5">
        <v>623</v>
      </c>
      <c r="Z151" s="5">
        <v>33</v>
      </c>
      <c r="AA151" s="155"/>
      <c r="AB151" s="5">
        <v>14</v>
      </c>
      <c r="AC151" s="5">
        <v>0</v>
      </c>
      <c r="AD151" s="5">
        <v>15</v>
      </c>
      <c r="AE151" s="5">
        <v>23</v>
      </c>
      <c r="AF151" s="5">
        <v>32</v>
      </c>
      <c r="AG151" s="5">
        <v>60</v>
      </c>
      <c r="AH151" s="5"/>
      <c r="AI151" s="5"/>
      <c r="AJ151" s="5">
        <v>11</v>
      </c>
      <c r="AK151" s="5">
        <v>0</v>
      </c>
      <c r="AL151" s="5">
        <v>82781</v>
      </c>
      <c r="AM151" s="5">
        <v>3458</v>
      </c>
      <c r="AN151" s="5">
        <v>8899</v>
      </c>
      <c r="AO151" s="5">
        <v>22</v>
      </c>
      <c r="AP151" s="5">
        <v>15</v>
      </c>
      <c r="AQ151" s="5">
        <v>344</v>
      </c>
      <c r="AR151" s="5">
        <v>89</v>
      </c>
      <c r="AS151" s="5">
        <v>1679</v>
      </c>
      <c r="AT151" s="5" t="s">
        <v>82</v>
      </c>
      <c r="AU151" s="5">
        <v>2051</v>
      </c>
      <c r="AV151" s="5">
        <v>1726</v>
      </c>
      <c r="AW151" s="5">
        <v>3019</v>
      </c>
      <c r="AX151" s="5">
        <v>9820</v>
      </c>
      <c r="AY151" s="155"/>
      <c r="AZ151" s="155"/>
      <c r="BA151" s="155">
        <v>0</v>
      </c>
      <c r="BB151" s="155"/>
      <c r="BC151" s="5">
        <v>735</v>
      </c>
      <c r="BD151" s="5"/>
      <c r="BE151" s="5">
        <v>22854</v>
      </c>
      <c r="BF151" s="5">
        <v>56268</v>
      </c>
      <c r="BG151" s="5">
        <v>364</v>
      </c>
      <c r="BH151" s="5">
        <v>893</v>
      </c>
      <c r="BI151" s="5">
        <v>974</v>
      </c>
      <c r="BJ151" s="5">
        <v>6046</v>
      </c>
      <c r="BK151" s="5">
        <v>34</v>
      </c>
      <c r="BL151" s="5">
        <v>3180</v>
      </c>
      <c r="BM151" s="5"/>
      <c r="BN151" s="5">
        <v>710</v>
      </c>
      <c r="BO151" s="5">
        <v>23</v>
      </c>
      <c r="BP151" s="5">
        <v>0</v>
      </c>
      <c r="BQ151" s="5">
        <v>14233</v>
      </c>
      <c r="BR151" s="5">
        <v>17266</v>
      </c>
      <c r="BS151" s="5">
        <v>23</v>
      </c>
      <c r="BT151" s="5">
        <v>536</v>
      </c>
      <c r="BU151" s="5">
        <v>491</v>
      </c>
      <c r="BV151" s="5"/>
      <c r="BW151" s="5">
        <v>7</v>
      </c>
      <c r="BX151" s="5">
        <v>201</v>
      </c>
      <c r="BY151" s="5"/>
      <c r="BZ151" s="5">
        <v>102</v>
      </c>
      <c r="CA151" s="5">
        <v>0</v>
      </c>
      <c r="CB151" s="5">
        <v>2749</v>
      </c>
      <c r="CC151" s="5">
        <v>12006</v>
      </c>
      <c r="CD151" s="5">
        <v>56629</v>
      </c>
      <c r="CE151" s="5">
        <v>88942</v>
      </c>
      <c r="CF151" s="5">
        <v>14430</v>
      </c>
      <c r="CG151" s="5">
        <v>0</v>
      </c>
      <c r="CH151" s="5">
        <v>0</v>
      </c>
      <c r="CI151" s="5">
        <v>45</v>
      </c>
      <c r="CJ151" s="5">
        <v>61</v>
      </c>
      <c r="CK151" s="5">
        <v>95</v>
      </c>
      <c r="CL151" s="5"/>
      <c r="CM151" s="5"/>
      <c r="CN151" s="5"/>
      <c r="CO151" s="5"/>
      <c r="CP151" s="5"/>
      <c r="CQ151" s="5"/>
      <c r="CR151" s="5"/>
      <c r="CS151" s="5"/>
      <c r="CT151" s="5" t="s">
        <v>82</v>
      </c>
      <c r="CU151" s="5" t="s">
        <v>82</v>
      </c>
      <c r="CV151" s="5" t="s">
        <v>82</v>
      </c>
      <c r="CW151" s="5">
        <v>0</v>
      </c>
      <c r="CX151" s="5">
        <v>0</v>
      </c>
      <c r="CY151" s="5">
        <v>0</v>
      </c>
      <c r="DA151" s="6"/>
      <c r="DD151" s="6">
        <f t="shared" si="35"/>
        <v>299162</v>
      </c>
      <c r="DE151" s="6">
        <f t="shared" si="36"/>
        <v>186737</v>
      </c>
      <c r="DF151" s="16">
        <f t="shared" si="37"/>
        <v>485899</v>
      </c>
      <c r="DK151" s="6">
        <f t="shared" si="38"/>
        <v>57358</v>
      </c>
      <c r="DL151" s="6">
        <f t="shared" si="39"/>
        <v>96222</v>
      </c>
      <c r="DM151" s="6">
        <f t="shared" si="33"/>
        <v>13930</v>
      </c>
      <c r="DN151" s="6">
        <f t="shared" si="34"/>
        <v>19227</v>
      </c>
      <c r="DO151" s="6">
        <f t="shared" si="40"/>
        <v>238094</v>
      </c>
      <c r="DP151" s="6">
        <f t="shared" si="48"/>
        <v>39226</v>
      </c>
      <c r="DQ151" s="6"/>
      <c r="DR151" s="6">
        <f t="shared" si="41"/>
        <v>12051</v>
      </c>
      <c r="DS151" s="6">
        <f t="shared" si="42"/>
        <v>0</v>
      </c>
      <c r="DT151" s="6">
        <f t="shared" si="43"/>
        <v>9791</v>
      </c>
      <c r="DU151" s="6"/>
      <c r="DV151" s="6"/>
      <c r="DW151" s="6">
        <f t="shared" si="44"/>
        <v>485899</v>
      </c>
      <c r="DY151" s="6">
        <f t="shared" si="45"/>
        <v>267973</v>
      </c>
      <c r="DZ151" s="6">
        <f t="shared" si="46"/>
        <v>20088</v>
      </c>
      <c r="EB151" s="6">
        <f t="shared" si="47"/>
        <v>505987</v>
      </c>
      <c r="EC151" s="6"/>
      <c r="ED151" s="6"/>
      <c r="EF151" s="6"/>
      <c r="EG151" s="6"/>
    </row>
    <row r="152" spans="2:137" ht="14">
      <c r="B152" s="4">
        <v>36586</v>
      </c>
      <c r="C152" s="5">
        <v>0</v>
      </c>
      <c r="D152" s="5">
        <v>0</v>
      </c>
      <c r="E152" s="5">
        <v>0</v>
      </c>
      <c r="F152" s="5" t="s">
        <v>82</v>
      </c>
      <c r="G152" s="5" t="s">
        <v>82</v>
      </c>
      <c r="H152" s="5">
        <v>0</v>
      </c>
      <c r="I152" s="5">
        <v>0</v>
      </c>
      <c r="J152" s="5">
        <v>0</v>
      </c>
      <c r="K152" s="5">
        <v>20784</v>
      </c>
      <c r="L152" s="5"/>
      <c r="M152" s="5">
        <v>32323</v>
      </c>
      <c r="N152" s="5">
        <v>3199</v>
      </c>
      <c r="O152" s="5"/>
      <c r="P152" s="5">
        <v>2672</v>
      </c>
      <c r="Q152" s="5">
        <v>7028</v>
      </c>
      <c r="R152" s="5">
        <v>928</v>
      </c>
      <c r="S152" s="5">
        <v>9679</v>
      </c>
      <c r="T152" s="5">
        <v>13956</v>
      </c>
      <c r="U152" s="5"/>
      <c r="V152" s="5"/>
      <c r="W152" s="5">
        <v>1322</v>
      </c>
      <c r="X152" s="5">
        <v>0</v>
      </c>
      <c r="Y152" s="5">
        <v>622</v>
      </c>
      <c r="Z152" s="5">
        <v>34</v>
      </c>
      <c r="AA152" s="155"/>
      <c r="AB152" s="5">
        <v>14</v>
      </c>
      <c r="AC152" s="5">
        <v>0</v>
      </c>
      <c r="AD152" s="5">
        <v>15</v>
      </c>
      <c r="AE152" s="5">
        <v>24</v>
      </c>
      <c r="AF152" s="5">
        <v>32</v>
      </c>
      <c r="AG152" s="5">
        <v>60</v>
      </c>
      <c r="AH152" s="5"/>
      <c r="AI152" s="5"/>
      <c r="AJ152" s="5">
        <v>10</v>
      </c>
      <c r="AK152" s="5">
        <v>0</v>
      </c>
      <c r="AL152" s="5">
        <v>82808</v>
      </c>
      <c r="AM152" s="5">
        <v>3446</v>
      </c>
      <c r="AN152" s="5">
        <v>8895</v>
      </c>
      <c r="AO152" s="5">
        <v>21</v>
      </c>
      <c r="AP152" s="5">
        <v>10</v>
      </c>
      <c r="AQ152" s="5">
        <v>906</v>
      </c>
      <c r="AR152" s="5">
        <v>284</v>
      </c>
      <c r="AS152" s="5">
        <v>1641</v>
      </c>
      <c r="AT152" s="5" t="s">
        <v>82</v>
      </c>
      <c r="AU152" s="5">
        <v>2064</v>
      </c>
      <c r="AV152" s="5">
        <v>1729</v>
      </c>
      <c r="AW152" s="5">
        <v>3065</v>
      </c>
      <c r="AX152" s="5">
        <v>9877</v>
      </c>
      <c r="AY152" s="155"/>
      <c r="AZ152" s="155"/>
      <c r="BA152" s="155">
        <v>0</v>
      </c>
      <c r="BB152" s="155"/>
      <c r="BC152" s="5">
        <v>727</v>
      </c>
      <c r="BD152" s="5"/>
      <c r="BE152" s="5">
        <v>22219</v>
      </c>
      <c r="BF152" s="5">
        <v>55047</v>
      </c>
      <c r="BG152" s="5">
        <v>370</v>
      </c>
      <c r="BH152" s="5">
        <v>913</v>
      </c>
      <c r="BI152" s="5">
        <v>995</v>
      </c>
      <c r="BJ152" s="5">
        <v>6061</v>
      </c>
      <c r="BK152" s="5">
        <v>34</v>
      </c>
      <c r="BL152" s="5">
        <v>3221</v>
      </c>
      <c r="BM152" s="5"/>
      <c r="BN152" s="5">
        <v>695</v>
      </c>
      <c r="BO152" s="5">
        <v>23</v>
      </c>
      <c r="BP152" s="5">
        <v>0</v>
      </c>
      <c r="BQ152" s="5">
        <v>14517</v>
      </c>
      <c r="BR152" s="5">
        <v>17594</v>
      </c>
      <c r="BS152" s="5">
        <v>25</v>
      </c>
      <c r="BT152" s="5">
        <v>518</v>
      </c>
      <c r="BU152" s="5">
        <v>463</v>
      </c>
      <c r="BV152" s="5"/>
      <c r="BW152" s="5">
        <v>7</v>
      </c>
      <c r="BX152" s="5">
        <v>204</v>
      </c>
      <c r="BY152" s="5"/>
      <c r="BZ152" s="5">
        <v>99</v>
      </c>
      <c r="CA152" s="5">
        <v>0</v>
      </c>
      <c r="CB152" s="5">
        <v>2932</v>
      </c>
      <c r="CC152" s="5">
        <v>12114</v>
      </c>
      <c r="CD152" s="5">
        <v>56773</v>
      </c>
      <c r="CE152" s="5">
        <v>89475</v>
      </c>
      <c r="CF152" s="5">
        <v>14548</v>
      </c>
      <c r="CG152" s="5">
        <v>0</v>
      </c>
      <c r="CH152" s="5">
        <v>0</v>
      </c>
      <c r="CI152" s="5">
        <v>34</v>
      </c>
      <c r="CJ152" s="5">
        <v>60</v>
      </c>
      <c r="CK152" s="5">
        <v>97</v>
      </c>
      <c r="CL152" s="5"/>
      <c r="CM152" s="5"/>
      <c r="CN152" s="5"/>
      <c r="CO152" s="5"/>
      <c r="CP152" s="5"/>
      <c r="CQ152" s="5"/>
      <c r="CR152" s="5"/>
      <c r="CS152" s="5"/>
      <c r="CT152" s="5" t="s">
        <v>82</v>
      </c>
      <c r="CU152" s="5" t="s">
        <v>82</v>
      </c>
      <c r="CV152" s="5" t="s">
        <v>82</v>
      </c>
      <c r="CW152" s="5">
        <v>0</v>
      </c>
      <c r="CX152" s="5">
        <v>0</v>
      </c>
      <c r="CY152" s="5">
        <v>0</v>
      </c>
      <c r="DA152" s="6"/>
      <c r="DD152" s="6">
        <f t="shared" si="35"/>
        <v>299038</v>
      </c>
      <c r="DE152" s="6">
        <f t="shared" si="36"/>
        <v>187391</v>
      </c>
      <c r="DF152" s="16">
        <f t="shared" si="37"/>
        <v>486429</v>
      </c>
      <c r="DK152" s="6">
        <f t="shared" si="38"/>
        <v>57151</v>
      </c>
      <c r="DL152" s="6">
        <f t="shared" si="39"/>
        <v>96252</v>
      </c>
      <c r="DM152" s="6">
        <f t="shared" si="33"/>
        <v>13956</v>
      </c>
      <c r="DN152" s="6">
        <f t="shared" si="34"/>
        <v>20032</v>
      </c>
      <c r="DO152" s="6">
        <f t="shared" si="40"/>
        <v>238172</v>
      </c>
      <c r="DP152" s="6">
        <f t="shared" si="48"/>
        <v>38862</v>
      </c>
      <c r="DQ152" s="6"/>
      <c r="DR152" s="6">
        <f t="shared" si="41"/>
        <v>12148</v>
      </c>
      <c r="DS152" s="6">
        <f t="shared" si="42"/>
        <v>0</v>
      </c>
      <c r="DT152" s="6">
        <f t="shared" si="43"/>
        <v>9856</v>
      </c>
      <c r="DU152" s="6"/>
      <c r="DV152" s="6"/>
      <c r="DW152" s="6">
        <f t="shared" si="44"/>
        <v>486429</v>
      </c>
      <c r="DY152" s="6">
        <f t="shared" si="45"/>
        <v>268812</v>
      </c>
      <c r="DZ152" s="6">
        <f t="shared" si="46"/>
        <v>20784</v>
      </c>
      <c r="EB152" s="6">
        <f t="shared" si="47"/>
        <v>507213</v>
      </c>
      <c r="EC152" s="6"/>
      <c r="ED152" s="6"/>
      <c r="EF152" s="6"/>
      <c r="EG152" s="6"/>
    </row>
    <row r="153" spans="2:137" ht="14">
      <c r="B153" s="4">
        <v>36617</v>
      </c>
      <c r="C153" s="5">
        <v>0</v>
      </c>
      <c r="D153" s="5">
        <v>0</v>
      </c>
      <c r="E153" s="5">
        <v>0</v>
      </c>
      <c r="F153" s="5" t="s">
        <v>82</v>
      </c>
      <c r="G153" s="5" t="s">
        <v>82</v>
      </c>
      <c r="H153" s="5">
        <v>0</v>
      </c>
      <c r="I153" s="5">
        <v>0</v>
      </c>
      <c r="J153" s="5">
        <v>0</v>
      </c>
      <c r="K153" s="5">
        <v>21867</v>
      </c>
      <c r="L153" s="5"/>
      <c r="M153" s="5">
        <v>32367</v>
      </c>
      <c r="N153" s="5">
        <v>3194</v>
      </c>
      <c r="O153" s="5"/>
      <c r="P153" s="5">
        <v>2646</v>
      </c>
      <c r="Q153" s="5">
        <v>7170</v>
      </c>
      <c r="R153" s="5">
        <v>923</v>
      </c>
      <c r="S153" s="5">
        <v>9736</v>
      </c>
      <c r="T153" s="5">
        <v>14015</v>
      </c>
      <c r="U153" s="5"/>
      <c r="V153" s="5"/>
      <c r="W153" s="5">
        <v>1279</v>
      </c>
      <c r="X153" s="5">
        <v>0</v>
      </c>
      <c r="Y153" s="5">
        <v>615</v>
      </c>
      <c r="Z153" s="5">
        <v>33</v>
      </c>
      <c r="AA153" s="155"/>
      <c r="AB153" s="5">
        <v>13</v>
      </c>
      <c r="AC153" s="5">
        <v>0</v>
      </c>
      <c r="AD153" s="5">
        <v>14</v>
      </c>
      <c r="AE153" s="5">
        <v>24</v>
      </c>
      <c r="AF153" s="5">
        <v>33</v>
      </c>
      <c r="AG153" s="5">
        <v>58</v>
      </c>
      <c r="AH153" s="5"/>
      <c r="AI153" s="5"/>
      <c r="AJ153" s="5">
        <v>11</v>
      </c>
      <c r="AK153" s="5">
        <v>0</v>
      </c>
      <c r="AL153" s="5">
        <v>83070</v>
      </c>
      <c r="AM153" s="5">
        <v>3501</v>
      </c>
      <c r="AN153" s="5">
        <v>9007</v>
      </c>
      <c r="AO153" s="5">
        <v>21</v>
      </c>
      <c r="AP153" s="5">
        <v>11</v>
      </c>
      <c r="AQ153" s="5">
        <v>1272</v>
      </c>
      <c r="AR153" s="5">
        <v>430</v>
      </c>
      <c r="AS153" s="5">
        <v>1679</v>
      </c>
      <c r="AT153" s="5" t="s">
        <v>82</v>
      </c>
      <c r="AU153" s="5">
        <v>2121</v>
      </c>
      <c r="AV153" s="5">
        <v>1734</v>
      </c>
      <c r="AW153" s="5">
        <v>3104</v>
      </c>
      <c r="AX153" s="5">
        <v>9945</v>
      </c>
      <c r="AY153" s="155"/>
      <c r="AZ153" s="155"/>
      <c r="BA153" s="155">
        <v>0</v>
      </c>
      <c r="BB153" s="155"/>
      <c r="BC153" s="5">
        <v>717</v>
      </c>
      <c r="BD153" s="5"/>
      <c r="BE153" s="5">
        <v>21748</v>
      </c>
      <c r="BF153" s="5">
        <v>54009</v>
      </c>
      <c r="BG153" s="5">
        <v>386</v>
      </c>
      <c r="BH153" s="5">
        <v>877</v>
      </c>
      <c r="BI153" s="5">
        <v>956</v>
      </c>
      <c r="BJ153" s="5">
        <v>6132</v>
      </c>
      <c r="BK153" s="5">
        <v>35</v>
      </c>
      <c r="BL153" s="5">
        <v>3300</v>
      </c>
      <c r="BM153" s="5"/>
      <c r="BN153" s="5">
        <v>680</v>
      </c>
      <c r="BO153" s="5">
        <v>23</v>
      </c>
      <c r="BP153" s="5">
        <v>0</v>
      </c>
      <c r="BQ153" s="5">
        <v>15004</v>
      </c>
      <c r="BR153" s="5">
        <v>18293</v>
      </c>
      <c r="BS153" s="5">
        <v>27</v>
      </c>
      <c r="BT153" s="5">
        <v>568</v>
      </c>
      <c r="BU153" s="5">
        <v>481</v>
      </c>
      <c r="BV153" s="5"/>
      <c r="BW153" s="5">
        <v>8</v>
      </c>
      <c r="BX153" s="5">
        <v>191</v>
      </c>
      <c r="BY153" s="5"/>
      <c r="BZ153" s="5">
        <v>101</v>
      </c>
      <c r="CA153" s="5">
        <v>0</v>
      </c>
      <c r="CB153" s="5">
        <v>3211</v>
      </c>
      <c r="CC153" s="5">
        <v>12479</v>
      </c>
      <c r="CD153" s="5">
        <v>56878</v>
      </c>
      <c r="CE153" s="5">
        <v>90369</v>
      </c>
      <c r="CF153" s="5">
        <v>14602</v>
      </c>
      <c r="CG153" s="5">
        <v>0</v>
      </c>
      <c r="CH153" s="5">
        <v>0</v>
      </c>
      <c r="CI153" s="5">
        <v>32</v>
      </c>
      <c r="CJ153" s="5">
        <v>57</v>
      </c>
      <c r="CK153" s="5">
        <v>101</v>
      </c>
      <c r="CL153" s="5"/>
      <c r="CM153" s="5"/>
      <c r="CN153" s="5"/>
      <c r="CO153" s="5"/>
      <c r="CP153" s="5"/>
      <c r="CQ153" s="5"/>
      <c r="CR153" s="5"/>
      <c r="CS153" s="5"/>
      <c r="CT153" s="5" t="s">
        <v>82</v>
      </c>
      <c r="CU153" s="5" t="s">
        <v>82</v>
      </c>
      <c r="CV153" s="5" t="s">
        <v>82</v>
      </c>
      <c r="CW153" s="5">
        <v>0</v>
      </c>
      <c r="CX153" s="5">
        <v>0</v>
      </c>
      <c r="CY153" s="5">
        <v>0</v>
      </c>
      <c r="DA153" s="6"/>
      <c r="DD153" s="6">
        <f t="shared" si="35"/>
        <v>300548</v>
      </c>
      <c r="DE153" s="6">
        <f t="shared" si="36"/>
        <v>188743</v>
      </c>
      <c r="DF153" s="16">
        <f t="shared" si="37"/>
        <v>489291</v>
      </c>
      <c r="DK153" s="6">
        <f t="shared" si="38"/>
        <v>57315</v>
      </c>
      <c r="DL153" s="6">
        <f t="shared" si="39"/>
        <v>96690</v>
      </c>
      <c r="DM153" s="6">
        <f t="shared" si="33"/>
        <v>14015</v>
      </c>
      <c r="DN153" s="6">
        <f t="shared" si="34"/>
        <v>20723</v>
      </c>
      <c r="DO153" s="6">
        <f t="shared" si="40"/>
        <v>239151</v>
      </c>
      <c r="DP153" s="6">
        <f t="shared" si="48"/>
        <v>38877</v>
      </c>
      <c r="DQ153" s="6"/>
      <c r="DR153" s="6">
        <f t="shared" si="41"/>
        <v>12511</v>
      </c>
      <c r="DS153" s="6">
        <f t="shared" si="42"/>
        <v>0</v>
      </c>
      <c r="DT153" s="6">
        <f t="shared" si="43"/>
        <v>10009</v>
      </c>
      <c r="DU153" s="6"/>
      <c r="DV153" s="6"/>
      <c r="DW153" s="6">
        <f t="shared" si="44"/>
        <v>489291</v>
      </c>
      <c r="DY153" s="6">
        <f t="shared" si="45"/>
        <v>271027</v>
      </c>
      <c r="DZ153" s="6">
        <f t="shared" si="46"/>
        <v>21867</v>
      </c>
      <c r="EB153" s="6">
        <f t="shared" si="47"/>
        <v>511158</v>
      </c>
      <c r="EC153" s="6"/>
      <c r="ED153" s="6"/>
      <c r="EF153" s="6"/>
      <c r="EG153" s="6"/>
    </row>
    <row r="154" spans="2:137" ht="14">
      <c r="B154" s="4">
        <v>36647</v>
      </c>
      <c r="C154" s="5">
        <v>0</v>
      </c>
      <c r="D154" s="5">
        <v>0</v>
      </c>
      <c r="E154" s="5">
        <v>0</v>
      </c>
      <c r="F154" s="5" t="s">
        <v>82</v>
      </c>
      <c r="G154" s="5" t="s">
        <v>82</v>
      </c>
      <c r="H154" s="5">
        <v>0</v>
      </c>
      <c r="I154" s="5">
        <v>0</v>
      </c>
      <c r="J154" s="5">
        <v>0</v>
      </c>
      <c r="K154" s="5">
        <v>22494</v>
      </c>
      <c r="L154" s="5"/>
      <c r="M154" s="5">
        <v>32355</v>
      </c>
      <c r="N154" s="5">
        <v>3179</v>
      </c>
      <c r="O154" s="5"/>
      <c r="P154" s="5">
        <v>2566</v>
      </c>
      <c r="Q154" s="5">
        <v>7247</v>
      </c>
      <c r="R154" s="5">
        <v>908</v>
      </c>
      <c r="S154" s="5">
        <v>9775</v>
      </c>
      <c r="T154" s="5">
        <v>14007</v>
      </c>
      <c r="U154" s="5"/>
      <c r="V154" s="5"/>
      <c r="W154" s="5">
        <v>1230</v>
      </c>
      <c r="X154" s="5">
        <v>0</v>
      </c>
      <c r="Y154" s="5">
        <v>611</v>
      </c>
      <c r="Z154" s="5">
        <v>33</v>
      </c>
      <c r="AA154" s="155"/>
      <c r="AB154" s="5">
        <v>14</v>
      </c>
      <c r="AC154" s="5">
        <v>0</v>
      </c>
      <c r="AD154" s="5">
        <v>12</v>
      </c>
      <c r="AE154" s="5">
        <v>25</v>
      </c>
      <c r="AF154" s="5">
        <v>33</v>
      </c>
      <c r="AG154" s="5">
        <v>60</v>
      </c>
      <c r="AH154" s="5"/>
      <c r="AI154" s="5"/>
      <c r="AJ154" s="5">
        <v>11</v>
      </c>
      <c r="AK154" s="5">
        <v>0</v>
      </c>
      <c r="AL154" s="5">
        <v>82362</v>
      </c>
      <c r="AM154" s="5">
        <v>3531</v>
      </c>
      <c r="AN154" s="5">
        <v>9017</v>
      </c>
      <c r="AO154" s="5">
        <v>22</v>
      </c>
      <c r="AP154" s="5">
        <v>13</v>
      </c>
      <c r="AQ154" s="5">
        <v>1519</v>
      </c>
      <c r="AR154" s="5">
        <v>583</v>
      </c>
      <c r="AS154" s="5">
        <v>1648</v>
      </c>
      <c r="AT154" s="5" t="s">
        <v>82</v>
      </c>
      <c r="AU154" s="5">
        <v>2155</v>
      </c>
      <c r="AV154" s="5">
        <v>1750</v>
      </c>
      <c r="AW154" s="5">
        <v>3123</v>
      </c>
      <c r="AX154" s="5">
        <v>9954</v>
      </c>
      <c r="AY154" s="155"/>
      <c r="AZ154" s="155"/>
      <c r="BA154" s="155">
        <v>0</v>
      </c>
      <c r="BB154" s="155"/>
      <c r="BC154" s="5">
        <v>716</v>
      </c>
      <c r="BD154" s="5"/>
      <c r="BE154" s="5">
        <v>20597</v>
      </c>
      <c r="BF154" s="5">
        <v>51893</v>
      </c>
      <c r="BG154" s="5">
        <v>396</v>
      </c>
      <c r="BH154" s="5">
        <v>859</v>
      </c>
      <c r="BI154" s="5">
        <v>934</v>
      </c>
      <c r="BJ154" s="5">
        <v>6123</v>
      </c>
      <c r="BK154" s="5">
        <v>42</v>
      </c>
      <c r="BL154" s="5">
        <v>3266</v>
      </c>
      <c r="BM154" s="5"/>
      <c r="BN154" s="5">
        <v>538</v>
      </c>
      <c r="BO154" s="5">
        <v>23</v>
      </c>
      <c r="BP154" s="5">
        <v>0</v>
      </c>
      <c r="BQ154" s="5">
        <v>14902</v>
      </c>
      <c r="BR154" s="5">
        <v>18213</v>
      </c>
      <c r="BS154" s="5">
        <v>29</v>
      </c>
      <c r="BT154" s="5">
        <v>538</v>
      </c>
      <c r="BU154" s="5">
        <v>480</v>
      </c>
      <c r="BV154" s="5"/>
      <c r="BW154" s="5">
        <v>9</v>
      </c>
      <c r="BX154" s="5">
        <v>192</v>
      </c>
      <c r="BY154" s="5"/>
      <c r="BZ154" s="5">
        <v>94</v>
      </c>
      <c r="CA154" s="5">
        <v>0</v>
      </c>
      <c r="CB154" s="5">
        <v>3314</v>
      </c>
      <c r="CC154" s="5">
        <v>12317</v>
      </c>
      <c r="CD154" s="5">
        <v>55803</v>
      </c>
      <c r="CE154" s="5">
        <v>89120</v>
      </c>
      <c r="CF154" s="5">
        <v>14275</v>
      </c>
      <c r="CG154" s="5">
        <v>0</v>
      </c>
      <c r="CH154" s="5">
        <v>0</v>
      </c>
      <c r="CI154" s="5">
        <v>20</v>
      </c>
      <c r="CJ154" s="5">
        <v>55</v>
      </c>
      <c r="CK154" s="5">
        <v>95</v>
      </c>
      <c r="CL154" s="5"/>
      <c r="CM154" s="5"/>
      <c r="CN154" s="5"/>
      <c r="CO154" s="5"/>
      <c r="CP154" s="5"/>
      <c r="CQ154" s="5"/>
      <c r="CR154" s="5"/>
      <c r="CS154" s="5"/>
      <c r="CT154" s="5" t="s">
        <v>82</v>
      </c>
      <c r="CU154" s="5" t="s">
        <v>82</v>
      </c>
      <c r="CV154" s="5" t="s">
        <v>82</v>
      </c>
      <c r="CW154" s="5">
        <v>0</v>
      </c>
      <c r="CX154" s="5">
        <v>0</v>
      </c>
      <c r="CY154" s="5">
        <v>0</v>
      </c>
      <c r="DA154" s="6"/>
      <c r="DD154" s="6">
        <f t="shared" si="35"/>
        <v>294127</v>
      </c>
      <c r="DE154" s="6">
        <f t="shared" si="36"/>
        <v>188459</v>
      </c>
      <c r="DF154" s="16">
        <f t="shared" si="37"/>
        <v>482586</v>
      </c>
      <c r="DK154" s="6">
        <f t="shared" si="38"/>
        <v>57260</v>
      </c>
      <c r="DL154" s="6">
        <f t="shared" si="39"/>
        <v>96046</v>
      </c>
      <c r="DM154" s="6">
        <f t="shared" si="33"/>
        <v>14007</v>
      </c>
      <c r="DN154" s="6">
        <f t="shared" si="34"/>
        <v>21146</v>
      </c>
      <c r="DO154" s="6">
        <f t="shared" si="40"/>
        <v>234379</v>
      </c>
      <c r="DP154" s="6">
        <f t="shared" si="48"/>
        <v>37434</v>
      </c>
      <c r="DQ154" s="6"/>
      <c r="DR154" s="6">
        <f t="shared" si="41"/>
        <v>12337</v>
      </c>
      <c r="DS154" s="6">
        <f t="shared" si="42"/>
        <v>0</v>
      </c>
      <c r="DT154" s="6">
        <f t="shared" si="43"/>
        <v>9977</v>
      </c>
      <c r="DU154" s="6"/>
      <c r="DV154" s="6"/>
      <c r="DW154" s="6">
        <f t="shared" si="44"/>
        <v>482586</v>
      </c>
      <c r="DY154" s="6">
        <f t="shared" si="45"/>
        <v>266850</v>
      </c>
      <c r="DZ154" s="6">
        <f t="shared" si="46"/>
        <v>22494</v>
      </c>
      <c r="EB154" s="6">
        <f t="shared" si="47"/>
        <v>505080</v>
      </c>
      <c r="EC154" s="6"/>
      <c r="ED154" s="6"/>
      <c r="EF154" s="6"/>
      <c r="EG154" s="6"/>
    </row>
    <row r="155" spans="2:137" ht="14">
      <c r="B155" s="4">
        <v>36678</v>
      </c>
      <c r="C155" s="5">
        <v>0</v>
      </c>
      <c r="D155" s="5">
        <v>0</v>
      </c>
      <c r="E155" s="5">
        <v>0</v>
      </c>
      <c r="F155" s="5" t="s">
        <v>82</v>
      </c>
      <c r="G155" s="5" t="s">
        <v>82</v>
      </c>
      <c r="H155" s="5">
        <v>0</v>
      </c>
      <c r="I155" s="5">
        <v>0</v>
      </c>
      <c r="J155" s="5">
        <v>0</v>
      </c>
      <c r="K155" s="5">
        <v>23587</v>
      </c>
      <c r="L155" s="5"/>
      <c r="M155" s="5">
        <v>32312</v>
      </c>
      <c r="N155" s="5">
        <v>3177</v>
      </c>
      <c r="O155" s="5"/>
      <c r="P155" s="5">
        <v>2564</v>
      </c>
      <c r="Q155" s="5">
        <v>7344</v>
      </c>
      <c r="R155" s="5">
        <v>900</v>
      </c>
      <c r="S155" s="5">
        <v>9777</v>
      </c>
      <c r="T155" s="5">
        <v>14009</v>
      </c>
      <c r="U155" s="5"/>
      <c r="V155" s="5"/>
      <c r="W155" s="5">
        <v>1183</v>
      </c>
      <c r="X155" s="5">
        <v>0</v>
      </c>
      <c r="Y155" s="5">
        <v>600</v>
      </c>
      <c r="Z155" s="5">
        <v>32</v>
      </c>
      <c r="AA155" s="155"/>
      <c r="AB155" s="5">
        <v>14</v>
      </c>
      <c r="AC155" s="5">
        <v>0</v>
      </c>
      <c r="AD155" s="5">
        <v>11</v>
      </c>
      <c r="AE155" s="5">
        <v>25</v>
      </c>
      <c r="AF155" s="5">
        <v>33</v>
      </c>
      <c r="AG155" s="5">
        <v>61</v>
      </c>
      <c r="AH155" s="5"/>
      <c r="AI155" s="5"/>
      <c r="AJ155" s="5">
        <v>11</v>
      </c>
      <c r="AK155" s="5">
        <v>0</v>
      </c>
      <c r="AL155" s="5">
        <v>81991</v>
      </c>
      <c r="AM155" s="5">
        <v>3554</v>
      </c>
      <c r="AN155" s="5">
        <v>9098</v>
      </c>
      <c r="AO155" s="5">
        <v>24</v>
      </c>
      <c r="AP155" s="5">
        <v>11</v>
      </c>
      <c r="AQ155" s="5">
        <v>1684</v>
      </c>
      <c r="AR155" s="5">
        <v>726</v>
      </c>
      <c r="AS155" s="5">
        <v>1688</v>
      </c>
      <c r="AT155" s="5" t="s">
        <v>82</v>
      </c>
      <c r="AU155" s="5">
        <v>2203</v>
      </c>
      <c r="AV155" s="5">
        <v>1755</v>
      </c>
      <c r="AW155" s="5">
        <v>3161</v>
      </c>
      <c r="AX155" s="5">
        <v>9967</v>
      </c>
      <c r="AY155" s="155"/>
      <c r="AZ155" s="155"/>
      <c r="BA155" s="155">
        <v>0</v>
      </c>
      <c r="BB155" s="155"/>
      <c r="BC155" s="5">
        <v>695</v>
      </c>
      <c r="BD155" s="5"/>
      <c r="BE155" s="5">
        <v>19897</v>
      </c>
      <c r="BF155" s="5">
        <v>50504</v>
      </c>
      <c r="BG155" s="5">
        <v>392</v>
      </c>
      <c r="BH155" s="5">
        <v>825</v>
      </c>
      <c r="BI155" s="5">
        <v>905</v>
      </c>
      <c r="BJ155" s="5">
        <v>6169</v>
      </c>
      <c r="BK155" s="5">
        <v>44</v>
      </c>
      <c r="BL155" s="5">
        <v>3335</v>
      </c>
      <c r="BM155" s="5"/>
      <c r="BN155" s="5">
        <v>554</v>
      </c>
      <c r="BO155" s="5">
        <v>22</v>
      </c>
      <c r="BP155" s="5">
        <v>0</v>
      </c>
      <c r="BQ155" s="5">
        <v>14998</v>
      </c>
      <c r="BR155" s="5">
        <v>18351</v>
      </c>
      <c r="BS155" s="5">
        <v>26</v>
      </c>
      <c r="BT155" s="5">
        <v>530</v>
      </c>
      <c r="BU155" s="5">
        <v>451</v>
      </c>
      <c r="BV155" s="5"/>
      <c r="BW155" s="5">
        <v>9</v>
      </c>
      <c r="BX155" s="5">
        <v>200</v>
      </c>
      <c r="BY155" s="5"/>
      <c r="BZ155" s="5">
        <v>94</v>
      </c>
      <c r="CA155" s="5">
        <v>0</v>
      </c>
      <c r="CB155" s="5">
        <v>3366</v>
      </c>
      <c r="CC155" s="5">
        <v>12347</v>
      </c>
      <c r="CD155" s="5">
        <v>55493</v>
      </c>
      <c r="CE155" s="5">
        <v>89094</v>
      </c>
      <c r="CF155" s="5">
        <v>14276</v>
      </c>
      <c r="CG155" s="5">
        <v>0</v>
      </c>
      <c r="CH155" s="5">
        <v>0</v>
      </c>
      <c r="CI155" s="5">
        <v>19</v>
      </c>
      <c r="CJ155" s="5">
        <v>54</v>
      </c>
      <c r="CK155" s="5">
        <v>101</v>
      </c>
      <c r="CL155" s="5"/>
      <c r="CM155" s="5"/>
      <c r="CN155" s="5"/>
      <c r="CO155" s="5"/>
      <c r="CP155" s="5"/>
      <c r="CQ155" s="5"/>
      <c r="CR155" s="5"/>
      <c r="CS155" s="5"/>
      <c r="CT155" s="5" t="s">
        <v>82</v>
      </c>
      <c r="CU155" s="5" t="s">
        <v>82</v>
      </c>
      <c r="CV155" s="5" t="s">
        <v>82</v>
      </c>
      <c r="CW155" s="5">
        <v>0</v>
      </c>
      <c r="CX155" s="5">
        <v>0</v>
      </c>
      <c r="CY155" s="5">
        <v>0</v>
      </c>
      <c r="DA155" s="6"/>
      <c r="DD155" s="6">
        <f t="shared" si="35"/>
        <v>292056</v>
      </c>
      <c r="DE155" s="6">
        <f t="shared" si="36"/>
        <v>188610</v>
      </c>
      <c r="DF155" s="16">
        <f t="shared" si="37"/>
        <v>480666</v>
      </c>
      <c r="DK155" s="6">
        <f t="shared" si="38"/>
        <v>57257</v>
      </c>
      <c r="DL155" s="6">
        <f t="shared" si="39"/>
        <v>95797</v>
      </c>
      <c r="DM155" s="6">
        <f t="shared" si="33"/>
        <v>14009</v>
      </c>
      <c r="DN155" s="6">
        <f t="shared" si="34"/>
        <v>21547</v>
      </c>
      <c r="DO155" s="6">
        <f t="shared" si="40"/>
        <v>232790</v>
      </c>
      <c r="DP155" s="6">
        <f t="shared" si="48"/>
        <v>36804</v>
      </c>
      <c r="DQ155" s="6"/>
      <c r="DR155" s="6">
        <f t="shared" si="41"/>
        <v>12366</v>
      </c>
      <c r="DS155" s="6">
        <f t="shared" si="42"/>
        <v>0</v>
      </c>
      <c r="DT155" s="6">
        <f t="shared" si="43"/>
        <v>10096</v>
      </c>
      <c r="DU155" s="6"/>
      <c r="DV155" s="6"/>
      <c r="DW155" s="6">
        <f t="shared" si="44"/>
        <v>480666</v>
      </c>
      <c r="DY155" s="6">
        <f t="shared" si="45"/>
        <v>266473</v>
      </c>
      <c r="DZ155" s="6">
        <f t="shared" si="46"/>
        <v>23587</v>
      </c>
      <c r="EB155" s="6">
        <f t="shared" si="47"/>
        <v>504253</v>
      </c>
      <c r="EC155" s="6"/>
      <c r="ED155" s="6"/>
      <c r="EF155" s="6"/>
      <c r="EG155" s="6"/>
    </row>
    <row r="156" spans="2:137" ht="14">
      <c r="B156" s="4">
        <v>36708</v>
      </c>
      <c r="C156" s="5">
        <v>0</v>
      </c>
      <c r="D156" s="5">
        <v>0</v>
      </c>
      <c r="E156" s="5">
        <v>0</v>
      </c>
      <c r="F156" s="5" t="s">
        <v>82</v>
      </c>
      <c r="G156" s="5" t="s">
        <v>82</v>
      </c>
      <c r="H156" s="5">
        <v>2791</v>
      </c>
      <c r="I156" s="5">
        <v>5368</v>
      </c>
      <c r="J156" s="5">
        <v>2279</v>
      </c>
      <c r="K156" s="5">
        <v>13697</v>
      </c>
      <c r="L156" s="5"/>
      <c r="M156" s="5">
        <v>32219</v>
      </c>
      <c r="N156" s="5">
        <v>3179</v>
      </c>
      <c r="O156" s="5"/>
      <c r="P156" s="5">
        <v>2547</v>
      </c>
      <c r="Q156" s="5">
        <v>7417</v>
      </c>
      <c r="R156" s="5">
        <v>883</v>
      </c>
      <c r="S156" s="5">
        <v>9839</v>
      </c>
      <c r="T156" s="5">
        <v>13992</v>
      </c>
      <c r="U156" s="5"/>
      <c r="V156" s="5"/>
      <c r="W156" s="5">
        <v>1173</v>
      </c>
      <c r="X156" s="5">
        <v>0</v>
      </c>
      <c r="Y156" s="5">
        <v>597</v>
      </c>
      <c r="Z156" s="5">
        <v>32</v>
      </c>
      <c r="AA156" s="155"/>
      <c r="AB156" s="5">
        <v>15</v>
      </c>
      <c r="AC156" s="5">
        <v>0</v>
      </c>
      <c r="AD156" s="5">
        <v>12</v>
      </c>
      <c r="AE156" s="5">
        <v>25</v>
      </c>
      <c r="AF156" s="5">
        <v>32</v>
      </c>
      <c r="AG156" s="5">
        <v>58</v>
      </c>
      <c r="AH156" s="5"/>
      <c r="AI156" s="5"/>
      <c r="AJ156" s="5">
        <v>11</v>
      </c>
      <c r="AK156" s="5">
        <v>0</v>
      </c>
      <c r="AL156" s="5">
        <v>81963</v>
      </c>
      <c r="AM156" s="5">
        <v>3544</v>
      </c>
      <c r="AN156" s="5">
        <v>9077</v>
      </c>
      <c r="AO156" s="5">
        <v>25</v>
      </c>
      <c r="AP156" s="5">
        <v>11</v>
      </c>
      <c r="AQ156" s="5">
        <v>1802</v>
      </c>
      <c r="AR156" s="5">
        <v>824</v>
      </c>
      <c r="AS156" s="5">
        <v>1685</v>
      </c>
      <c r="AT156" s="5" t="s">
        <v>82</v>
      </c>
      <c r="AU156" s="5">
        <v>2225</v>
      </c>
      <c r="AV156" s="5">
        <v>1783</v>
      </c>
      <c r="AW156" s="5">
        <v>3173</v>
      </c>
      <c r="AX156" s="5">
        <v>9960</v>
      </c>
      <c r="AY156" s="155"/>
      <c r="AZ156" s="155"/>
      <c r="BA156" s="155">
        <v>0</v>
      </c>
      <c r="BB156" s="155"/>
      <c r="BC156" s="5">
        <v>712</v>
      </c>
      <c r="BD156" s="5"/>
      <c r="BE156" s="5">
        <v>19478</v>
      </c>
      <c r="BF156" s="5">
        <v>49639</v>
      </c>
      <c r="BG156" s="5">
        <v>392</v>
      </c>
      <c r="BH156" s="5">
        <v>796</v>
      </c>
      <c r="BI156" s="5">
        <v>862</v>
      </c>
      <c r="BJ156" s="5">
        <v>6234</v>
      </c>
      <c r="BK156" s="5">
        <v>42</v>
      </c>
      <c r="BL156" s="5">
        <v>3337</v>
      </c>
      <c r="BM156" s="5"/>
      <c r="BN156" s="5">
        <v>610</v>
      </c>
      <c r="BO156" s="5">
        <v>23</v>
      </c>
      <c r="BP156" s="5">
        <v>0</v>
      </c>
      <c r="BQ156" s="5">
        <v>14987</v>
      </c>
      <c r="BR156" s="5">
        <v>18201</v>
      </c>
      <c r="BS156" s="5">
        <v>27</v>
      </c>
      <c r="BT156" s="5">
        <v>550</v>
      </c>
      <c r="BU156" s="5">
        <v>456</v>
      </c>
      <c r="BV156" s="5"/>
      <c r="BW156" s="5">
        <v>6</v>
      </c>
      <c r="BX156" s="5">
        <v>198</v>
      </c>
      <c r="BY156" s="5"/>
      <c r="BZ156" s="5">
        <v>85</v>
      </c>
      <c r="CA156" s="5">
        <v>0</v>
      </c>
      <c r="CB156" s="5">
        <v>3507</v>
      </c>
      <c r="CC156" s="5">
        <v>12460</v>
      </c>
      <c r="CD156" s="5">
        <v>55146</v>
      </c>
      <c r="CE156" s="5">
        <v>88749</v>
      </c>
      <c r="CF156" s="5">
        <v>14430</v>
      </c>
      <c r="CG156" s="5">
        <v>0</v>
      </c>
      <c r="CH156" s="5">
        <v>0</v>
      </c>
      <c r="CI156" s="5">
        <v>16</v>
      </c>
      <c r="CJ156" s="5">
        <v>53</v>
      </c>
      <c r="CK156" s="5">
        <v>99</v>
      </c>
      <c r="CL156" s="5"/>
      <c r="CM156" s="5"/>
      <c r="CN156" s="5"/>
      <c r="CO156" s="5"/>
      <c r="CP156" s="5"/>
      <c r="CQ156" s="5"/>
      <c r="CR156" s="5"/>
      <c r="CS156" s="5"/>
      <c r="CT156" s="5" t="s">
        <v>82</v>
      </c>
      <c r="CU156" s="5" t="s">
        <v>82</v>
      </c>
      <c r="CV156" s="5" t="s">
        <v>82</v>
      </c>
      <c r="CW156" s="5">
        <v>0</v>
      </c>
      <c r="CX156" s="5">
        <v>0</v>
      </c>
      <c r="CY156" s="5">
        <v>0</v>
      </c>
      <c r="DA156" s="6"/>
      <c r="DD156" s="6">
        <f t="shared" si="35"/>
        <v>290383</v>
      </c>
      <c r="DE156" s="6">
        <f t="shared" si="36"/>
        <v>188815</v>
      </c>
      <c r="DF156" s="16">
        <f t="shared" si="37"/>
        <v>479198</v>
      </c>
      <c r="DK156" s="6">
        <f t="shared" si="38"/>
        <v>57257</v>
      </c>
      <c r="DL156" s="6">
        <f t="shared" si="39"/>
        <v>95834</v>
      </c>
      <c r="DM156" s="6">
        <f t="shared" si="33"/>
        <v>13992</v>
      </c>
      <c r="DN156" s="6">
        <f t="shared" si="34"/>
        <v>21732</v>
      </c>
      <c r="DO156" s="6">
        <f t="shared" si="40"/>
        <v>231325</v>
      </c>
      <c r="DP156" s="6">
        <f t="shared" si="48"/>
        <v>36421</v>
      </c>
      <c r="DQ156" s="6"/>
      <c r="DR156" s="6">
        <f t="shared" si="41"/>
        <v>12476</v>
      </c>
      <c r="DS156" s="6">
        <f t="shared" si="42"/>
        <v>0</v>
      </c>
      <c r="DT156" s="6">
        <f t="shared" si="43"/>
        <v>10161</v>
      </c>
      <c r="DU156" s="6"/>
      <c r="DV156" s="6"/>
      <c r="DW156" s="6">
        <f t="shared" si="44"/>
        <v>479198</v>
      </c>
      <c r="DY156" s="6">
        <f t="shared" si="45"/>
        <v>265621</v>
      </c>
      <c r="DZ156" s="6">
        <f t="shared" si="46"/>
        <v>24135</v>
      </c>
      <c r="EB156" s="6">
        <f t="shared" si="47"/>
        <v>503333</v>
      </c>
      <c r="EC156" s="6"/>
      <c r="ED156" s="6"/>
      <c r="EF156" s="6"/>
      <c r="EG156" s="6"/>
    </row>
    <row r="157" spans="2:137" ht="14">
      <c r="B157" s="4">
        <v>36739</v>
      </c>
      <c r="C157" s="5">
        <v>0</v>
      </c>
      <c r="D157" s="5">
        <v>0</v>
      </c>
      <c r="E157" s="5">
        <v>0</v>
      </c>
      <c r="F157" s="5" t="s">
        <v>82</v>
      </c>
      <c r="G157" s="5" t="s">
        <v>82</v>
      </c>
      <c r="H157" s="5">
        <v>2923</v>
      </c>
      <c r="I157" s="5">
        <v>5634</v>
      </c>
      <c r="J157" s="5">
        <v>2394</v>
      </c>
      <c r="K157" s="5">
        <v>14314</v>
      </c>
      <c r="L157" s="5"/>
      <c r="M157" s="5">
        <v>32224</v>
      </c>
      <c r="N157" s="5">
        <v>3172</v>
      </c>
      <c r="O157" s="5"/>
      <c r="P157" s="5">
        <v>2509</v>
      </c>
      <c r="Q157" s="5">
        <v>7449</v>
      </c>
      <c r="R157" s="5">
        <v>877</v>
      </c>
      <c r="S157" s="5">
        <v>9822</v>
      </c>
      <c r="T157" s="5">
        <v>13989</v>
      </c>
      <c r="U157" s="5"/>
      <c r="V157" s="5"/>
      <c r="W157" s="5">
        <v>1138</v>
      </c>
      <c r="X157" s="5">
        <v>0</v>
      </c>
      <c r="Y157" s="5">
        <v>584</v>
      </c>
      <c r="Z157" s="5">
        <v>33</v>
      </c>
      <c r="AA157" s="155"/>
      <c r="AB157" s="5">
        <v>15</v>
      </c>
      <c r="AC157" s="5">
        <v>0</v>
      </c>
      <c r="AD157" s="5">
        <v>12</v>
      </c>
      <c r="AE157" s="5">
        <v>26</v>
      </c>
      <c r="AF157" s="5">
        <v>33</v>
      </c>
      <c r="AG157" s="5">
        <v>59</v>
      </c>
      <c r="AH157" s="5"/>
      <c r="AI157" s="5"/>
      <c r="AJ157" s="5">
        <v>11</v>
      </c>
      <c r="AK157" s="5">
        <v>0</v>
      </c>
      <c r="AL157" s="5">
        <v>81967</v>
      </c>
      <c r="AM157" s="5">
        <v>3547</v>
      </c>
      <c r="AN157" s="5">
        <v>9214</v>
      </c>
      <c r="AO157" s="5">
        <v>26</v>
      </c>
      <c r="AP157" s="5">
        <v>14</v>
      </c>
      <c r="AQ157" s="5">
        <v>1938</v>
      </c>
      <c r="AR157" s="5">
        <v>927</v>
      </c>
      <c r="AS157" s="5">
        <v>1622</v>
      </c>
      <c r="AT157" s="5" t="s">
        <v>82</v>
      </c>
      <c r="AU157" s="5">
        <v>2245</v>
      </c>
      <c r="AV157" s="5">
        <v>1779</v>
      </c>
      <c r="AW157" s="5">
        <v>3150</v>
      </c>
      <c r="AX157" s="5">
        <v>10001</v>
      </c>
      <c r="AY157" s="155"/>
      <c r="AZ157" s="155"/>
      <c r="BA157" s="155">
        <v>0</v>
      </c>
      <c r="BB157" s="155"/>
      <c r="BC157" s="5">
        <v>694</v>
      </c>
      <c r="BD157" s="5"/>
      <c r="BE157" s="5">
        <v>16901</v>
      </c>
      <c r="BF157" s="5">
        <v>43574</v>
      </c>
      <c r="BG157" s="5">
        <v>405</v>
      </c>
      <c r="BH157" s="5">
        <v>607</v>
      </c>
      <c r="BI157" s="5">
        <v>645</v>
      </c>
      <c r="BJ157" s="5">
        <v>6193</v>
      </c>
      <c r="BK157" s="5">
        <v>42</v>
      </c>
      <c r="BL157" s="5">
        <v>3356</v>
      </c>
      <c r="BM157" s="5"/>
      <c r="BN157" s="5">
        <v>651</v>
      </c>
      <c r="BO157" s="5">
        <v>27</v>
      </c>
      <c r="BP157" s="5">
        <v>0</v>
      </c>
      <c r="BQ157" s="5">
        <v>16990</v>
      </c>
      <c r="BR157" s="5">
        <v>18820</v>
      </c>
      <c r="BS157" s="5">
        <v>33</v>
      </c>
      <c r="BT157" s="5">
        <v>731</v>
      </c>
      <c r="BU157" s="5">
        <v>497</v>
      </c>
      <c r="BV157" s="5"/>
      <c r="BW157" s="5">
        <v>8</v>
      </c>
      <c r="BX157" s="5">
        <v>199</v>
      </c>
      <c r="BY157" s="5"/>
      <c r="BZ157" s="5">
        <v>86</v>
      </c>
      <c r="CA157" s="5">
        <v>0</v>
      </c>
      <c r="CB157" s="5">
        <v>3688</v>
      </c>
      <c r="CC157" s="5">
        <v>12428</v>
      </c>
      <c r="CD157" s="5">
        <v>56476</v>
      </c>
      <c r="CE157" s="5">
        <v>91500</v>
      </c>
      <c r="CF157" s="5">
        <v>14522</v>
      </c>
      <c r="CG157" s="5">
        <v>0</v>
      </c>
      <c r="CH157" s="5">
        <v>0</v>
      </c>
      <c r="CI157" s="5">
        <v>15</v>
      </c>
      <c r="CJ157" s="5">
        <v>51</v>
      </c>
      <c r="CK157" s="5">
        <v>105</v>
      </c>
      <c r="CL157" s="5"/>
      <c r="CM157" s="5"/>
      <c r="CN157" s="5"/>
      <c r="CO157" s="5"/>
      <c r="CP157" s="5"/>
      <c r="CQ157" s="5"/>
      <c r="CR157" s="5"/>
      <c r="CS157" s="5"/>
      <c r="CT157" s="5" t="s">
        <v>82</v>
      </c>
      <c r="CU157" s="5" t="s">
        <v>82</v>
      </c>
      <c r="CV157" s="5" t="s">
        <v>82</v>
      </c>
      <c r="CW157" s="5">
        <v>0</v>
      </c>
      <c r="CX157" s="5">
        <v>0</v>
      </c>
      <c r="CY157" s="5">
        <v>0</v>
      </c>
      <c r="DA157" s="6"/>
      <c r="DD157" s="6">
        <f t="shared" si="35"/>
        <v>288550</v>
      </c>
      <c r="DE157" s="6">
        <f t="shared" si="36"/>
        <v>189077</v>
      </c>
      <c r="DF157" s="16">
        <f t="shared" si="37"/>
        <v>477627</v>
      </c>
      <c r="DK157" s="6">
        <f t="shared" si="38"/>
        <v>57191</v>
      </c>
      <c r="DL157" s="6">
        <f t="shared" si="39"/>
        <v>95744</v>
      </c>
      <c r="DM157" s="6">
        <f t="shared" si="33"/>
        <v>13989</v>
      </c>
      <c r="DN157" s="6">
        <f t="shared" si="34"/>
        <v>22153</v>
      </c>
      <c r="DO157" s="6">
        <f t="shared" si="40"/>
        <v>230074</v>
      </c>
      <c r="DP157" s="6">
        <f t="shared" si="48"/>
        <v>35880</v>
      </c>
      <c r="DQ157" s="6"/>
      <c r="DR157" s="6">
        <f t="shared" si="41"/>
        <v>12443</v>
      </c>
      <c r="DS157" s="6">
        <f t="shared" si="42"/>
        <v>0</v>
      </c>
      <c r="DT157" s="6">
        <f t="shared" si="43"/>
        <v>10153</v>
      </c>
      <c r="DU157" s="6"/>
      <c r="DV157" s="6"/>
      <c r="DW157" s="6">
        <f t="shared" si="44"/>
        <v>477627</v>
      </c>
      <c r="DY157" s="6">
        <f t="shared" si="45"/>
        <v>265492</v>
      </c>
      <c r="DZ157" s="6">
        <f t="shared" si="46"/>
        <v>25265</v>
      </c>
      <c r="EB157" s="6">
        <f t="shared" si="47"/>
        <v>502892</v>
      </c>
      <c r="EC157" s="6"/>
      <c r="ED157" s="6"/>
      <c r="EF157" s="6"/>
      <c r="EG157" s="6"/>
    </row>
    <row r="158" spans="2:137" ht="14">
      <c r="B158" s="4">
        <v>36770</v>
      </c>
      <c r="C158" s="5">
        <v>0</v>
      </c>
      <c r="D158" s="5">
        <v>0</v>
      </c>
      <c r="E158" s="5">
        <v>0</v>
      </c>
      <c r="F158" s="5" t="s">
        <v>82</v>
      </c>
      <c r="G158" s="5" t="s">
        <v>82</v>
      </c>
      <c r="H158" s="5">
        <v>2990</v>
      </c>
      <c r="I158" s="5">
        <v>5791</v>
      </c>
      <c r="J158" s="5">
        <v>2461</v>
      </c>
      <c r="K158" s="5">
        <v>14769</v>
      </c>
      <c r="L158" s="5"/>
      <c r="M158" s="5">
        <v>32225</v>
      </c>
      <c r="N158" s="5">
        <v>3187</v>
      </c>
      <c r="O158" s="5"/>
      <c r="P158" s="5">
        <v>2461</v>
      </c>
      <c r="Q158" s="5">
        <v>7544</v>
      </c>
      <c r="R158" s="5">
        <v>896</v>
      </c>
      <c r="S158" s="5">
        <v>9881</v>
      </c>
      <c r="T158" s="5">
        <v>13985</v>
      </c>
      <c r="U158" s="5"/>
      <c r="V158" s="5"/>
      <c r="W158" s="5">
        <v>1128</v>
      </c>
      <c r="X158" s="5">
        <v>0</v>
      </c>
      <c r="Y158" s="5">
        <v>581</v>
      </c>
      <c r="Z158" s="5">
        <v>32</v>
      </c>
      <c r="AA158" s="155"/>
      <c r="AB158" s="5">
        <v>18</v>
      </c>
      <c r="AC158" s="5">
        <v>0</v>
      </c>
      <c r="AD158" s="5">
        <v>12</v>
      </c>
      <c r="AE158" s="5">
        <v>22</v>
      </c>
      <c r="AF158" s="5">
        <v>36</v>
      </c>
      <c r="AG158" s="5">
        <v>60</v>
      </c>
      <c r="AH158" s="5"/>
      <c r="AI158" s="5"/>
      <c r="AJ158" s="5">
        <v>9</v>
      </c>
      <c r="AK158" s="5">
        <v>0</v>
      </c>
      <c r="AL158" s="5">
        <v>82030</v>
      </c>
      <c r="AM158" s="5">
        <v>3547</v>
      </c>
      <c r="AN158" s="5">
        <v>9240</v>
      </c>
      <c r="AO158" s="5">
        <v>29</v>
      </c>
      <c r="AP158" s="5">
        <v>17</v>
      </c>
      <c r="AQ158" s="5">
        <v>2078</v>
      </c>
      <c r="AR158" s="5">
        <v>1004</v>
      </c>
      <c r="AS158" s="5">
        <v>1600</v>
      </c>
      <c r="AT158" s="5" t="s">
        <v>82</v>
      </c>
      <c r="AU158" s="5">
        <v>2292</v>
      </c>
      <c r="AV158" s="5">
        <v>1787</v>
      </c>
      <c r="AW158" s="5">
        <v>3169</v>
      </c>
      <c r="AX158" s="5">
        <v>10041</v>
      </c>
      <c r="AY158" s="155"/>
      <c r="AZ158" s="155"/>
      <c r="BA158" s="155">
        <v>0</v>
      </c>
      <c r="BB158" s="155"/>
      <c r="BC158" s="5">
        <v>679</v>
      </c>
      <c r="BD158" s="5"/>
      <c r="BE158" s="5">
        <v>13958</v>
      </c>
      <c r="BF158" s="5">
        <v>36709</v>
      </c>
      <c r="BG158" s="5">
        <v>406</v>
      </c>
      <c r="BH158" s="5">
        <v>466</v>
      </c>
      <c r="BI158" s="5">
        <v>495</v>
      </c>
      <c r="BJ158" s="5">
        <v>6254</v>
      </c>
      <c r="BK158" s="5">
        <v>46</v>
      </c>
      <c r="BL158" s="5">
        <v>3415</v>
      </c>
      <c r="BM158" s="5"/>
      <c r="BN158" s="5">
        <v>751</v>
      </c>
      <c r="BO158" s="5">
        <v>30</v>
      </c>
      <c r="BP158" s="5">
        <v>0</v>
      </c>
      <c r="BQ158" s="5">
        <v>19593</v>
      </c>
      <c r="BR158" s="5">
        <v>18938</v>
      </c>
      <c r="BS158" s="5">
        <v>33</v>
      </c>
      <c r="BT158" s="5">
        <v>879</v>
      </c>
      <c r="BU158" s="5">
        <v>516</v>
      </c>
      <c r="BV158" s="5"/>
      <c r="BW158" s="5">
        <v>7</v>
      </c>
      <c r="BX158" s="5">
        <v>201</v>
      </c>
      <c r="BY158" s="5"/>
      <c r="BZ158" s="5">
        <v>80</v>
      </c>
      <c r="CA158" s="5">
        <v>0</v>
      </c>
      <c r="CB158" s="5">
        <v>3984</v>
      </c>
      <c r="CC158" s="5">
        <v>12590</v>
      </c>
      <c r="CD158" s="5">
        <v>58946</v>
      </c>
      <c r="CE158" s="5">
        <v>95612</v>
      </c>
      <c r="CF158" s="5">
        <v>14787</v>
      </c>
      <c r="CG158" s="5">
        <v>0</v>
      </c>
      <c r="CH158" s="5">
        <v>0</v>
      </c>
      <c r="CI158" s="5">
        <v>17</v>
      </c>
      <c r="CJ158" s="5">
        <v>50</v>
      </c>
      <c r="CK158" s="5">
        <v>94</v>
      </c>
      <c r="CL158" s="5"/>
      <c r="CM158" s="5"/>
      <c r="CN158" s="5"/>
      <c r="CO158" s="5"/>
      <c r="CP158" s="5"/>
      <c r="CQ158" s="5"/>
      <c r="CR158" s="5"/>
      <c r="CS158" s="5"/>
      <c r="CT158" s="5" t="s">
        <v>82</v>
      </c>
      <c r="CU158" s="5" t="s">
        <v>82</v>
      </c>
      <c r="CV158" s="5" t="s">
        <v>82</v>
      </c>
      <c r="CW158" s="5">
        <v>0</v>
      </c>
      <c r="CX158" s="5">
        <v>0</v>
      </c>
      <c r="CY158" s="5">
        <v>0</v>
      </c>
      <c r="DA158" s="6"/>
      <c r="DD158" s="6">
        <f t="shared" si="35"/>
        <v>288857</v>
      </c>
      <c r="DE158" s="6">
        <f t="shared" si="36"/>
        <v>189590</v>
      </c>
      <c r="DF158" s="16">
        <f t="shared" si="37"/>
        <v>478447</v>
      </c>
      <c r="DK158" s="6">
        <f t="shared" si="38"/>
        <v>57322</v>
      </c>
      <c r="DL158" s="6">
        <f t="shared" si="39"/>
        <v>95843</v>
      </c>
      <c r="DM158" s="6">
        <f t="shared" si="33"/>
        <v>13985</v>
      </c>
      <c r="DN158" s="6">
        <f t="shared" si="34"/>
        <v>22440</v>
      </c>
      <c r="DO158" s="6">
        <f t="shared" si="40"/>
        <v>230327</v>
      </c>
      <c r="DP158" s="6">
        <f t="shared" si="48"/>
        <v>35647</v>
      </c>
      <c r="DQ158" s="6"/>
      <c r="DR158" s="6">
        <f t="shared" si="41"/>
        <v>12607</v>
      </c>
      <c r="DS158" s="6">
        <f t="shared" si="42"/>
        <v>0</v>
      </c>
      <c r="DT158" s="6">
        <f t="shared" si="43"/>
        <v>10276</v>
      </c>
      <c r="DU158" s="6"/>
      <c r="DV158" s="6"/>
      <c r="DW158" s="6">
        <f t="shared" si="44"/>
        <v>478447</v>
      </c>
      <c r="DY158" s="6">
        <f t="shared" si="45"/>
        <v>266614</v>
      </c>
      <c r="DZ158" s="6">
        <f t="shared" si="46"/>
        <v>26011</v>
      </c>
      <c r="EB158" s="6">
        <f t="shared" si="47"/>
        <v>504458</v>
      </c>
      <c r="EC158" s="6"/>
      <c r="ED158" s="6"/>
      <c r="EF158" s="6"/>
      <c r="EG158" s="6"/>
    </row>
    <row r="159" spans="2:137" ht="14">
      <c r="B159" s="4">
        <v>36800</v>
      </c>
      <c r="C159" s="5">
        <v>0</v>
      </c>
      <c r="D159" s="5">
        <v>0</v>
      </c>
      <c r="E159" s="5">
        <v>0</v>
      </c>
      <c r="F159" s="5" t="s">
        <v>82</v>
      </c>
      <c r="G159" s="5" t="s">
        <v>82</v>
      </c>
      <c r="H159" s="5">
        <v>3042</v>
      </c>
      <c r="I159" s="5">
        <v>5986</v>
      </c>
      <c r="J159" s="5">
        <v>2568</v>
      </c>
      <c r="K159" s="5">
        <v>15247</v>
      </c>
      <c r="L159" s="5"/>
      <c r="M159" s="5">
        <v>32193</v>
      </c>
      <c r="N159" s="5">
        <v>3156</v>
      </c>
      <c r="O159" s="5"/>
      <c r="P159" s="5">
        <v>2468</v>
      </c>
      <c r="Q159" s="5">
        <v>7614</v>
      </c>
      <c r="R159" s="5">
        <v>875</v>
      </c>
      <c r="S159" s="5">
        <v>9898</v>
      </c>
      <c r="T159" s="5">
        <v>13928</v>
      </c>
      <c r="U159" s="5"/>
      <c r="V159" s="5"/>
      <c r="W159" s="5">
        <v>1093</v>
      </c>
      <c r="X159" s="5">
        <v>0</v>
      </c>
      <c r="Y159" s="5">
        <v>571</v>
      </c>
      <c r="Z159" s="5">
        <v>32</v>
      </c>
      <c r="AA159" s="155"/>
      <c r="AB159" s="5">
        <v>16</v>
      </c>
      <c r="AC159" s="5">
        <v>0</v>
      </c>
      <c r="AD159" s="5">
        <v>13</v>
      </c>
      <c r="AE159" s="5">
        <v>22</v>
      </c>
      <c r="AF159" s="5">
        <v>37</v>
      </c>
      <c r="AG159" s="5">
        <v>58</v>
      </c>
      <c r="AH159" s="5"/>
      <c r="AI159" s="5"/>
      <c r="AJ159" s="5">
        <v>8</v>
      </c>
      <c r="AK159" s="5">
        <v>0</v>
      </c>
      <c r="AL159" s="5">
        <v>81913</v>
      </c>
      <c r="AM159" s="5">
        <v>3549</v>
      </c>
      <c r="AN159" s="5">
        <v>9257</v>
      </c>
      <c r="AO159" s="5">
        <v>34</v>
      </c>
      <c r="AP159" s="5">
        <v>18</v>
      </c>
      <c r="AQ159" s="5">
        <v>2214</v>
      </c>
      <c r="AR159" s="5">
        <v>1104</v>
      </c>
      <c r="AS159" s="5">
        <v>1623</v>
      </c>
      <c r="AT159" s="5" t="s">
        <v>82</v>
      </c>
      <c r="AU159" s="5">
        <v>2306</v>
      </c>
      <c r="AV159" s="5">
        <v>1790</v>
      </c>
      <c r="AW159" s="5">
        <v>3173</v>
      </c>
      <c r="AX159" s="5">
        <v>10039</v>
      </c>
      <c r="AY159" s="155"/>
      <c r="AZ159" s="155"/>
      <c r="BA159" s="155">
        <v>0</v>
      </c>
      <c r="BB159" s="155"/>
      <c r="BC159" s="5">
        <v>659</v>
      </c>
      <c r="BD159" s="5"/>
      <c r="BE159" s="5">
        <v>11476</v>
      </c>
      <c r="BF159" s="5">
        <v>30866</v>
      </c>
      <c r="BG159" s="5">
        <v>410</v>
      </c>
      <c r="BH159" s="5">
        <v>362</v>
      </c>
      <c r="BI159" s="5">
        <v>392</v>
      </c>
      <c r="BJ159" s="5">
        <v>6242</v>
      </c>
      <c r="BK159" s="5">
        <v>48</v>
      </c>
      <c r="BL159" s="5">
        <v>3398</v>
      </c>
      <c r="BM159" s="5"/>
      <c r="BN159" s="5">
        <v>785</v>
      </c>
      <c r="BO159" s="5">
        <v>30</v>
      </c>
      <c r="BP159" s="5">
        <v>0</v>
      </c>
      <c r="BQ159" s="5">
        <v>21515</v>
      </c>
      <c r="BR159" s="5">
        <v>18626</v>
      </c>
      <c r="BS159" s="5">
        <v>32</v>
      </c>
      <c r="BT159" s="5">
        <v>982</v>
      </c>
      <c r="BU159" s="5">
        <v>522</v>
      </c>
      <c r="BV159" s="5"/>
      <c r="BW159" s="5">
        <v>9</v>
      </c>
      <c r="BX159" s="5">
        <v>198</v>
      </c>
      <c r="BY159" s="5"/>
      <c r="BZ159" s="5">
        <v>75</v>
      </c>
      <c r="CA159" s="5">
        <v>0</v>
      </c>
      <c r="CB159" s="5">
        <v>4232</v>
      </c>
      <c r="CC159" s="5">
        <v>12530</v>
      </c>
      <c r="CD159" s="5">
        <v>60640</v>
      </c>
      <c r="CE159" s="5">
        <v>98616</v>
      </c>
      <c r="CF159" s="5">
        <v>14913</v>
      </c>
      <c r="CG159" s="5">
        <v>0</v>
      </c>
      <c r="CH159" s="5">
        <v>0</v>
      </c>
      <c r="CI159" s="5">
        <v>24</v>
      </c>
      <c r="CJ159" s="5">
        <v>51</v>
      </c>
      <c r="CK159" s="5">
        <v>99</v>
      </c>
      <c r="CL159" s="5"/>
      <c r="CM159" s="5"/>
      <c r="CN159" s="5"/>
      <c r="CO159" s="5"/>
      <c r="CP159" s="5"/>
      <c r="CQ159" s="5"/>
      <c r="CR159" s="5"/>
      <c r="CS159" s="5"/>
      <c r="CT159" s="5" t="s">
        <v>82</v>
      </c>
      <c r="CU159" s="5" t="s">
        <v>82</v>
      </c>
      <c r="CV159" s="5" t="s">
        <v>82</v>
      </c>
      <c r="CW159" s="5">
        <v>0</v>
      </c>
      <c r="CX159" s="5">
        <v>0</v>
      </c>
      <c r="CY159" s="5">
        <v>0</v>
      </c>
      <c r="DA159" s="6"/>
      <c r="DD159" s="6">
        <f t="shared" si="35"/>
        <v>287073</v>
      </c>
      <c r="DE159" s="6">
        <f t="shared" si="36"/>
        <v>189661</v>
      </c>
      <c r="DF159" s="16">
        <f t="shared" si="37"/>
        <v>476734</v>
      </c>
      <c r="DK159" s="6">
        <f t="shared" si="38"/>
        <v>57297</v>
      </c>
      <c r="DL159" s="6">
        <f t="shared" si="39"/>
        <v>95746</v>
      </c>
      <c r="DM159" s="6">
        <f t="shared" si="33"/>
        <v>13928</v>
      </c>
      <c r="DN159" s="6">
        <f t="shared" si="34"/>
        <v>22690</v>
      </c>
      <c r="DO159" s="6">
        <f t="shared" si="40"/>
        <v>229151</v>
      </c>
      <c r="DP159" s="6">
        <f t="shared" si="48"/>
        <v>35120</v>
      </c>
      <c r="DQ159" s="6"/>
      <c r="DR159" s="6">
        <f t="shared" si="41"/>
        <v>12554</v>
      </c>
      <c r="DS159" s="6">
        <f t="shared" si="42"/>
        <v>0</v>
      </c>
      <c r="DT159" s="6">
        <f t="shared" si="43"/>
        <v>10248</v>
      </c>
      <c r="DU159" s="6"/>
      <c r="DV159" s="6"/>
      <c r="DW159" s="6">
        <f t="shared" si="44"/>
        <v>476734</v>
      </c>
      <c r="DY159" s="6">
        <f t="shared" si="45"/>
        <v>266242</v>
      </c>
      <c r="DZ159" s="6">
        <f t="shared" si="46"/>
        <v>26843</v>
      </c>
      <c r="EB159" s="6">
        <f t="shared" si="47"/>
        <v>503577</v>
      </c>
      <c r="EC159" s="6"/>
      <c r="ED159" s="6"/>
      <c r="EF159" s="6"/>
      <c r="EG159" s="6"/>
    </row>
    <row r="160" spans="2:137" ht="14">
      <c r="B160" s="4">
        <v>36831</v>
      </c>
      <c r="C160" s="5">
        <v>0</v>
      </c>
      <c r="D160" s="5">
        <v>0</v>
      </c>
      <c r="E160" s="5">
        <v>0</v>
      </c>
      <c r="F160" s="5" t="s">
        <v>82</v>
      </c>
      <c r="G160" s="5" t="s">
        <v>82</v>
      </c>
      <c r="H160" s="5">
        <v>3164</v>
      </c>
      <c r="I160" s="5">
        <v>6211</v>
      </c>
      <c r="J160" s="5">
        <v>2633</v>
      </c>
      <c r="K160" s="5">
        <v>15850</v>
      </c>
      <c r="L160" s="5"/>
      <c r="M160" s="5">
        <v>32138</v>
      </c>
      <c r="N160" s="5">
        <v>3158</v>
      </c>
      <c r="O160" s="5"/>
      <c r="P160" s="5">
        <v>2461</v>
      </c>
      <c r="Q160" s="5">
        <v>7672</v>
      </c>
      <c r="R160" s="5">
        <v>863</v>
      </c>
      <c r="S160" s="5">
        <v>9964</v>
      </c>
      <c r="T160" s="5">
        <v>13933</v>
      </c>
      <c r="U160" s="5"/>
      <c r="V160" s="5"/>
      <c r="W160" s="5">
        <v>1091</v>
      </c>
      <c r="X160" s="5">
        <v>0</v>
      </c>
      <c r="Y160" s="5">
        <v>576</v>
      </c>
      <c r="Z160" s="5">
        <v>31</v>
      </c>
      <c r="AA160" s="155"/>
      <c r="AB160" s="5">
        <v>16</v>
      </c>
      <c r="AC160" s="5">
        <v>0</v>
      </c>
      <c r="AD160" s="5">
        <v>14</v>
      </c>
      <c r="AE160" s="5">
        <v>21</v>
      </c>
      <c r="AF160" s="5">
        <v>36</v>
      </c>
      <c r="AG160" s="5">
        <v>58</v>
      </c>
      <c r="AH160" s="5"/>
      <c r="AI160" s="5"/>
      <c r="AJ160" s="5">
        <v>6</v>
      </c>
      <c r="AK160" s="5">
        <v>0</v>
      </c>
      <c r="AL160" s="5">
        <v>82021</v>
      </c>
      <c r="AM160" s="5">
        <v>3541</v>
      </c>
      <c r="AN160" s="5">
        <v>9367</v>
      </c>
      <c r="AO160" s="5">
        <v>33</v>
      </c>
      <c r="AP160" s="5">
        <v>15</v>
      </c>
      <c r="AQ160" s="5">
        <v>2327</v>
      </c>
      <c r="AR160" s="5">
        <v>1183</v>
      </c>
      <c r="AS160" s="5">
        <v>1637</v>
      </c>
      <c r="AT160" s="5" t="s">
        <v>82</v>
      </c>
      <c r="AU160" s="5">
        <v>2283</v>
      </c>
      <c r="AV160" s="5">
        <v>1807</v>
      </c>
      <c r="AW160" s="5">
        <v>3299</v>
      </c>
      <c r="AX160" s="5">
        <v>10029</v>
      </c>
      <c r="AY160" s="155"/>
      <c r="AZ160" s="155"/>
      <c r="BA160" s="155">
        <v>0</v>
      </c>
      <c r="BB160" s="155"/>
      <c r="BC160" s="5">
        <v>674</v>
      </c>
      <c r="BD160" s="5"/>
      <c r="BE160" s="5">
        <v>9250</v>
      </c>
      <c r="BF160" s="5">
        <v>25185</v>
      </c>
      <c r="BG160" s="5">
        <v>413</v>
      </c>
      <c r="BH160" s="5">
        <v>275</v>
      </c>
      <c r="BI160" s="5">
        <v>296</v>
      </c>
      <c r="BJ160" s="5">
        <v>6214</v>
      </c>
      <c r="BK160" s="5">
        <v>47</v>
      </c>
      <c r="BL160" s="5">
        <v>3400</v>
      </c>
      <c r="BM160" s="5"/>
      <c r="BN160" s="5">
        <v>792</v>
      </c>
      <c r="BO160" s="5">
        <v>28</v>
      </c>
      <c r="BP160" s="5">
        <v>0</v>
      </c>
      <c r="BQ160" s="5">
        <v>23372</v>
      </c>
      <c r="BR160" s="5">
        <v>18304</v>
      </c>
      <c r="BS160" s="5">
        <v>31</v>
      </c>
      <c r="BT160" s="5">
        <v>1080</v>
      </c>
      <c r="BU160" s="5">
        <v>539</v>
      </c>
      <c r="BV160" s="5"/>
      <c r="BW160" s="5">
        <v>6</v>
      </c>
      <c r="BX160" s="5">
        <v>194</v>
      </c>
      <c r="BY160" s="5"/>
      <c r="BZ160" s="5">
        <v>85</v>
      </c>
      <c r="CA160" s="5">
        <v>0</v>
      </c>
      <c r="CB160" s="5">
        <v>4449</v>
      </c>
      <c r="CC160" s="5">
        <v>12482</v>
      </c>
      <c r="CD160" s="5">
        <v>62768</v>
      </c>
      <c r="CE160" s="5">
        <v>102774</v>
      </c>
      <c r="CF160" s="5">
        <v>15065</v>
      </c>
      <c r="CG160" s="5">
        <v>0</v>
      </c>
      <c r="CH160" s="5">
        <v>0</v>
      </c>
      <c r="CI160" s="5">
        <v>23</v>
      </c>
      <c r="CJ160" s="5">
        <v>49</v>
      </c>
      <c r="CK160" s="5">
        <v>92</v>
      </c>
      <c r="CL160" s="5"/>
      <c r="CM160" s="5"/>
      <c r="CN160" s="5"/>
      <c r="CO160" s="5"/>
      <c r="CP160" s="5"/>
      <c r="CQ160" s="5"/>
      <c r="CR160" s="5"/>
      <c r="CS160" s="5"/>
      <c r="CT160" s="5" t="s">
        <v>82</v>
      </c>
      <c r="CU160" s="5" t="s">
        <v>82</v>
      </c>
      <c r="CV160" s="5" t="s">
        <v>82</v>
      </c>
      <c r="CW160" s="5">
        <v>0</v>
      </c>
      <c r="CX160" s="5">
        <v>0</v>
      </c>
      <c r="CY160" s="5">
        <v>0</v>
      </c>
      <c r="DA160" s="6"/>
      <c r="DD160" s="6">
        <f t="shared" si="35"/>
        <v>287213</v>
      </c>
      <c r="DE160" s="6">
        <f t="shared" si="36"/>
        <v>190254</v>
      </c>
      <c r="DF160" s="16">
        <f t="shared" si="37"/>
        <v>477467</v>
      </c>
      <c r="DK160" s="6">
        <f t="shared" si="38"/>
        <v>57347</v>
      </c>
      <c r="DL160" s="6">
        <f t="shared" si="39"/>
        <v>95995</v>
      </c>
      <c r="DM160" s="6">
        <f t="shared" si="33"/>
        <v>13933</v>
      </c>
      <c r="DN160" s="6">
        <f t="shared" si="34"/>
        <v>22979</v>
      </c>
      <c r="DO160" s="6">
        <f t="shared" si="40"/>
        <v>229718</v>
      </c>
      <c r="DP160" s="6">
        <f t="shared" si="48"/>
        <v>34769</v>
      </c>
      <c r="DQ160" s="6"/>
      <c r="DR160" s="6">
        <f t="shared" si="41"/>
        <v>12505</v>
      </c>
      <c r="DS160" s="6">
        <f t="shared" si="42"/>
        <v>0</v>
      </c>
      <c r="DT160" s="6">
        <f t="shared" si="43"/>
        <v>10221</v>
      </c>
      <c r="DU160" s="6"/>
      <c r="DV160" s="6"/>
      <c r="DW160" s="6">
        <f t="shared" si="44"/>
        <v>477467</v>
      </c>
      <c r="DY160" s="6">
        <f t="shared" si="45"/>
        <v>267797</v>
      </c>
      <c r="DZ160" s="6">
        <f t="shared" si="46"/>
        <v>27858</v>
      </c>
      <c r="EB160" s="6">
        <f t="shared" si="47"/>
        <v>505325</v>
      </c>
      <c r="EC160" s="6"/>
      <c r="ED160" s="6"/>
      <c r="EF160" s="6"/>
      <c r="EG160" s="6"/>
    </row>
    <row r="161" spans="2:137" ht="14">
      <c r="B161" s="4">
        <v>36861</v>
      </c>
      <c r="C161" s="5">
        <v>0</v>
      </c>
      <c r="D161" s="5">
        <v>0</v>
      </c>
      <c r="E161" s="5">
        <v>0</v>
      </c>
      <c r="F161" s="5" t="s">
        <v>82</v>
      </c>
      <c r="G161" s="5" t="s">
        <v>82</v>
      </c>
      <c r="H161" s="5">
        <v>3220</v>
      </c>
      <c r="I161" s="5">
        <v>6495</v>
      </c>
      <c r="J161" s="5">
        <v>2667</v>
      </c>
      <c r="K161" s="5">
        <v>16294</v>
      </c>
      <c r="L161" s="5"/>
      <c r="M161" s="5">
        <v>32122</v>
      </c>
      <c r="N161" s="5">
        <v>3160</v>
      </c>
      <c r="O161" s="5"/>
      <c r="P161" s="5">
        <v>2508</v>
      </c>
      <c r="Q161" s="5">
        <v>7670</v>
      </c>
      <c r="R161" s="5">
        <v>873</v>
      </c>
      <c r="S161" s="5">
        <v>9840</v>
      </c>
      <c r="T161" s="5">
        <v>13994</v>
      </c>
      <c r="U161" s="5"/>
      <c r="V161" s="5"/>
      <c r="W161" s="5">
        <v>1064</v>
      </c>
      <c r="X161" s="5">
        <v>0</v>
      </c>
      <c r="Y161" s="5">
        <v>573</v>
      </c>
      <c r="Z161" s="5">
        <v>28</v>
      </c>
      <c r="AA161" s="155"/>
      <c r="AB161" s="5">
        <v>15</v>
      </c>
      <c r="AC161" s="5">
        <v>0</v>
      </c>
      <c r="AD161" s="5">
        <v>13</v>
      </c>
      <c r="AE161" s="5">
        <v>22</v>
      </c>
      <c r="AF161" s="5">
        <v>36</v>
      </c>
      <c r="AG161" s="5">
        <v>64</v>
      </c>
      <c r="AH161" s="5"/>
      <c r="AI161" s="5"/>
      <c r="AJ161" s="5">
        <v>7</v>
      </c>
      <c r="AK161" s="5">
        <v>0</v>
      </c>
      <c r="AL161" s="5">
        <v>82306</v>
      </c>
      <c r="AM161" s="5">
        <v>3548</v>
      </c>
      <c r="AN161" s="5">
        <v>9424</v>
      </c>
      <c r="AO161" s="5">
        <v>31</v>
      </c>
      <c r="AP161" s="5">
        <v>17</v>
      </c>
      <c r="AQ161" s="5">
        <v>2445</v>
      </c>
      <c r="AR161" s="5">
        <v>1289</v>
      </c>
      <c r="AS161" s="5">
        <v>1572</v>
      </c>
      <c r="AT161" s="5" t="s">
        <v>82</v>
      </c>
      <c r="AU161" s="5">
        <v>2309</v>
      </c>
      <c r="AV161" s="5">
        <v>1836</v>
      </c>
      <c r="AW161" s="5">
        <v>3326</v>
      </c>
      <c r="AX161" s="5">
        <v>10086</v>
      </c>
      <c r="AY161" s="155"/>
      <c r="AZ161" s="155"/>
      <c r="BA161" s="155">
        <v>0</v>
      </c>
      <c r="BB161" s="155"/>
      <c r="BC161" s="5">
        <v>639</v>
      </c>
      <c r="BD161" s="5"/>
      <c r="BE161" s="5">
        <v>6426</v>
      </c>
      <c r="BF161" s="5">
        <v>17260</v>
      </c>
      <c r="BG161" s="5">
        <v>419</v>
      </c>
      <c r="BH161" s="5">
        <v>187</v>
      </c>
      <c r="BI161" s="5">
        <v>211</v>
      </c>
      <c r="BJ161" s="5">
        <v>6218</v>
      </c>
      <c r="BK161" s="5">
        <v>51</v>
      </c>
      <c r="BL161" s="5">
        <v>3448</v>
      </c>
      <c r="BM161" s="5"/>
      <c r="BN161" s="5">
        <v>768</v>
      </c>
      <c r="BO161" s="5">
        <v>31</v>
      </c>
      <c r="BP161" s="5">
        <v>0</v>
      </c>
      <c r="BQ161" s="5">
        <v>25983</v>
      </c>
      <c r="BR161" s="5">
        <v>18422</v>
      </c>
      <c r="BS161" s="5">
        <v>33</v>
      </c>
      <c r="BT161" s="5">
        <v>1139</v>
      </c>
      <c r="BU161" s="5">
        <v>525</v>
      </c>
      <c r="BV161" s="5"/>
      <c r="BW161" s="5">
        <v>8</v>
      </c>
      <c r="BX161" s="5">
        <v>189</v>
      </c>
      <c r="BY161" s="5"/>
      <c r="BZ161" s="5">
        <v>91</v>
      </c>
      <c r="CA161" s="5">
        <v>0</v>
      </c>
      <c r="CB161" s="5">
        <v>4736</v>
      </c>
      <c r="CC161" s="5">
        <v>12342</v>
      </c>
      <c r="CD161" s="5">
        <v>65710</v>
      </c>
      <c r="CE161" s="5">
        <v>108527</v>
      </c>
      <c r="CF161" s="5">
        <v>15217</v>
      </c>
      <c r="CG161" s="5">
        <v>0</v>
      </c>
      <c r="CH161" s="5">
        <v>0</v>
      </c>
      <c r="CI161" s="5">
        <v>24</v>
      </c>
      <c r="CJ161" s="5">
        <v>49</v>
      </c>
      <c r="CK161" s="5">
        <v>90</v>
      </c>
      <c r="CL161" s="5"/>
      <c r="CM161" s="5"/>
      <c r="CN161" s="5"/>
      <c r="CO161" s="5"/>
      <c r="CP161" s="5"/>
      <c r="CQ161" s="5"/>
      <c r="CR161" s="5"/>
      <c r="CS161" s="5"/>
      <c r="CT161" s="5" t="s">
        <v>82</v>
      </c>
      <c r="CU161" s="5" t="s">
        <v>82</v>
      </c>
      <c r="CV161" s="5" t="s">
        <v>82</v>
      </c>
      <c r="CW161" s="5">
        <v>0</v>
      </c>
      <c r="CX161" s="5">
        <v>0</v>
      </c>
      <c r="CY161" s="5">
        <v>0</v>
      </c>
      <c r="DA161" s="6"/>
      <c r="DD161" s="6">
        <f t="shared" si="35"/>
        <v>288104</v>
      </c>
      <c r="DE161" s="6">
        <f t="shared" si="36"/>
        <v>190817</v>
      </c>
      <c r="DF161" s="16">
        <f t="shared" si="37"/>
        <v>478921</v>
      </c>
      <c r="DK161" s="6">
        <f t="shared" si="38"/>
        <v>57237</v>
      </c>
      <c r="DL161" s="6">
        <f t="shared" si="39"/>
        <v>96261</v>
      </c>
      <c r="DM161" s="6">
        <f t="shared" si="33"/>
        <v>13994</v>
      </c>
      <c r="DN161" s="6">
        <f t="shared" si="34"/>
        <v>23325</v>
      </c>
      <c r="DO161" s="6">
        <f t="shared" si="40"/>
        <v>230961</v>
      </c>
      <c r="DP161" s="6">
        <f t="shared" si="48"/>
        <v>34503</v>
      </c>
      <c r="DQ161" s="6"/>
      <c r="DR161" s="6">
        <f t="shared" si="41"/>
        <v>12366</v>
      </c>
      <c r="DS161" s="6">
        <f t="shared" si="42"/>
        <v>0</v>
      </c>
      <c r="DT161" s="6">
        <f t="shared" si="43"/>
        <v>10274</v>
      </c>
      <c r="DU161" s="6"/>
      <c r="DV161" s="6"/>
      <c r="DW161" s="6">
        <f t="shared" si="44"/>
        <v>478921</v>
      </c>
      <c r="DY161" s="6">
        <f t="shared" si="45"/>
        <v>269911</v>
      </c>
      <c r="DZ161" s="6">
        <f t="shared" si="46"/>
        <v>28676</v>
      </c>
      <c r="EB161" s="6">
        <f t="shared" si="47"/>
        <v>507597</v>
      </c>
      <c r="EC161" s="6"/>
      <c r="ED161" s="6"/>
      <c r="EF161" s="6"/>
      <c r="EG161" s="6"/>
    </row>
    <row r="162" spans="2:137" ht="14">
      <c r="B162" s="4">
        <v>36892</v>
      </c>
      <c r="C162" s="5">
        <v>0</v>
      </c>
      <c r="D162" s="5">
        <v>0</v>
      </c>
      <c r="E162" s="5">
        <v>0</v>
      </c>
      <c r="F162" s="5" t="s">
        <v>82</v>
      </c>
      <c r="G162" s="5" t="s">
        <v>82</v>
      </c>
      <c r="H162" s="5">
        <v>3275</v>
      </c>
      <c r="I162" s="5">
        <v>6695</v>
      </c>
      <c r="J162" s="5">
        <v>2712</v>
      </c>
      <c r="K162" s="5">
        <v>16498</v>
      </c>
      <c r="L162" s="5"/>
      <c r="M162" s="5">
        <v>32114</v>
      </c>
      <c r="N162" s="5">
        <v>3116</v>
      </c>
      <c r="O162" s="5"/>
      <c r="P162" s="5">
        <v>2459</v>
      </c>
      <c r="Q162" s="5">
        <v>7654</v>
      </c>
      <c r="R162" s="5">
        <v>874</v>
      </c>
      <c r="S162" s="5">
        <v>9718</v>
      </c>
      <c r="T162" s="5">
        <v>13900</v>
      </c>
      <c r="U162" s="5"/>
      <c r="V162" s="5"/>
      <c r="W162" s="5">
        <v>1037</v>
      </c>
      <c r="X162" s="5">
        <v>0</v>
      </c>
      <c r="Y162" s="5">
        <v>564</v>
      </c>
      <c r="Z162" s="5">
        <v>28</v>
      </c>
      <c r="AA162" s="155"/>
      <c r="AB162" s="5">
        <v>14</v>
      </c>
      <c r="AC162" s="5">
        <v>0</v>
      </c>
      <c r="AD162" s="5">
        <v>13</v>
      </c>
      <c r="AE162" s="5">
        <v>24</v>
      </c>
      <c r="AF162" s="5">
        <v>35</v>
      </c>
      <c r="AG162" s="5">
        <v>61</v>
      </c>
      <c r="AH162" s="5"/>
      <c r="AI162" s="5"/>
      <c r="AJ162" s="5">
        <v>7</v>
      </c>
      <c r="AK162" s="5">
        <v>0</v>
      </c>
      <c r="AL162" s="5">
        <v>82289</v>
      </c>
      <c r="AM162" s="5">
        <v>3547</v>
      </c>
      <c r="AN162" s="5">
        <v>9436</v>
      </c>
      <c r="AO162" s="5">
        <v>28</v>
      </c>
      <c r="AP162" s="5">
        <v>16</v>
      </c>
      <c r="AQ162" s="5">
        <v>33</v>
      </c>
      <c r="AR162" s="5">
        <v>15</v>
      </c>
      <c r="AS162" s="5">
        <v>1530</v>
      </c>
      <c r="AT162" s="5" t="s">
        <v>82</v>
      </c>
      <c r="AU162" s="5">
        <v>2315</v>
      </c>
      <c r="AV162" s="5">
        <v>1839</v>
      </c>
      <c r="AW162" s="5">
        <v>3241</v>
      </c>
      <c r="AX162" s="5">
        <v>10064</v>
      </c>
      <c r="AY162" s="155"/>
      <c r="AZ162" s="155"/>
      <c r="BA162" s="155">
        <v>0</v>
      </c>
      <c r="BB162" s="155"/>
      <c r="BC162" s="5">
        <v>643</v>
      </c>
      <c r="BD162" s="5"/>
      <c r="BE162" s="5">
        <v>4202</v>
      </c>
      <c r="BF162" s="5">
        <v>11287</v>
      </c>
      <c r="BG162" s="5">
        <v>411</v>
      </c>
      <c r="BH162" s="5">
        <v>105</v>
      </c>
      <c r="BI162" s="5">
        <v>128</v>
      </c>
      <c r="BJ162" s="5">
        <v>6232</v>
      </c>
      <c r="BK162" s="5">
        <v>40</v>
      </c>
      <c r="BL162" s="5">
        <v>3425</v>
      </c>
      <c r="BM162" s="5"/>
      <c r="BN162" s="5">
        <v>754</v>
      </c>
      <c r="BO162" s="5">
        <v>37</v>
      </c>
      <c r="BP162" s="5">
        <v>0</v>
      </c>
      <c r="BQ162" s="5">
        <v>27915</v>
      </c>
      <c r="BR162" s="5">
        <v>17907</v>
      </c>
      <c r="BS162" s="5">
        <v>36</v>
      </c>
      <c r="BT162" s="5">
        <v>1219</v>
      </c>
      <c r="BU162" s="5">
        <v>563</v>
      </c>
      <c r="BV162" s="5"/>
      <c r="BW162" s="5">
        <v>9</v>
      </c>
      <c r="BX162" s="5">
        <v>178</v>
      </c>
      <c r="BY162" s="5"/>
      <c r="BZ162" s="5">
        <v>88</v>
      </c>
      <c r="CA162" s="5">
        <v>0</v>
      </c>
      <c r="CB162" s="5">
        <v>4894</v>
      </c>
      <c r="CC162" s="5">
        <v>12141</v>
      </c>
      <c r="CD162" s="5">
        <v>67652</v>
      </c>
      <c r="CE162" s="5">
        <v>112741</v>
      </c>
      <c r="CF162" s="5">
        <v>15148</v>
      </c>
      <c r="CG162" s="5">
        <v>0</v>
      </c>
      <c r="CH162" s="5">
        <v>0</v>
      </c>
      <c r="CI162" s="5">
        <v>18</v>
      </c>
      <c r="CJ162" s="5">
        <v>45</v>
      </c>
      <c r="CK162" s="5">
        <v>84</v>
      </c>
      <c r="CL162" s="5"/>
      <c r="CM162" s="5"/>
      <c r="CN162" s="5"/>
      <c r="CO162" s="5"/>
      <c r="CP162" s="5"/>
      <c r="CQ162" s="5"/>
      <c r="CR162" s="5"/>
      <c r="CS162" s="5"/>
      <c r="CT162" s="5" t="s">
        <v>82</v>
      </c>
      <c r="CU162" s="5" t="s">
        <v>82</v>
      </c>
      <c r="CV162" s="5" t="s">
        <v>82</v>
      </c>
      <c r="CW162" s="5">
        <v>0</v>
      </c>
      <c r="CX162" s="5">
        <v>0</v>
      </c>
      <c r="CY162" s="5">
        <v>0</v>
      </c>
      <c r="DA162" s="6"/>
      <c r="DD162" s="6">
        <f t="shared" si="35"/>
        <v>287259</v>
      </c>
      <c r="DE162" s="6">
        <f t="shared" si="36"/>
        <v>186614</v>
      </c>
      <c r="DF162" s="16">
        <f t="shared" si="37"/>
        <v>473873</v>
      </c>
      <c r="DK162" s="6">
        <f t="shared" si="38"/>
        <v>56972</v>
      </c>
      <c r="DL162" s="6">
        <f t="shared" si="39"/>
        <v>96117</v>
      </c>
      <c r="DM162" s="6">
        <f t="shared" si="33"/>
        <v>13900</v>
      </c>
      <c r="DN162" s="6">
        <f t="shared" si="34"/>
        <v>19625</v>
      </c>
      <c r="DO162" s="6">
        <f t="shared" si="40"/>
        <v>230659</v>
      </c>
      <c r="DP162" s="6">
        <f t="shared" si="48"/>
        <v>34195</v>
      </c>
      <c r="DQ162" s="6"/>
      <c r="DR162" s="6">
        <f t="shared" si="41"/>
        <v>12159</v>
      </c>
      <c r="DS162" s="6">
        <f t="shared" si="42"/>
        <v>0</v>
      </c>
      <c r="DT162" s="6">
        <f t="shared" si="43"/>
        <v>10246</v>
      </c>
      <c r="DU162" s="6"/>
      <c r="DV162" s="6"/>
      <c r="DW162" s="6">
        <f t="shared" si="44"/>
        <v>473873</v>
      </c>
      <c r="DY162" s="6">
        <f t="shared" si="45"/>
        <v>270085</v>
      </c>
      <c r="DZ162" s="6">
        <f t="shared" si="46"/>
        <v>29180</v>
      </c>
      <c r="EB162" s="6">
        <f t="shared" si="47"/>
        <v>503053</v>
      </c>
      <c r="EC162" s="6"/>
      <c r="ED162" s="6"/>
      <c r="EF162" s="6"/>
      <c r="EG162" s="6"/>
    </row>
    <row r="163" spans="2:137" ht="14">
      <c r="B163" s="4">
        <v>36923</v>
      </c>
      <c r="C163" s="5">
        <v>0</v>
      </c>
      <c r="D163" s="5">
        <v>0</v>
      </c>
      <c r="E163" s="5">
        <v>0</v>
      </c>
      <c r="F163" s="5" t="s">
        <v>82</v>
      </c>
      <c r="G163" s="5" t="s">
        <v>82</v>
      </c>
      <c r="H163" s="5">
        <v>3429</v>
      </c>
      <c r="I163" s="5">
        <v>6948</v>
      </c>
      <c r="J163" s="5">
        <v>2806</v>
      </c>
      <c r="K163" s="5">
        <v>16977</v>
      </c>
      <c r="L163" s="5"/>
      <c r="M163" s="5">
        <v>32034</v>
      </c>
      <c r="N163" s="5">
        <v>3093</v>
      </c>
      <c r="O163" s="5"/>
      <c r="P163" s="5">
        <v>2438</v>
      </c>
      <c r="Q163" s="5">
        <v>7625</v>
      </c>
      <c r="R163" s="5">
        <v>863</v>
      </c>
      <c r="S163" s="5">
        <v>9533</v>
      </c>
      <c r="T163" s="5">
        <v>13869</v>
      </c>
      <c r="U163" s="5"/>
      <c r="V163" s="5"/>
      <c r="W163" s="5">
        <v>1011</v>
      </c>
      <c r="X163" s="5">
        <v>0</v>
      </c>
      <c r="Y163" s="5">
        <v>565</v>
      </c>
      <c r="Z163" s="5">
        <v>27</v>
      </c>
      <c r="AA163" s="155"/>
      <c r="AB163" s="5">
        <v>11</v>
      </c>
      <c r="AC163" s="5">
        <v>0</v>
      </c>
      <c r="AD163" s="5">
        <v>14</v>
      </c>
      <c r="AE163" s="5">
        <v>24</v>
      </c>
      <c r="AF163" s="5">
        <v>35</v>
      </c>
      <c r="AG163" s="5">
        <v>58</v>
      </c>
      <c r="AH163" s="5"/>
      <c r="AI163" s="5"/>
      <c r="AJ163" s="5">
        <v>8</v>
      </c>
      <c r="AK163" s="5">
        <v>0</v>
      </c>
      <c r="AL163" s="5">
        <v>82593</v>
      </c>
      <c r="AM163" s="5">
        <v>3537</v>
      </c>
      <c r="AN163" s="5">
        <v>9564</v>
      </c>
      <c r="AO163" s="5">
        <v>29</v>
      </c>
      <c r="AP163" s="5">
        <v>13</v>
      </c>
      <c r="AQ163" s="5">
        <v>419</v>
      </c>
      <c r="AR163" s="5">
        <v>148</v>
      </c>
      <c r="AS163" s="5">
        <v>1513</v>
      </c>
      <c r="AT163" s="5" t="s">
        <v>82</v>
      </c>
      <c r="AU163" s="5">
        <v>2327</v>
      </c>
      <c r="AV163" s="5">
        <v>1842</v>
      </c>
      <c r="AW163" s="5">
        <v>3234</v>
      </c>
      <c r="AX163" s="5">
        <v>10100</v>
      </c>
      <c r="AY163" s="155"/>
      <c r="AZ163" s="155"/>
      <c r="BA163" s="155">
        <v>0</v>
      </c>
      <c r="BB163" s="155"/>
      <c r="BC163" s="5">
        <v>644</v>
      </c>
      <c r="BD163" s="5"/>
      <c r="BE163" s="5">
        <v>3633</v>
      </c>
      <c r="BF163" s="5">
        <v>9748</v>
      </c>
      <c r="BG163" s="5">
        <v>425</v>
      </c>
      <c r="BH163" s="5">
        <v>92</v>
      </c>
      <c r="BI163" s="5">
        <v>119</v>
      </c>
      <c r="BJ163" s="5">
        <v>6278</v>
      </c>
      <c r="BK163" s="5">
        <v>38</v>
      </c>
      <c r="BL163" s="5">
        <v>3445</v>
      </c>
      <c r="BM163" s="5"/>
      <c r="BN163" s="5">
        <v>723</v>
      </c>
      <c r="BO163" s="5">
        <v>44</v>
      </c>
      <c r="BP163" s="5">
        <v>0</v>
      </c>
      <c r="BQ163" s="5">
        <v>28668</v>
      </c>
      <c r="BR163" s="5">
        <v>17006</v>
      </c>
      <c r="BS163" s="5">
        <v>39</v>
      </c>
      <c r="BT163" s="5">
        <v>1256</v>
      </c>
      <c r="BU163" s="5">
        <v>538</v>
      </c>
      <c r="BV163" s="5"/>
      <c r="BW163" s="5">
        <v>8</v>
      </c>
      <c r="BX163" s="5">
        <v>172</v>
      </c>
      <c r="BY163" s="5"/>
      <c r="BZ163" s="5">
        <v>87</v>
      </c>
      <c r="CA163" s="5">
        <v>0</v>
      </c>
      <c r="CB163" s="5">
        <v>5073</v>
      </c>
      <c r="CC163" s="5">
        <v>12387</v>
      </c>
      <c r="CD163" s="5">
        <v>68966</v>
      </c>
      <c r="CE163" s="5">
        <v>115023</v>
      </c>
      <c r="CF163" s="5">
        <v>15594</v>
      </c>
      <c r="CG163" s="5">
        <v>0</v>
      </c>
      <c r="CH163" s="5">
        <v>0</v>
      </c>
      <c r="CI163" s="5">
        <v>18</v>
      </c>
      <c r="CJ163" s="5">
        <v>44</v>
      </c>
      <c r="CK163" s="5">
        <v>88</v>
      </c>
      <c r="CL163" s="5"/>
      <c r="CM163" s="5"/>
      <c r="CN163" s="5"/>
      <c r="CO163" s="5"/>
      <c r="CP163" s="5"/>
      <c r="CQ163" s="5"/>
      <c r="CR163" s="5"/>
      <c r="CS163" s="5"/>
      <c r="CT163" s="5" t="s">
        <v>82</v>
      </c>
      <c r="CU163" s="5" t="s">
        <v>82</v>
      </c>
      <c r="CV163" s="5" t="s">
        <v>82</v>
      </c>
      <c r="CW163" s="5">
        <v>0</v>
      </c>
      <c r="CX163" s="5">
        <v>0</v>
      </c>
      <c r="CY163" s="5">
        <v>0</v>
      </c>
      <c r="DA163" s="6"/>
      <c r="DD163" s="6">
        <f t="shared" si="35"/>
        <v>289512</v>
      </c>
      <c r="DE163" s="6">
        <f t="shared" si="36"/>
        <v>187171</v>
      </c>
      <c r="DF163" s="16">
        <f t="shared" si="37"/>
        <v>476683</v>
      </c>
      <c r="DK163" s="6">
        <f t="shared" si="38"/>
        <v>56597</v>
      </c>
      <c r="DL163" s="6">
        <f t="shared" si="39"/>
        <v>96403</v>
      </c>
      <c r="DM163" s="6">
        <f t="shared" ref="DM163:DM226" si="49">T163</f>
        <v>13869</v>
      </c>
      <c r="DN163" s="6">
        <f t="shared" ref="DN163:DN226" si="50">AG163+AX163+AN163+AP163+AQ163+AR163</f>
        <v>20302</v>
      </c>
      <c r="DO163" s="6">
        <f t="shared" si="40"/>
        <v>232415</v>
      </c>
      <c r="DP163" s="6">
        <f t="shared" si="48"/>
        <v>34372</v>
      </c>
      <c r="DQ163" s="6"/>
      <c r="DR163" s="6">
        <f t="shared" si="41"/>
        <v>12405</v>
      </c>
      <c r="DS163" s="6">
        <f t="shared" si="42"/>
        <v>0</v>
      </c>
      <c r="DT163" s="6">
        <f t="shared" si="43"/>
        <v>10320</v>
      </c>
      <c r="DU163" s="6"/>
      <c r="DV163" s="6"/>
      <c r="DW163" s="6">
        <f t="shared" si="44"/>
        <v>476683</v>
      </c>
      <c r="DY163" s="6">
        <f t="shared" si="45"/>
        <v>272895</v>
      </c>
      <c r="DZ163" s="6">
        <f t="shared" si="46"/>
        <v>30160</v>
      </c>
      <c r="EB163" s="6">
        <f t="shared" si="47"/>
        <v>506843</v>
      </c>
      <c r="EC163" s="6"/>
      <c r="ED163" s="6"/>
      <c r="EF163" s="6"/>
      <c r="EG163" s="6"/>
    </row>
    <row r="164" spans="2:137" ht="14">
      <c r="B164" s="4">
        <v>36951</v>
      </c>
      <c r="C164" s="5">
        <v>0</v>
      </c>
      <c r="D164" s="5">
        <v>0</v>
      </c>
      <c r="E164" s="5">
        <v>0</v>
      </c>
      <c r="F164" s="5" t="s">
        <v>82</v>
      </c>
      <c r="G164" s="5" t="s">
        <v>82</v>
      </c>
      <c r="H164" s="5">
        <v>3421</v>
      </c>
      <c r="I164" s="5">
        <v>6957</v>
      </c>
      <c r="J164" s="5">
        <v>2867</v>
      </c>
      <c r="K164" s="5">
        <v>17068</v>
      </c>
      <c r="L164" s="5"/>
      <c r="M164" s="5">
        <v>31985</v>
      </c>
      <c r="N164" s="5">
        <v>3113</v>
      </c>
      <c r="O164" s="5"/>
      <c r="P164" s="5">
        <v>2403</v>
      </c>
      <c r="Q164" s="5">
        <v>7610</v>
      </c>
      <c r="R164" s="5">
        <v>857</v>
      </c>
      <c r="S164" s="5">
        <v>9440</v>
      </c>
      <c r="T164" s="5">
        <v>13867</v>
      </c>
      <c r="U164" s="5"/>
      <c r="V164" s="5"/>
      <c r="W164" s="5">
        <v>987</v>
      </c>
      <c r="X164" s="5">
        <v>0</v>
      </c>
      <c r="Y164" s="5">
        <v>562</v>
      </c>
      <c r="Z164" s="5">
        <v>27</v>
      </c>
      <c r="AA164" s="155"/>
      <c r="AB164" s="5">
        <v>13</v>
      </c>
      <c r="AC164" s="5">
        <v>0</v>
      </c>
      <c r="AD164" s="5">
        <v>13</v>
      </c>
      <c r="AE164" s="5">
        <v>22</v>
      </c>
      <c r="AF164" s="5">
        <v>36</v>
      </c>
      <c r="AG164" s="5">
        <v>58</v>
      </c>
      <c r="AH164" s="5"/>
      <c r="AI164" s="5"/>
      <c r="AJ164" s="5">
        <v>8</v>
      </c>
      <c r="AK164" s="5">
        <v>0</v>
      </c>
      <c r="AL164" s="5">
        <v>82558</v>
      </c>
      <c r="AM164" s="5">
        <v>3552</v>
      </c>
      <c r="AN164" s="5">
        <v>9667</v>
      </c>
      <c r="AO164" s="5">
        <v>28</v>
      </c>
      <c r="AP164" s="5">
        <v>17</v>
      </c>
      <c r="AQ164" s="5">
        <v>1218</v>
      </c>
      <c r="AR164" s="5">
        <v>422</v>
      </c>
      <c r="AS164" s="5">
        <v>1474</v>
      </c>
      <c r="AT164" s="5" t="s">
        <v>82</v>
      </c>
      <c r="AU164" s="5">
        <v>2355</v>
      </c>
      <c r="AV164" s="5">
        <v>1857</v>
      </c>
      <c r="AW164" s="5">
        <v>3238</v>
      </c>
      <c r="AX164" s="5">
        <v>10029</v>
      </c>
      <c r="AY164" s="155"/>
      <c r="AZ164" s="155"/>
      <c r="BA164" s="155">
        <v>0</v>
      </c>
      <c r="BB164" s="155"/>
      <c r="BC164" s="5">
        <v>650</v>
      </c>
      <c r="BD164" s="5"/>
      <c r="BE164" s="5">
        <v>3178</v>
      </c>
      <c r="BF164" s="5">
        <v>8674</v>
      </c>
      <c r="BG164" s="5">
        <v>436</v>
      </c>
      <c r="BH164" s="5">
        <v>70</v>
      </c>
      <c r="BI164" s="5">
        <v>92</v>
      </c>
      <c r="BJ164" s="5">
        <v>6296</v>
      </c>
      <c r="BK164" s="5">
        <v>34</v>
      </c>
      <c r="BL164" s="5">
        <v>3451</v>
      </c>
      <c r="BM164" s="5"/>
      <c r="BN164" s="5">
        <v>680</v>
      </c>
      <c r="BO164" s="5">
        <v>60</v>
      </c>
      <c r="BP164" s="5">
        <v>0</v>
      </c>
      <c r="BQ164" s="5">
        <v>28790</v>
      </c>
      <c r="BR164" s="5">
        <v>16370</v>
      </c>
      <c r="BS164" s="5">
        <v>37</v>
      </c>
      <c r="BT164" s="5">
        <v>1265</v>
      </c>
      <c r="BU164" s="5">
        <v>510</v>
      </c>
      <c r="BV164" s="5"/>
      <c r="BW164" s="5">
        <v>10</v>
      </c>
      <c r="BX164" s="5">
        <v>162</v>
      </c>
      <c r="BY164" s="5"/>
      <c r="BZ164" s="5">
        <v>93</v>
      </c>
      <c r="CA164" s="5">
        <v>0</v>
      </c>
      <c r="CB164" s="5">
        <v>5079</v>
      </c>
      <c r="CC164" s="5">
        <v>12367</v>
      </c>
      <c r="CD164" s="5">
        <v>69272</v>
      </c>
      <c r="CE164" s="5">
        <v>115563</v>
      </c>
      <c r="CF164" s="5">
        <v>15545</v>
      </c>
      <c r="CG164" s="5">
        <v>0</v>
      </c>
      <c r="CH164" s="5">
        <v>0</v>
      </c>
      <c r="CI164" s="5">
        <v>18</v>
      </c>
      <c r="CJ164" s="5">
        <v>45</v>
      </c>
      <c r="CK164" s="5">
        <v>87</v>
      </c>
      <c r="CL164" s="5"/>
      <c r="CM164" s="5"/>
      <c r="CN164" s="5"/>
      <c r="CO164" s="5"/>
      <c r="CP164" s="5"/>
      <c r="CQ164" s="5"/>
      <c r="CR164" s="5"/>
      <c r="CS164" s="5"/>
      <c r="CT164" s="5" t="s">
        <v>82</v>
      </c>
      <c r="CU164" s="5" t="s">
        <v>82</v>
      </c>
      <c r="CV164" s="5" t="s">
        <v>82</v>
      </c>
      <c r="CW164" s="5">
        <v>0</v>
      </c>
      <c r="CX164" s="5">
        <v>0</v>
      </c>
      <c r="CY164" s="5">
        <v>0</v>
      </c>
      <c r="DA164" s="6"/>
      <c r="DD164" s="6">
        <f t="shared" si="35"/>
        <v>288184</v>
      </c>
      <c r="DE164" s="6">
        <f t="shared" si="36"/>
        <v>188066</v>
      </c>
      <c r="DF164" s="16">
        <f t="shared" si="37"/>
        <v>476250</v>
      </c>
      <c r="DK164" s="6">
        <f t="shared" si="38"/>
        <v>56395</v>
      </c>
      <c r="DL164" s="6">
        <f t="shared" si="39"/>
        <v>96393</v>
      </c>
      <c r="DM164" s="6">
        <f t="shared" si="49"/>
        <v>13867</v>
      </c>
      <c r="DN164" s="6">
        <f t="shared" si="50"/>
        <v>21411</v>
      </c>
      <c r="DO164" s="6">
        <f t="shared" si="40"/>
        <v>231471</v>
      </c>
      <c r="DP164" s="6">
        <f t="shared" si="48"/>
        <v>33983</v>
      </c>
      <c r="DQ164" s="6"/>
      <c r="DR164" s="6">
        <f t="shared" si="41"/>
        <v>12385</v>
      </c>
      <c r="DS164" s="6">
        <f t="shared" si="42"/>
        <v>0</v>
      </c>
      <c r="DT164" s="6">
        <f t="shared" si="43"/>
        <v>10345</v>
      </c>
      <c r="DU164" s="6"/>
      <c r="DV164" s="6"/>
      <c r="DW164" s="6">
        <f t="shared" si="44"/>
        <v>476250</v>
      </c>
      <c r="DY164" s="6">
        <f t="shared" si="45"/>
        <v>272129</v>
      </c>
      <c r="DZ164" s="6">
        <f t="shared" si="46"/>
        <v>30313</v>
      </c>
      <c r="EB164" s="6">
        <f t="shared" si="47"/>
        <v>506563</v>
      </c>
      <c r="EC164" s="6"/>
      <c r="ED164" s="6"/>
      <c r="EF164" s="6"/>
      <c r="EG164" s="6"/>
    </row>
    <row r="165" spans="2:137" ht="14">
      <c r="B165" s="4">
        <v>36982</v>
      </c>
      <c r="C165" s="5">
        <v>0</v>
      </c>
      <c r="D165" s="5">
        <v>0</v>
      </c>
      <c r="E165" s="5">
        <v>0</v>
      </c>
      <c r="F165" s="5" t="s">
        <v>82</v>
      </c>
      <c r="G165" s="5" t="s">
        <v>82</v>
      </c>
      <c r="H165" s="5">
        <v>3497</v>
      </c>
      <c r="I165" s="5">
        <v>7074</v>
      </c>
      <c r="J165" s="5">
        <v>2945</v>
      </c>
      <c r="K165" s="5">
        <v>17404</v>
      </c>
      <c r="L165" s="5"/>
      <c r="M165" s="5">
        <v>32006</v>
      </c>
      <c r="N165" s="5">
        <v>3134</v>
      </c>
      <c r="O165" s="5"/>
      <c r="P165" s="5">
        <v>2361</v>
      </c>
      <c r="Q165" s="5">
        <v>7754</v>
      </c>
      <c r="R165" s="5">
        <v>843</v>
      </c>
      <c r="S165" s="5">
        <v>9493</v>
      </c>
      <c r="T165" s="5">
        <v>13893</v>
      </c>
      <c r="U165" s="5"/>
      <c r="V165" s="5"/>
      <c r="W165" s="5">
        <v>947</v>
      </c>
      <c r="X165" s="5">
        <v>0</v>
      </c>
      <c r="Y165" s="5">
        <v>554</v>
      </c>
      <c r="Z165" s="5">
        <v>28</v>
      </c>
      <c r="AA165" s="155"/>
      <c r="AB165" s="5">
        <v>12</v>
      </c>
      <c r="AC165" s="5">
        <v>0</v>
      </c>
      <c r="AD165" s="5">
        <v>14</v>
      </c>
      <c r="AE165" s="5">
        <v>23</v>
      </c>
      <c r="AF165" s="5">
        <v>37</v>
      </c>
      <c r="AG165" s="5">
        <v>59</v>
      </c>
      <c r="AH165" s="5"/>
      <c r="AI165" s="5"/>
      <c r="AJ165" s="5">
        <v>6</v>
      </c>
      <c r="AK165" s="5">
        <v>0</v>
      </c>
      <c r="AL165" s="5">
        <v>82673</v>
      </c>
      <c r="AM165" s="5">
        <v>3566</v>
      </c>
      <c r="AN165" s="5">
        <v>9780</v>
      </c>
      <c r="AO165" s="5">
        <v>27</v>
      </c>
      <c r="AP165" s="5">
        <v>15</v>
      </c>
      <c r="AQ165" s="5">
        <v>1627</v>
      </c>
      <c r="AR165" s="5">
        <v>625</v>
      </c>
      <c r="AS165" s="5">
        <v>1523</v>
      </c>
      <c r="AT165" s="5" t="s">
        <v>82</v>
      </c>
      <c r="AU165" s="5">
        <v>2407</v>
      </c>
      <c r="AV165" s="5">
        <v>1867</v>
      </c>
      <c r="AW165" s="5">
        <v>3243</v>
      </c>
      <c r="AX165" s="5">
        <v>10096</v>
      </c>
      <c r="AY165" s="155"/>
      <c r="AZ165" s="155"/>
      <c r="BA165" s="155">
        <v>0</v>
      </c>
      <c r="BB165" s="155"/>
      <c r="BC165" s="5">
        <v>639</v>
      </c>
      <c r="BD165" s="5"/>
      <c r="BE165" s="5">
        <v>2501</v>
      </c>
      <c r="BF165" s="5">
        <v>6566</v>
      </c>
      <c r="BG165" s="5">
        <v>428</v>
      </c>
      <c r="BH165" s="5">
        <v>36</v>
      </c>
      <c r="BI165" s="5">
        <v>53</v>
      </c>
      <c r="BJ165" s="5">
        <v>6362</v>
      </c>
      <c r="BK165" s="5">
        <v>32</v>
      </c>
      <c r="BL165" s="5">
        <v>3506</v>
      </c>
      <c r="BM165" s="5"/>
      <c r="BN165" s="5">
        <v>693</v>
      </c>
      <c r="BO165" s="5">
        <v>63</v>
      </c>
      <c r="BP165" s="5">
        <v>0</v>
      </c>
      <c r="BQ165" s="5">
        <v>29552</v>
      </c>
      <c r="BR165" s="5">
        <v>15969</v>
      </c>
      <c r="BS165" s="5">
        <v>33</v>
      </c>
      <c r="BT165" s="5">
        <v>1320</v>
      </c>
      <c r="BU165" s="5">
        <v>506</v>
      </c>
      <c r="BV165" s="5"/>
      <c r="BW165" s="5">
        <v>9</v>
      </c>
      <c r="BX165" s="5">
        <v>144</v>
      </c>
      <c r="BY165" s="5"/>
      <c r="BZ165" s="5">
        <v>93</v>
      </c>
      <c r="CA165" s="5">
        <v>0</v>
      </c>
      <c r="CB165" s="5">
        <v>5128</v>
      </c>
      <c r="CC165" s="5">
        <v>12611</v>
      </c>
      <c r="CD165" s="5">
        <v>70414</v>
      </c>
      <c r="CE165" s="5">
        <v>118061</v>
      </c>
      <c r="CF165" s="5">
        <v>15610</v>
      </c>
      <c r="CG165" s="5">
        <v>0</v>
      </c>
      <c r="CH165" s="5">
        <v>0</v>
      </c>
      <c r="CI165" s="5">
        <v>16</v>
      </c>
      <c r="CJ165" s="5">
        <v>47</v>
      </c>
      <c r="CK165" s="5">
        <v>89</v>
      </c>
      <c r="CL165" s="5"/>
      <c r="CM165" s="5"/>
      <c r="CN165" s="5"/>
      <c r="CO165" s="5"/>
      <c r="CP165" s="5"/>
      <c r="CQ165" s="5"/>
      <c r="CR165" s="5"/>
      <c r="CS165" s="5"/>
      <c r="CT165" s="5" t="s">
        <v>82</v>
      </c>
      <c r="CU165" s="5" t="s">
        <v>82</v>
      </c>
      <c r="CV165" s="5" t="s">
        <v>82</v>
      </c>
      <c r="CW165" s="5">
        <v>0</v>
      </c>
      <c r="CX165" s="5">
        <v>0</v>
      </c>
      <c r="CY165" s="5">
        <v>0</v>
      </c>
      <c r="DA165" s="6"/>
      <c r="DD165" s="6">
        <f t="shared" si="35"/>
        <v>289842</v>
      </c>
      <c r="DE165" s="6">
        <f t="shared" si="36"/>
        <v>189252</v>
      </c>
      <c r="DF165" s="16">
        <f t="shared" si="37"/>
        <v>479094</v>
      </c>
      <c r="DK165" s="6">
        <f t="shared" si="38"/>
        <v>56538</v>
      </c>
      <c r="DL165" s="6">
        <f t="shared" si="39"/>
        <v>96619</v>
      </c>
      <c r="DM165" s="6">
        <f t="shared" si="49"/>
        <v>13893</v>
      </c>
      <c r="DN165" s="6">
        <f t="shared" si="50"/>
        <v>22202</v>
      </c>
      <c r="DO165" s="6">
        <f t="shared" si="40"/>
        <v>232673</v>
      </c>
      <c r="DP165" s="6">
        <f t="shared" si="48"/>
        <v>34102</v>
      </c>
      <c r="DQ165" s="6"/>
      <c r="DR165" s="6">
        <f t="shared" si="41"/>
        <v>12627</v>
      </c>
      <c r="DS165" s="6">
        <f t="shared" si="42"/>
        <v>0</v>
      </c>
      <c r="DT165" s="6">
        <f t="shared" si="43"/>
        <v>10440</v>
      </c>
      <c r="DU165" s="6"/>
      <c r="DV165" s="6"/>
      <c r="DW165" s="6">
        <f t="shared" si="44"/>
        <v>479094</v>
      </c>
      <c r="DY165" s="6">
        <f t="shared" si="45"/>
        <v>274033</v>
      </c>
      <c r="DZ165" s="6">
        <f t="shared" si="46"/>
        <v>30920</v>
      </c>
      <c r="EB165" s="6">
        <f t="shared" si="47"/>
        <v>510014</v>
      </c>
      <c r="EC165" s="6"/>
      <c r="ED165" s="6"/>
      <c r="EF165" s="6"/>
      <c r="EG165" s="6"/>
    </row>
    <row r="166" spans="2:137" ht="14">
      <c r="B166" s="4">
        <v>37012</v>
      </c>
      <c r="C166" s="5">
        <v>0</v>
      </c>
      <c r="D166" s="5">
        <v>0</v>
      </c>
      <c r="E166" s="5">
        <v>0</v>
      </c>
      <c r="F166" s="5" t="s">
        <v>82</v>
      </c>
      <c r="G166" s="5" t="s">
        <v>82</v>
      </c>
      <c r="H166" s="5">
        <v>3481</v>
      </c>
      <c r="I166" s="5">
        <v>7125</v>
      </c>
      <c r="J166" s="5">
        <v>2989</v>
      </c>
      <c r="K166" s="5">
        <v>17745</v>
      </c>
      <c r="L166" s="5"/>
      <c r="M166" s="5">
        <v>31960</v>
      </c>
      <c r="N166" s="5">
        <v>3148</v>
      </c>
      <c r="O166" s="5"/>
      <c r="P166" s="5">
        <v>2349</v>
      </c>
      <c r="Q166" s="5">
        <v>7793</v>
      </c>
      <c r="R166" s="5">
        <v>833</v>
      </c>
      <c r="S166" s="5">
        <v>9517</v>
      </c>
      <c r="T166" s="5">
        <v>13849</v>
      </c>
      <c r="U166" s="5"/>
      <c r="V166" s="5"/>
      <c r="W166" s="5">
        <v>909</v>
      </c>
      <c r="X166" s="5">
        <v>0</v>
      </c>
      <c r="Y166" s="5">
        <v>545</v>
      </c>
      <c r="Z166" s="5">
        <v>28</v>
      </c>
      <c r="AA166" s="155"/>
      <c r="AB166" s="5">
        <v>11</v>
      </c>
      <c r="AC166" s="5">
        <v>0</v>
      </c>
      <c r="AD166" s="5">
        <v>12</v>
      </c>
      <c r="AE166" s="5">
        <v>26</v>
      </c>
      <c r="AF166" s="5">
        <v>35</v>
      </c>
      <c r="AG166" s="5">
        <v>59</v>
      </c>
      <c r="AH166" s="5"/>
      <c r="AI166" s="5"/>
      <c r="AJ166" s="5">
        <v>6</v>
      </c>
      <c r="AK166" s="5">
        <v>0</v>
      </c>
      <c r="AL166" s="5">
        <v>82672</v>
      </c>
      <c r="AM166" s="5">
        <v>3556</v>
      </c>
      <c r="AN166" s="5">
        <v>9838</v>
      </c>
      <c r="AO166" s="5">
        <v>29</v>
      </c>
      <c r="AP166" s="5">
        <v>15</v>
      </c>
      <c r="AQ166" s="5">
        <v>1906</v>
      </c>
      <c r="AR166" s="5">
        <v>821</v>
      </c>
      <c r="AS166" s="5">
        <v>1535</v>
      </c>
      <c r="AT166" s="5" t="s">
        <v>82</v>
      </c>
      <c r="AU166" s="5">
        <v>2439</v>
      </c>
      <c r="AV166" s="5">
        <v>1882</v>
      </c>
      <c r="AW166" s="5">
        <v>3217</v>
      </c>
      <c r="AX166" s="5">
        <v>10094</v>
      </c>
      <c r="AY166" s="155"/>
      <c r="AZ166" s="155"/>
      <c r="BA166" s="155">
        <v>0</v>
      </c>
      <c r="BB166" s="155"/>
      <c r="BC166" s="5">
        <v>638</v>
      </c>
      <c r="BD166" s="5"/>
      <c r="BE166" s="5">
        <v>1888</v>
      </c>
      <c r="BF166" s="5">
        <v>5043</v>
      </c>
      <c r="BG166" s="5">
        <v>423</v>
      </c>
      <c r="BH166" s="5">
        <v>27</v>
      </c>
      <c r="BI166" s="5">
        <v>41</v>
      </c>
      <c r="BJ166" s="5">
        <v>6340</v>
      </c>
      <c r="BK166" s="5">
        <v>34</v>
      </c>
      <c r="BL166" s="5">
        <v>3455</v>
      </c>
      <c r="BM166" s="5"/>
      <c r="BN166" s="5">
        <v>592</v>
      </c>
      <c r="BO166" s="5">
        <v>66</v>
      </c>
      <c r="BP166" s="5">
        <v>0</v>
      </c>
      <c r="BQ166" s="5">
        <v>29819</v>
      </c>
      <c r="BR166" s="5">
        <v>15363</v>
      </c>
      <c r="BS166" s="5">
        <v>33</v>
      </c>
      <c r="BT166" s="5">
        <v>1327</v>
      </c>
      <c r="BU166" s="5">
        <v>460</v>
      </c>
      <c r="BV166" s="5"/>
      <c r="BW166" s="5">
        <v>10</v>
      </c>
      <c r="BX166" s="5">
        <v>140</v>
      </c>
      <c r="BY166" s="5"/>
      <c r="BZ166" s="5">
        <v>91</v>
      </c>
      <c r="CA166" s="5">
        <v>0</v>
      </c>
      <c r="CB166" s="5">
        <v>5173</v>
      </c>
      <c r="CC166" s="5">
        <v>12710</v>
      </c>
      <c r="CD166" s="5">
        <v>71381</v>
      </c>
      <c r="CE166" s="5">
        <v>119285</v>
      </c>
      <c r="CF166" s="5">
        <v>15663</v>
      </c>
      <c r="CG166" s="5">
        <v>0</v>
      </c>
      <c r="CH166" s="5">
        <v>0</v>
      </c>
      <c r="CI166" s="5">
        <v>20</v>
      </c>
      <c r="CJ166" s="5">
        <v>46</v>
      </c>
      <c r="CK166" s="5">
        <v>99</v>
      </c>
      <c r="CL166" s="5"/>
      <c r="CM166" s="5"/>
      <c r="CN166" s="5"/>
      <c r="CO166" s="5"/>
      <c r="CP166" s="5"/>
      <c r="CQ166" s="5"/>
      <c r="CR166" s="5"/>
      <c r="CS166" s="5"/>
      <c r="CT166" s="5" t="s">
        <v>82</v>
      </c>
      <c r="CU166" s="5" t="s">
        <v>82</v>
      </c>
      <c r="CV166" s="5" t="s">
        <v>82</v>
      </c>
      <c r="CW166" s="5">
        <v>0</v>
      </c>
      <c r="CX166" s="5">
        <v>0</v>
      </c>
      <c r="CY166" s="5">
        <v>0</v>
      </c>
      <c r="DA166" s="6"/>
      <c r="DD166" s="6">
        <f t="shared" si="35"/>
        <v>289529</v>
      </c>
      <c r="DE166" s="6">
        <f t="shared" si="36"/>
        <v>189722</v>
      </c>
      <c r="DF166" s="16">
        <f t="shared" si="37"/>
        <v>479251</v>
      </c>
      <c r="DK166" s="6">
        <f t="shared" si="38"/>
        <v>56509</v>
      </c>
      <c r="DL166" s="6">
        <f t="shared" si="39"/>
        <v>96631</v>
      </c>
      <c r="DM166" s="6">
        <f t="shared" si="49"/>
        <v>13849</v>
      </c>
      <c r="DN166" s="6">
        <f t="shared" si="50"/>
        <v>22733</v>
      </c>
      <c r="DO166" s="6">
        <f t="shared" si="40"/>
        <v>232788</v>
      </c>
      <c r="DP166" s="6">
        <f t="shared" si="48"/>
        <v>33653</v>
      </c>
      <c r="DQ166" s="6"/>
      <c r="DR166" s="6">
        <f t="shared" si="41"/>
        <v>12730</v>
      </c>
      <c r="DS166" s="6">
        <f t="shared" si="42"/>
        <v>0</v>
      </c>
      <c r="DT166" s="6">
        <f t="shared" si="43"/>
        <v>10358</v>
      </c>
      <c r="DU166" s="6"/>
      <c r="DV166" s="6"/>
      <c r="DW166" s="6">
        <f t="shared" si="44"/>
        <v>479251</v>
      </c>
      <c r="DY166" s="6">
        <f t="shared" si="45"/>
        <v>274486</v>
      </c>
      <c r="DZ166" s="6">
        <f t="shared" si="46"/>
        <v>31340</v>
      </c>
      <c r="EB166" s="6">
        <f t="shared" si="47"/>
        <v>510591</v>
      </c>
      <c r="EC166" s="6"/>
      <c r="ED166" s="6"/>
      <c r="EF166" s="6"/>
      <c r="EG166" s="6"/>
    </row>
    <row r="167" spans="2:137" ht="14">
      <c r="B167" s="4">
        <v>37043</v>
      </c>
      <c r="C167" s="5">
        <v>0</v>
      </c>
      <c r="D167" s="5">
        <v>0</v>
      </c>
      <c r="E167" s="5">
        <v>0</v>
      </c>
      <c r="F167" s="5" t="s">
        <v>82</v>
      </c>
      <c r="G167" s="5" t="s">
        <v>82</v>
      </c>
      <c r="H167" s="5">
        <v>3547</v>
      </c>
      <c r="I167" s="5">
        <v>7298</v>
      </c>
      <c r="J167" s="5">
        <v>3063</v>
      </c>
      <c r="K167" s="5">
        <v>17997</v>
      </c>
      <c r="L167" s="5"/>
      <c r="M167" s="5">
        <v>31996</v>
      </c>
      <c r="N167" s="5">
        <v>3132</v>
      </c>
      <c r="O167" s="5"/>
      <c r="P167" s="5">
        <v>2341</v>
      </c>
      <c r="Q167" s="5">
        <v>7887</v>
      </c>
      <c r="R167" s="5">
        <v>819</v>
      </c>
      <c r="S167" s="5">
        <v>9549</v>
      </c>
      <c r="T167" s="5">
        <v>13853</v>
      </c>
      <c r="U167" s="5"/>
      <c r="V167" s="5"/>
      <c r="W167" s="5">
        <v>885</v>
      </c>
      <c r="X167" s="5">
        <v>0</v>
      </c>
      <c r="Y167" s="5">
        <v>543</v>
      </c>
      <c r="Z167" s="5">
        <v>26</v>
      </c>
      <c r="AA167" s="155"/>
      <c r="AB167" s="5">
        <v>10</v>
      </c>
      <c r="AC167" s="5">
        <v>0</v>
      </c>
      <c r="AD167" s="5">
        <v>14</v>
      </c>
      <c r="AE167" s="5">
        <v>27</v>
      </c>
      <c r="AF167" s="5">
        <v>37</v>
      </c>
      <c r="AG167" s="5">
        <v>57</v>
      </c>
      <c r="AH167" s="5"/>
      <c r="AI167" s="5"/>
      <c r="AJ167" s="5">
        <v>6</v>
      </c>
      <c r="AK167" s="5">
        <v>0</v>
      </c>
      <c r="AL167" s="5">
        <v>82424</v>
      </c>
      <c r="AM167" s="5">
        <v>3548</v>
      </c>
      <c r="AN167" s="5">
        <v>9893</v>
      </c>
      <c r="AO167" s="5">
        <v>31</v>
      </c>
      <c r="AP167" s="5">
        <v>13</v>
      </c>
      <c r="AQ167" s="5">
        <v>2110</v>
      </c>
      <c r="AR167" s="5">
        <v>939</v>
      </c>
      <c r="AS167" s="5">
        <v>1517</v>
      </c>
      <c r="AT167" s="5" t="s">
        <v>82</v>
      </c>
      <c r="AU167" s="5">
        <v>2479</v>
      </c>
      <c r="AV167" s="5">
        <v>1894</v>
      </c>
      <c r="AW167" s="5">
        <v>3239</v>
      </c>
      <c r="AX167" s="5">
        <v>10142</v>
      </c>
      <c r="AY167" s="155"/>
      <c r="AZ167" s="155"/>
      <c r="BA167" s="155">
        <v>0</v>
      </c>
      <c r="BB167" s="155"/>
      <c r="BC167" s="5">
        <v>625</v>
      </c>
      <c r="BD167" s="5"/>
      <c r="BE167" s="5">
        <v>1215</v>
      </c>
      <c r="BF167" s="5">
        <v>3389</v>
      </c>
      <c r="BG167" s="5">
        <v>440</v>
      </c>
      <c r="BH167" s="5">
        <v>25</v>
      </c>
      <c r="BI167" s="5">
        <v>33</v>
      </c>
      <c r="BJ167" s="5">
        <v>6405</v>
      </c>
      <c r="BK167" s="5">
        <v>30</v>
      </c>
      <c r="BL167" s="5">
        <v>3533</v>
      </c>
      <c r="BM167" s="5"/>
      <c r="BN167" s="5">
        <v>617</v>
      </c>
      <c r="BO167" s="5">
        <v>67</v>
      </c>
      <c r="BP167" s="5">
        <v>0</v>
      </c>
      <c r="BQ167" s="5">
        <v>30569</v>
      </c>
      <c r="BR167" s="5">
        <v>14871</v>
      </c>
      <c r="BS167" s="5">
        <v>39</v>
      </c>
      <c r="BT167" s="5">
        <v>1366</v>
      </c>
      <c r="BU167" s="5">
        <v>444</v>
      </c>
      <c r="BV167" s="5"/>
      <c r="BW167" s="5">
        <v>10</v>
      </c>
      <c r="BX167" s="5">
        <v>138</v>
      </c>
      <c r="BY167" s="5"/>
      <c r="BZ167" s="5">
        <v>90</v>
      </c>
      <c r="CA167" s="5">
        <v>0</v>
      </c>
      <c r="CB167" s="5">
        <v>5194</v>
      </c>
      <c r="CC167" s="5">
        <v>12797</v>
      </c>
      <c r="CD167" s="5">
        <v>72000</v>
      </c>
      <c r="CE167" s="5">
        <v>121193</v>
      </c>
      <c r="CF167" s="5">
        <v>15653</v>
      </c>
      <c r="CG167" s="5">
        <v>0</v>
      </c>
      <c r="CH167" s="5">
        <v>0</v>
      </c>
      <c r="CI167" s="5">
        <v>23</v>
      </c>
      <c r="CJ167" s="5">
        <v>42</v>
      </c>
      <c r="CK167" s="5">
        <v>100</v>
      </c>
      <c r="CL167" s="5"/>
      <c r="CM167" s="5"/>
      <c r="CN167" s="5"/>
      <c r="CO167" s="5"/>
      <c r="CP167" s="5"/>
      <c r="CQ167" s="5"/>
      <c r="CR167" s="5"/>
      <c r="CS167" s="5"/>
      <c r="CT167" s="5" t="s">
        <v>82</v>
      </c>
      <c r="CU167" s="5" t="s">
        <v>82</v>
      </c>
      <c r="CV167" s="5" t="s">
        <v>82</v>
      </c>
      <c r="CW167" s="5">
        <v>0</v>
      </c>
      <c r="CX167" s="5">
        <v>0</v>
      </c>
      <c r="CY167" s="5">
        <v>0</v>
      </c>
      <c r="DA167" s="6"/>
      <c r="DD167" s="6">
        <f t="shared" si="35"/>
        <v>290283</v>
      </c>
      <c r="DE167" s="6">
        <f t="shared" si="36"/>
        <v>190036</v>
      </c>
      <c r="DF167" s="16">
        <f t="shared" si="37"/>
        <v>480319</v>
      </c>
      <c r="DK167" s="6">
        <f t="shared" si="38"/>
        <v>56609</v>
      </c>
      <c r="DL167" s="6">
        <f t="shared" si="39"/>
        <v>96420</v>
      </c>
      <c r="DM167" s="6">
        <f t="shared" si="49"/>
        <v>13853</v>
      </c>
      <c r="DN167" s="6">
        <f t="shared" si="50"/>
        <v>23154</v>
      </c>
      <c r="DO167" s="6">
        <f t="shared" si="40"/>
        <v>233155</v>
      </c>
      <c r="DP167" s="6">
        <f t="shared" si="48"/>
        <v>33792</v>
      </c>
      <c r="DQ167" s="6"/>
      <c r="DR167" s="6">
        <f t="shared" si="41"/>
        <v>12820</v>
      </c>
      <c r="DS167" s="6">
        <f t="shared" si="42"/>
        <v>0</v>
      </c>
      <c r="DT167" s="6">
        <f t="shared" si="43"/>
        <v>10516</v>
      </c>
      <c r="DU167" s="6"/>
      <c r="DV167" s="6"/>
      <c r="DW167" s="6">
        <f t="shared" si="44"/>
        <v>480319</v>
      </c>
      <c r="DY167" s="6">
        <f t="shared" si="45"/>
        <v>275576</v>
      </c>
      <c r="DZ167" s="6">
        <f t="shared" si="46"/>
        <v>31905</v>
      </c>
      <c r="EB167" s="6">
        <f t="shared" si="47"/>
        <v>512224</v>
      </c>
      <c r="EC167" s="6"/>
      <c r="ED167" s="6"/>
      <c r="EF167" s="6"/>
      <c r="EG167" s="6"/>
    </row>
    <row r="168" spans="2:137" ht="14">
      <c r="B168" s="4">
        <v>37073</v>
      </c>
      <c r="C168" s="5">
        <v>0</v>
      </c>
      <c r="D168" s="5">
        <v>0</v>
      </c>
      <c r="E168" s="5">
        <v>0</v>
      </c>
      <c r="F168" s="5" t="s">
        <v>82</v>
      </c>
      <c r="G168" s="5" t="s">
        <v>82</v>
      </c>
      <c r="H168" s="5">
        <v>3585</v>
      </c>
      <c r="I168" s="5">
        <v>7369</v>
      </c>
      <c r="J168" s="5">
        <v>3106</v>
      </c>
      <c r="K168" s="5">
        <v>18254</v>
      </c>
      <c r="L168" s="5"/>
      <c r="M168" s="5">
        <v>32021</v>
      </c>
      <c r="N168" s="5">
        <v>3118</v>
      </c>
      <c r="O168" s="5"/>
      <c r="P168" s="5">
        <v>2317</v>
      </c>
      <c r="Q168" s="5">
        <v>7868</v>
      </c>
      <c r="R168" s="5">
        <v>821</v>
      </c>
      <c r="S168" s="5">
        <v>9549</v>
      </c>
      <c r="T168" s="5">
        <v>13774</v>
      </c>
      <c r="U168" s="5"/>
      <c r="V168" s="5"/>
      <c r="W168" s="5">
        <v>868</v>
      </c>
      <c r="X168" s="5">
        <v>42</v>
      </c>
      <c r="Y168" s="5">
        <v>541</v>
      </c>
      <c r="Z168" s="5">
        <v>26</v>
      </c>
      <c r="AA168" s="155"/>
      <c r="AB168" s="5">
        <v>9</v>
      </c>
      <c r="AC168" s="5">
        <v>0</v>
      </c>
      <c r="AD168" s="5">
        <v>14</v>
      </c>
      <c r="AE168" s="5">
        <v>28</v>
      </c>
      <c r="AF168" s="5">
        <v>36</v>
      </c>
      <c r="AG168" s="5">
        <v>56</v>
      </c>
      <c r="AH168" s="5"/>
      <c r="AI168" s="5"/>
      <c r="AJ168" s="5">
        <v>7</v>
      </c>
      <c r="AK168" s="5">
        <v>35</v>
      </c>
      <c r="AL168" s="5">
        <v>82632</v>
      </c>
      <c r="AM168" s="5">
        <v>3541</v>
      </c>
      <c r="AN168" s="5">
        <v>9929</v>
      </c>
      <c r="AO168" s="5">
        <v>27</v>
      </c>
      <c r="AP168" s="5">
        <v>14</v>
      </c>
      <c r="AQ168" s="5">
        <v>2279</v>
      </c>
      <c r="AR168" s="5">
        <v>1094</v>
      </c>
      <c r="AS168" s="5">
        <v>1503</v>
      </c>
      <c r="AT168" s="5" t="s">
        <v>82</v>
      </c>
      <c r="AU168" s="5">
        <v>2501</v>
      </c>
      <c r="AV168" s="5">
        <v>1912</v>
      </c>
      <c r="AW168" s="5">
        <v>3241</v>
      </c>
      <c r="AX168" s="5">
        <v>10137</v>
      </c>
      <c r="AY168" s="155"/>
      <c r="AZ168" s="155"/>
      <c r="BA168" s="155">
        <v>0</v>
      </c>
      <c r="BB168" s="155"/>
      <c r="BC168" s="5">
        <v>600</v>
      </c>
      <c r="BD168" s="5"/>
      <c r="BE168" s="5">
        <v>1077</v>
      </c>
      <c r="BF168" s="5">
        <v>3103</v>
      </c>
      <c r="BG168" s="5">
        <v>443</v>
      </c>
      <c r="BH168" s="5">
        <v>23</v>
      </c>
      <c r="BI168" s="5">
        <v>32</v>
      </c>
      <c r="BJ168" s="5">
        <v>6386</v>
      </c>
      <c r="BK168" s="5">
        <v>34</v>
      </c>
      <c r="BL168" s="5">
        <v>3554</v>
      </c>
      <c r="BM168" s="5"/>
      <c r="BN168" s="5">
        <v>638</v>
      </c>
      <c r="BO168" s="5">
        <v>66</v>
      </c>
      <c r="BP168" s="5">
        <v>0</v>
      </c>
      <c r="BQ168" s="5">
        <v>30598</v>
      </c>
      <c r="BR168" s="5">
        <v>14294</v>
      </c>
      <c r="BS168" s="5">
        <v>40</v>
      </c>
      <c r="BT168" s="5">
        <v>1386</v>
      </c>
      <c r="BU168" s="5">
        <v>421</v>
      </c>
      <c r="BV168" s="5"/>
      <c r="BW168" s="5">
        <v>6</v>
      </c>
      <c r="BX168" s="5">
        <v>140</v>
      </c>
      <c r="BY168" s="5"/>
      <c r="BZ168" s="5">
        <v>87</v>
      </c>
      <c r="CA168" s="5">
        <v>0</v>
      </c>
      <c r="CB168" s="5">
        <v>5092</v>
      </c>
      <c r="CC168" s="5">
        <v>12884</v>
      </c>
      <c r="CD168" s="5">
        <v>72655</v>
      </c>
      <c r="CE168" s="5">
        <v>122172</v>
      </c>
      <c r="CF168" s="5">
        <v>15578</v>
      </c>
      <c r="CG168" s="5">
        <v>0</v>
      </c>
      <c r="CH168" s="5">
        <v>0</v>
      </c>
      <c r="CI168" s="5">
        <v>24</v>
      </c>
      <c r="CJ168" s="5">
        <v>40</v>
      </c>
      <c r="CK168" s="5">
        <v>104</v>
      </c>
      <c r="CL168" s="5"/>
      <c r="CM168" s="5"/>
      <c r="CN168" s="5"/>
      <c r="CO168" s="5"/>
      <c r="CP168" s="5"/>
      <c r="CQ168" s="5"/>
      <c r="CR168" s="5"/>
      <c r="CS168" s="5"/>
      <c r="CT168" s="5" t="s">
        <v>82</v>
      </c>
      <c r="CU168" s="5" t="s">
        <v>82</v>
      </c>
      <c r="CV168" s="5" t="s">
        <v>82</v>
      </c>
      <c r="CW168" s="5">
        <v>0</v>
      </c>
      <c r="CX168" s="5">
        <v>0</v>
      </c>
      <c r="CY168" s="5">
        <v>0</v>
      </c>
      <c r="DA168" s="6"/>
      <c r="DD168" s="6">
        <f t="shared" si="35"/>
        <v>290877</v>
      </c>
      <c r="DE168" s="6">
        <f t="shared" si="36"/>
        <v>190540</v>
      </c>
      <c r="DF168" s="16">
        <f t="shared" si="37"/>
        <v>481417</v>
      </c>
      <c r="DK168" s="6">
        <f t="shared" si="38"/>
        <v>56604</v>
      </c>
      <c r="DL168" s="6">
        <f t="shared" si="39"/>
        <v>96653</v>
      </c>
      <c r="DM168" s="6">
        <f t="shared" si="49"/>
        <v>13774</v>
      </c>
      <c r="DN168" s="6">
        <f t="shared" si="50"/>
        <v>23509</v>
      </c>
      <c r="DO168" s="6">
        <f t="shared" si="40"/>
        <v>233724</v>
      </c>
      <c r="DP168" s="6">
        <f t="shared" si="48"/>
        <v>33722</v>
      </c>
      <c r="DQ168" s="6"/>
      <c r="DR168" s="6">
        <f t="shared" si="41"/>
        <v>12908</v>
      </c>
      <c r="DS168" s="6">
        <f t="shared" si="42"/>
        <v>0</v>
      </c>
      <c r="DT168" s="6">
        <f t="shared" si="43"/>
        <v>10523</v>
      </c>
      <c r="DU168" s="6"/>
      <c r="DV168" s="6"/>
      <c r="DW168" s="6">
        <f t="shared" si="44"/>
        <v>481417</v>
      </c>
      <c r="DY168" s="6">
        <f t="shared" si="45"/>
        <v>276561</v>
      </c>
      <c r="DZ168" s="6">
        <f t="shared" si="46"/>
        <v>32314</v>
      </c>
      <c r="EB168" s="6">
        <f t="shared" si="47"/>
        <v>513731</v>
      </c>
      <c r="EC168" s="6"/>
      <c r="ED168" s="6"/>
      <c r="EF168" s="6"/>
      <c r="EG168" s="6"/>
    </row>
    <row r="169" spans="2:137" ht="14">
      <c r="B169" s="4">
        <v>37104</v>
      </c>
      <c r="C169" s="5">
        <v>0</v>
      </c>
      <c r="D169" s="5">
        <v>0</v>
      </c>
      <c r="E169" s="5">
        <v>0</v>
      </c>
      <c r="F169" s="5" t="s">
        <v>82</v>
      </c>
      <c r="G169" s="5" t="s">
        <v>82</v>
      </c>
      <c r="H169" s="5">
        <v>3611</v>
      </c>
      <c r="I169" s="5">
        <v>7554</v>
      </c>
      <c r="J169" s="5">
        <v>3154</v>
      </c>
      <c r="K169" s="5">
        <v>18268</v>
      </c>
      <c r="L169" s="5"/>
      <c r="M169" s="5">
        <v>32022</v>
      </c>
      <c r="N169" s="5">
        <v>3092</v>
      </c>
      <c r="O169" s="5"/>
      <c r="P169" s="5">
        <v>2318</v>
      </c>
      <c r="Q169" s="5">
        <v>7903</v>
      </c>
      <c r="R169" s="5">
        <v>804</v>
      </c>
      <c r="S169" s="5">
        <v>9458</v>
      </c>
      <c r="T169" s="5">
        <v>13025</v>
      </c>
      <c r="U169" s="5"/>
      <c r="V169" s="5"/>
      <c r="W169" s="5">
        <v>848</v>
      </c>
      <c r="X169" s="5">
        <v>899</v>
      </c>
      <c r="Y169" s="5">
        <v>543</v>
      </c>
      <c r="Z169" s="5">
        <v>27</v>
      </c>
      <c r="AA169" s="155"/>
      <c r="AB169" s="5">
        <v>8</v>
      </c>
      <c r="AC169" s="5">
        <v>2</v>
      </c>
      <c r="AD169" s="5">
        <v>14</v>
      </c>
      <c r="AE169" s="5">
        <v>27</v>
      </c>
      <c r="AF169" s="5">
        <v>36</v>
      </c>
      <c r="AG169" s="5">
        <v>52</v>
      </c>
      <c r="AH169" s="5"/>
      <c r="AI169" s="5"/>
      <c r="AJ169" s="5">
        <v>6</v>
      </c>
      <c r="AK169" s="5">
        <v>775</v>
      </c>
      <c r="AL169" s="5">
        <v>82655</v>
      </c>
      <c r="AM169" s="5">
        <v>3537</v>
      </c>
      <c r="AN169" s="5">
        <v>9907</v>
      </c>
      <c r="AO169" s="5">
        <v>27</v>
      </c>
      <c r="AP169" s="5">
        <v>13</v>
      </c>
      <c r="AQ169" s="5">
        <v>2377</v>
      </c>
      <c r="AR169" s="5">
        <v>1179</v>
      </c>
      <c r="AS169" s="5">
        <v>1426</v>
      </c>
      <c r="AT169" s="5" t="s">
        <v>82</v>
      </c>
      <c r="AU169" s="5">
        <v>2525</v>
      </c>
      <c r="AV169" s="5">
        <v>1906</v>
      </c>
      <c r="AW169" s="5">
        <v>3195</v>
      </c>
      <c r="AX169" s="5">
        <v>9620</v>
      </c>
      <c r="AY169" s="155"/>
      <c r="AZ169" s="155"/>
      <c r="BA169" s="155">
        <v>12</v>
      </c>
      <c r="BB169" s="155"/>
      <c r="BC169" s="5">
        <v>590</v>
      </c>
      <c r="BD169" s="5"/>
      <c r="BE169" s="5">
        <v>1007</v>
      </c>
      <c r="BF169" s="5">
        <v>2912</v>
      </c>
      <c r="BG169" s="5">
        <v>434</v>
      </c>
      <c r="BH169" s="5">
        <v>23</v>
      </c>
      <c r="BI169" s="5">
        <v>31</v>
      </c>
      <c r="BJ169" s="5">
        <v>6297</v>
      </c>
      <c r="BK169" s="5">
        <v>32</v>
      </c>
      <c r="BL169" s="5">
        <v>3591</v>
      </c>
      <c r="BM169" s="5"/>
      <c r="BN169" s="5">
        <v>663</v>
      </c>
      <c r="BO169" s="5">
        <v>65</v>
      </c>
      <c r="BP169" s="5">
        <v>0</v>
      </c>
      <c r="BQ169" s="5">
        <v>30805</v>
      </c>
      <c r="BR169" s="5">
        <v>13754</v>
      </c>
      <c r="BS169" s="5">
        <v>44</v>
      </c>
      <c r="BT169" s="5">
        <v>1397</v>
      </c>
      <c r="BU169" s="5">
        <v>406</v>
      </c>
      <c r="BV169" s="5"/>
      <c r="BW169" s="5">
        <v>8</v>
      </c>
      <c r="BX169" s="5">
        <v>132</v>
      </c>
      <c r="BY169" s="5"/>
      <c r="BZ169" s="5">
        <v>86</v>
      </c>
      <c r="CA169" s="5">
        <v>0</v>
      </c>
      <c r="CB169" s="5">
        <v>4976</v>
      </c>
      <c r="CC169" s="5">
        <v>13076</v>
      </c>
      <c r="CD169" s="5">
        <v>73275</v>
      </c>
      <c r="CE169" s="5">
        <v>122863</v>
      </c>
      <c r="CF169" s="5">
        <v>15633</v>
      </c>
      <c r="CG169" s="5">
        <v>0</v>
      </c>
      <c r="CH169" s="5">
        <v>0</v>
      </c>
      <c r="CI169" s="5">
        <v>21</v>
      </c>
      <c r="CJ169" s="5">
        <v>38</v>
      </c>
      <c r="CK169" s="5">
        <v>107</v>
      </c>
      <c r="CL169" s="5"/>
      <c r="CM169" s="5"/>
      <c r="CN169" s="5"/>
      <c r="CO169" s="5"/>
      <c r="CP169" s="5"/>
      <c r="CQ169" s="5"/>
      <c r="CR169" s="5"/>
      <c r="CS169" s="5"/>
      <c r="CT169" s="5" t="s">
        <v>82</v>
      </c>
      <c r="CU169" s="5" t="s">
        <v>82</v>
      </c>
      <c r="CV169" s="5" t="s">
        <v>82</v>
      </c>
      <c r="CW169" s="5">
        <v>0</v>
      </c>
      <c r="CX169" s="5">
        <v>0</v>
      </c>
      <c r="CY169" s="5">
        <v>0</v>
      </c>
      <c r="DA169" s="6"/>
      <c r="DD169" s="6">
        <f t="shared" si="35"/>
        <v>291676</v>
      </c>
      <c r="DE169" s="6">
        <f t="shared" si="36"/>
        <v>190816</v>
      </c>
      <c r="DF169" s="16">
        <f t="shared" si="37"/>
        <v>482492</v>
      </c>
      <c r="DK169" s="6">
        <f t="shared" si="38"/>
        <v>57344</v>
      </c>
      <c r="DL169" s="6">
        <f t="shared" si="39"/>
        <v>97311</v>
      </c>
      <c r="DM169" s="6">
        <f t="shared" si="49"/>
        <v>13025</v>
      </c>
      <c r="DN169" s="6">
        <f t="shared" si="50"/>
        <v>23148</v>
      </c>
      <c r="DO169" s="6">
        <f t="shared" si="40"/>
        <v>234230</v>
      </c>
      <c r="DP169" s="6">
        <f t="shared" si="48"/>
        <v>33895</v>
      </c>
      <c r="DQ169" s="6"/>
      <c r="DR169" s="6">
        <f t="shared" si="41"/>
        <v>13097</v>
      </c>
      <c r="DS169" s="6">
        <f t="shared" si="42"/>
        <v>0</v>
      </c>
      <c r="DT169" s="6">
        <f t="shared" si="43"/>
        <v>10454</v>
      </c>
      <c r="DU169" s="6"/>
      <c r="DV169" s="6"/>
      <c r="DW169" s="6">
        <f t="shared" si="44"/>
        <v>482504</v>
      </c>
      <c r="DY169" s="6">
        <f t="shared" si="45"/>
        <v>277271</v>
      </c>
      <c r="DZ169" s="6">
        <f t="shared" si="46"/>
        <v>32587</v>
      </c>
      <c r="EB169" s="6">
        <f t="shared" si="47"/>
        <v>515079</v>
      </c>
      <c r="EC169" s="6"/>
      <c r="ED169" s="6"/>
      <c r="EF169" s="6"/>
      <c r="EG169" s="6"/>
    </row>
    <row r="170" spans="2:137" ht="14">
      <c r="B170" s="4">
        <v>37135</v>
      </c>
      <c r="C170" s="5">
        <v>0</v>
      </c>
      <c r="D170" s="5">
        <v>0</v>
      </c>
      <c r="E170" s="5">
        <v>0</v>
      </c>
      <c r="F170" s="5" t="s">
        <v>82</v>
      </c>
      <c r="G170" s="5" t="s">
        <v>82</v>
      </c>
      <c r="H170" s="5">
        <v>3854</v>
      </c>
      <c r="I170" s="5">
        <v>7902</v>
      </c>
      <c r="J170" s="5">
        <v>3268</v>
      </c>
      <c r="K170" s="5">
        <v>18837</v>
      </c>
      <c r="L170" s="5"/>
      <c r="M170" s="5">
        <v>32128</v>
      </c>
      <c r="N170" s="5">
        <v>3112</v>
      </c>
      <c r="O170" s="5"/>
      <c r="P170" s="5">
        <v>2277</v>
      </c>
      <c r="Q170" s="5">
        <v>8013</v>
      </c>
      <c r="R170" s="5">
        <v>793</v>
      </c>
      <c r="S170" s="5">
        <v>9420</v>
      </c>
      <c r="T170" s="5">
        <v>12451</v>
      </c>
      <c r="U170" s="5"/>
      <c r="V170" s="5"/>
      <c r="W170" s="5">
        <v>787</v>
      </c>
      <c r="X170" s="5">
        <v>1672</v>
      </c>
      <c r="Y170" s="5">
        <v>544</v>
      </c>
      <c r="Z170" s="5">
        <v>27</v>
      </c>
      <c r="AA170" s="155"/>
      <c r="AB170" s="5">
        <v>11</v>
      </c>
      <c r="AC170" s="5">
        <v>9</v>
      </c>
      <c r="AD170" s="5">
        <v>14</v>
      </c>
      <c r="AE170" s="5">
        <v>28</v>
      </c>
      <c r="AF170" s="5">
        <v>35</v>
      </c>
      <c r="AG170" s="5">
        <v>51</v>
      </c>
      <c r="AH170" s="5"/>
      <c r="AI170" s="5"/>
      <c r="AJ170" s="5">
        <v>5</v>
      </c>
      <c r="AK170" s="5">
        <v>1421</v>
      </c>
      <c r="AL170" s="5">
        <v>83284</v>
      </c>
      <c r="AM170" s="5">
        <v>3543</v>
      </c>
      <c r="AN170" s="5">
        <v>9953</v>
      </c>
      <c r="AO170" s="5">
        <v>31</v>
      </c>
      <c r="AP170" s="5">
        <v>17</v>
      </c>
      <c r="AQ170" s="5">
        <v>2511</v>
      </c>
      <c r="AR170" s="5">
        <v>1294</v>
      </c>
      <c r="AS170" s="5">
        <v>1422</v>
      </c>
      <c r="AT170" s="5" t="s">
        <v>82</v>
      </c>
      <c r="AU170" s="5">
        <v>2537</v>
      </c>
      <c r="AV170" s="5">
        <v>1918</v>
      </c>
      <c r="AW170" s="5">
        <v>3205</v>
      </c>
      <c r="AX170" s="5">
        <v>9254</v>
      </c>
      <c r="AY170" s="155"/>
      <c r="AZ170" s="155"/>
      <c r="BA170" s="155">
        <v>21</v>
      </c>
      <c r="BB170" s="155"/>
      <c r="BC170" s="5">
        <v>564</v>
      </c>
      <c r="BD170" s="5"/>
      <c r="BE170" s="5">
        <v>937</v>
      </c>
      <c r="BF170" s="5">
        <v>2737</v>
      </c>
      <c r="BG170" s="5">
        <v>447</v>
      </c>
      <c r="BH170" s="5">
        <v>23</v>
      </c>
      <c r="BI170" s="5">
        <v>33</v>
      </c>
      <c r="BJ170" s="5">
        <v>6359</v>
      </c>
      <c r="BK170" s="5">
        <v>36</v>
      </c>
      <c r="BL170" s="5">
        <v>3651</v>
      </c>
      <c r="BM170" s="5"/>
      <c r="BN170" s="5">
        <v>714</v>
      </c>
      <c r="BO170" s="5">
        <v>64</v>
      </c>
      <c r="BP170" s="5">
        <v>0</v>
      </c>
      <c r="BQ170" s="5">
        <v>31546</v>
      </c>
      <c r="BR170" s="5">
        <v>13271</v>
      </c>
      <c r="BS170" s="5">
        <v>44</v>
      </c>
      <c r="BT170" s="5">
        <v>1413</v>
      </c>
      <c r="BU170" s="5">
        <v>402</v>
      </c>
      <c r="BV170" s="5"/>
      <c r="BW170" s="5">
        <v>11</v>
      </c>
      <c r="BX170" s="5">
        <v>124</v>
      </c>
      <c r="BY170" s="5"/>
      <c r="BZ170" s="5">
        <v>86</v>
      </c>
      <c r="CA170" s="5">
        <v>0</v>
      </c>
      <c r="CB170" s="5">
        <v>4941</v>
      </c>
      <c r="CC170" s="5">
        <v>13344</v>
      </c>
      <c r="CD170" s="5">
        <v>74719</v>
      </c>
      <c r="CE170" s="5">
        <v>124422</v>
      </c>
      <c r="CF170" s="5">
        <v>15940</v>
      </c>
      <c r="CG170" s="5">
        <v>0</v>
      </c>
      <c r="CH170" s="5">
        <v>0</v>
      </c>
      <c r="CI170" s="5">
        <v>20</v>
      </c>
      <c r="CJ170" s="5">
        <v>36</v>
      </c>
      <c r="CK170" s="5">
        <v>110</v>
      </c>
      <c r="CL170" s="5"/>
      <c r="CM170" s="5"/>
      <c r="CN170" s="5"/>
      <c r="CO170" s="5"/>
      <c r="CP170" s="5"/>
      <c r="CQ170" s="5"/>
      <c r="CR170" s="5"/>
      <c r="CS170" s="5"/>
      <c r="CT170" s="5" t="s">
        <v>82</v>
      </c>
      <c r="CU170" s="5" t="s">
        <v>82</v>
      </c>
      <c r="CV170" s="5" t="s">
        <v>82</v>
      </c>
      <c r="CW170" s="5">
        <v>0</v>
      </c>
      <c r="CX170" s="5">
        <v>0</v>
      </c>
      <c r="CY170" s="5">
        <v>0</v>
      </c>
      <c r="DA170" s="6"/>
      <c r="DD170" s="6">
        <f t="shared" si="35"/>
        <v>295430</v>
      </c>
      <c r="DE170" s="6">
        <f t="shared" si="36"/>
        <v>192331</v>
      </c>
      <c r="DF170" s="16">
        <f t="shared" si="37"/>
        <v>487761</v>
      </c>
      <c r="DK170" s="6">
        <f t="shared" si="38"/>
        <v>58202</v>
      </c>
      <c r="DL170" s="6">
        <f t="shared" si="39"/>
        <v>98619</v>
      </c>
      <c r="DM170" s="6">
        <f t="shared" si="49"/>
        <v>12451</v>
      </c>
      <c r="DN170" s="6">
        <f t="shared" si="50"/>
        <v>23080</v>
      </c>
      <c r="DO170" s="6">
        <f t="shared" si="40"/>
        <v>236852</v>
      </c>
      <c r="DP170" s="6">
        <f t="shared" si="48"/>
        <v>34633</v>
      </c>
      <c r="DQ170" s="6"/>
      <c r="DR170" s="6">
        <f t="shared" si="41"/>
        <v>13364</v>
      </c>
      <c r="DS170" s="6">
        <f t="shared" si="42"/>
        <v>0</v>
      </c>
      <c r="DT170" s="6">
        <f t="shared" si="43"/>
        <v>10581</v>
      </c>
      <c r="DU170" s="6"/>
      <c r="DV170" s="6"/>
      <c r="DW170" s="6">
        <f t="shared" si="44"/>
        <v>487782</v>
      </c>
      <c r="DY170" s="6">
        <f t="shared" si="45"/>
        <v>281294</v>
      </c>
      <c r="DZ170" s="6">
        <f t="shared" si="46"/>
        <v>33861</v>
      </c>
      <c r="EB170" s="6">
        <f t="shared" si="47"/>
        <v>521622</v>
      </c>
      <c r="EC170" s="6"/>
      <c r="ED170" s="6"/>
      <c r="EF170" s="6"/>
      <c r="EG170" s="6"/>
    </row>
    <row r="171" spans="2:137" ht="14">
      <c r="B171" s="4">
        <v>37165</v>
      </c>
      <c r="C171" s="5">
        <v>0</v>
      </c>
      <c r="D171" s="5">
        <v>0</v>
      </c>
      <c r="E171" s="5">
        <v>0</v>
      </c>
      <c r="F171" s="5" t="s">
        <v>82</v>
      </c>
      <c r="G171" s="5" t="s">
        <v>82</v>
      </c>
      <c r="H171" s="5">
        <v>3961</v>
      </c>
      <c r="I171" s="5">
        <v>8353</v>
      </c>
      <c r="J171" s="5">
        <v>3214</v>
      </c>
      <c r="K171" s="5">
        <v>19074</v>
      </c>
      <c r="L171" s="5"/>
      <c r="M171" s="5">
        <v>31947</v>
      </c>
      <c r="N171" s="5">
        <v>3091</v>
      </c>
      <c r="O171" s="5"/>
      <c r="P171" s="5">
        <v>2240</v>
      </c>
      <c r="Q171" s="5">
        <v>8021</v>
      </c>
      <c r="R171" s="5">
        <v>774</v>
      </c>
      <c r="S171" s="5">
        <v>9312</v>
      </c>
      <c r="T171" s="5">
        <v>12044</v>
      </c>
      <c r="U171" s="5"/>
      <c r="V171" s="5"/>
      <c r="W171" s="5">
        <v>735</v>
      </c>
      <c r="X171" s="5">
        <v>2288</v>
      </c>
      <c r="Y171" s="5">
        <v>537</v>
      </c>
      <c r="Z171" s="5">
        <v>27</v>
      </c>
      <c r="AA171" s="155"/>
      <c r="AB171" s="5">
        <v>11</v>
      </c>
      <c r="AC171" s="5">
        <v>13</v>
      </c>
      <c r="AD171" s="5">
        <v>15</v>
      </c>
      <c r="AE171" s="5">
        <v>30</v>
      </c>
      <c r="AF171" s="5">
        <v>32</v>
      </c>
      <c r="AG171" s="5">
        <v>51</v>
      </c>
      <c r="AH171" s="5"/>
      <c r="AI171" s="5"/>
      <c r="AJ171" s="5">
        <v>6</v>
      </c>
      <c r="AK171" s="5">
        <v>1876</v>
      </c>
      <c r="AL171" s="5">
        <v>83031</v>
      </c>
      <c r="AM171" s="5">
        <v>3514</v>
      </c>
      <c r="AN171" s="5">
        <v>9923</v>
      </c>
      <c r="AO171" s="5">
        <v>35</v>
      </c>
      <c r="AP171" s="5">
        <v>13</v>
      </c>
      <c r="AQ171" s="5">
        <v>2662</v>
      </c>
      <c r="AR171" s="5">
        <v>1412</v>
      </c>
      <c r="AS171" s="5">
        <v>1372</v>
      </c>
      <c r="AT171" s="5" t="s">
        <v>82</v>
      </c>
      <c r="AU171" s="5">
        <v>2566</v>
      </c>
      <c r="AV171" s="5">
        <v>1914</v>
      </c>
      <c r="AW171" s="5">
        <v>3146</v>
      </c>
      <c r="AX171" s="5">
        <v>8907</v>
      </c>
      <c r="AY171" s="155"/>
      <c r="AZ171" s="155"/>
      <c r="BA171" s="155">
        <v>29</v>
      </c>
      <c r="BB171" s="155"/>
      <c r="BC171" s="5">
        <v>529</v>
      </c>
      <c r="BD171" s="5"/>
      <c r="BE171" s="5">
        <v>891</v>
      </c>
      <c r="BF171" s="5">
        <v>2595</v>
      </c>
      <c r="BG171" s="5">
        <v>453</v>
      </c>
      <c r="BH171" s="5">
        <v>22</v>
      </c>
      <c r="BI171" s="5">
        <v>29</v>
      </c>
      <c r="BJ171" s="5">
        <v>6319</v>
      </c>
      <c r="BK171" s="5">
        <v>32</v>
      </c>
      <c r="BL171" s="5">
        <v>3624</v>
      </c>
      <c r="BM171" s="5"/>
      <c r="BN171" s="5">
        <v>660</v>
      </c>
      <c r="BO171" s="5">
        <v>64</v>
      </c>
      <c r="BP171" s="5">
        <v>0</v>
      </c>
      <c r="BQ171" s="5">
        <v>31432</v>
      </c>
      <c r="BR171" s="5">
        <v>12677</v>
      </c>
      <c r="BS171" s="5">
        <v>50</v>
      </c>
      <c r="BT171" s="5">
        <v>1445</v>
      </c>
      <c r="BU171" s="5">
        <v>389</v>
      </c>
      <c r="BV171" s="5"/>
      <c r="BW171" s="5">
        <v>5</v>
      </c>
      <c r="BX171" s="5">
        <v>121</v>
      </c>
      <c r="BY171" s="5"/>
      <c r="BZ171" s="5">
        <v>90</v>
      </c>
      <c r="CA171" s="5">
        <v>0</v>
      </c>
      <c r="CB171" s="5">
        <v>4758</v>
      </c>
      <c r="CC171" s="5">
        <v>13185</v>
      </c>
      <c r="CD171" s="5">
        <v>74680</v>
      </c>
      <c r="CE171" s="5">
        <v>123908</v>
      </c>
      <c r="CF171" s="5">
        <v>15761</v>
      </c>
      <c r="CG171" s="5">
        <v>0</v>
      </c>
      <c r="CH171" s="5">
        <v>0</v>
      </c>
      <c r="CI171" s="5">
        <v>19</v>
      </c>
      <c r="CJ171" s="5">
        <v>34</v>
      </c>
      <c r="CK171" s="5">
        <v>114</v>
      </c>
      <c r="CL171" s="5"/>
      <c r="CM171" s="5"/>
      <c r="CN171" s="5"/>
      <c r="CO171" s="5"/>
      <c r="CP171" s="5"/>
      <c r="CQ171" s="5"/>
      <c r="CR171" s="5"/>
      <c r="CS171" s="5"/>
      <c r="CT171" s="5" t="s">
        <v>82</v>
      </c>
      <c r="CU171" s="5" t="s">
        <v>82</v>
      </c>
      <c r="CV171" s="5" t="s">
        <v>82</v>
      </c>
      <c r="CW171" s="5">
        <v>0</v>
      </c>
      <c r="CX171" s="5">
        <v>0</v>
      </c>
      <c r="CY171" s="5">
        <v>0</v>
      </c>
      <c r="DA171" s="6"/>
      <c r="DD171" s="6">
        <f t="shared" si="35"/>
        <v>293357</v>
      </c>
      <c r="DE171" s="6">
        <f t="shared" si="36"/>
        <v>192074</v>
      </c>
      <c r="DF171" s="16">
        <f t="shared" si="37"/>
        <v>485431</v>
      </c>
      <c r="DK171" s="6">
        <f t="shared" si="38"/>
        <v>58408</v>
      </c>
      <c r="DL171" s="6">
        <f t="shared" si="39"/>
        <v>98683</v>
      </c>
      <c r="DM171" s="6">
        <f t="shared" si="49"/>
        <v>12044</v>
      </c>
      <c r="DN171" s="6">
        <f t="shared" si="50"/>
        <v>22968</v>
      </c>
      <c r="DO171" s="6">
        <f t="shared" si="40"/>
        <v>235186</v>
      </c>
      <c r="DP171" s="6">
        <f t="shared" si="48"/>
        <v>34450</v>
      </c>
      <c r="DQ171" s="6"/>
      <c r="DR171" s="6">
        <f t="shared" si="41"/>
        <v>13204</v>
      </c>
      <c r="DS171" s="6">
        <f t="shared" si="42"/>
        <v>0</v>
      </c>
      <c r="DT171" s="6">
        <f t="shared" si="43"/>
        <v>10517</v>
      </c>
      <c r="DU171" s="6"/>
      <c r="DV171" s="6"/>
      <c r="DW171" s="6">
        <f t="shared" si="44"/>
        <v>485460</v>
      </c>
      <c r="DY171" s="6">
        <f t="shared" si="45"/>
        <v>280305</v>
      </c>
      <c r="DZ171" s="6">
        <f t="shared" si="46"/>
        <v>34602</v>
      </c>
      <c r="EB171" s="6">
        <f t="shared" si="47"/>
        <v>520033</v>
      </c>
      <c r="EC171" s="6"/>
      <c r="ED171" s="6"/>
      <c r="EF171" s="6"/>
      <c r="EG171" s="6"/>
    </row>
    <row r="172" spans="2:137" ht="14">
      <c r="B172" s="4">
        <v>37196</v>
      </c>
      <c r="C172" s="5">
        <v>0</v>
      </c>
      <c r="D172" s="5">
        <v>0</v>
      </c>
      <c r="E172" s="5">
        <v>0</v>
      </c>
      <c r="F172" s="5" t="s">
        <v>82</v>
      </c>
      <c r="G172" s="5" t="s">
        <v>82</v>
      </c>
      <c r="H172" s="5">
        <v>4093</v>
      </c>
      <c r="I172" s="5">
        <v>8653</v>
      </c>
      <c r="J172" s="5">
        <v>3234</v>
      </c>
      <c r="K172" s="5">
        <v>19321</v>
      </c>
      <c r="L172" s="5"/>
      <c r="M172" s="5">
        <v>31872</v>
      </c>
      <c r="N172" s="5">
        <v>3061</v>
      </c>
      <c r="O172" s="5"/>
      <c r="P172" s="5">
        <v>2240</v>
      </c>
      <c r="Q172" s="5">
        <v>8090</v>
      </c>
      <c r="R172" s="5">
        <v>763</v>
      </c>
      <c r="S172" s="5">
        <v>9219</v>
      </c>
      <c r="T172" s="5">
        <v>11596</v>
      </c>
      <c r="U172" s="5"/>
      <c r="V172" s="5"/>
      <c r="W172" s="5">
        <v>712</v>
      </c>
      <c r="X172" s="5">
        <v>2952</v>
      </c>
      <c r="Y172" s="5">
        <v>541</v>
      </c>
      <c r="Z172" s="5">
        <v>27</v>
      </c>
      <c r="AA172" s="155"/>
      <c r="AB172" s="5">
        <v>10</v>
      </c>
      <c r="AC172" s="5">
        <v>19</v>
      </c>
      <c r="AD172" s="5">
        <v>18</v>
      </c>
      <c r="AE172" s="5">
        <v>33</v>
      </c>
      <c r="AF172" s="5">
        <v>28</v>
      </c>
      <c r="AG172" s="5">
        <v>50</v>
      </c>
      <c r="AH172" s="5"/>
      <c r="AI172" s="5"/>
      <c r="AJ172" s="5">
        <v>6</v>
      </c>
      <c r="AK172" s="5">
        <v>2410</v>
      </c>
      <c r="AL172" s="5">
        <v>83431</v>
      </c>
      <c r="AM172" s="5">
        <v>3518</v>
      </c>
      <c r="AN172" s="5">
        <v>9972</v>
      </c>
      <c r="AO172" s="5">
        <v>31</v>
      </c>
      <c r="AP172" s="5">
        <v>13</v>
      </c>
      <c r="AQ172" s="5">
        <v>2809</v>
      </c>
      <c r="AR172" s="5">
        <v>1539</v>
      </c>
      <c r="AS172" s="5">
        <v>1349</v>
      </c>
      <c r="AT172" s="5" t="s">
        <v>82</v>
      </c>
      <c r="AU172" s="5">
        <v>2588</v>
      </c>
      <c r="AV172" s="5">
        <v>1926</v>
      </c>
      <c r="AW172" s="5">
        <v>3152</v>
      </c>
      <c r="AX172" s="5">
        <v>8657</v>
      </c>
      <c r="AY172" s="155"/>
      <c r="AZ172" s="155"/>
      <c r="BA172" s="155">
        <v>35</v>
      </c>
      <c r="BB172" s="155"/>
      <c r="BC172" s="5">
        <v>517</v>
      </c>
      <c r="BD172" s="5"/>
      <c r="BE172" s="5">
        <v>834</v>
      </c>
      <c r="BF172" s="5">
        <v>2425</v>
      </c>
      <c r="BG172" s="5">
        <v>467</v>
      </c>
      <c r="BH172" s="5">
        <v>19</v>
      </c>
      <c r="BI172" s="5">
        <v>28</v>
      </c>
      <c r="BJ172" s="5">
        <v>6396</v>
      </c>
      <c r="BK172" s="5">
        <v>30</v>
      </c>
      <c r="BL172" s="5">
        <v>3623</v>
      </c>
      <c r="BM172" s="5"/>
      <c r="BN172" s="5">
        <v>680</v>
      </c>
      <c r="BO172" s="5">
        <v>64</v>
      </c>
      <c r="BP172" s="5">
        <v>0</v>
      </c>
      <c r="BQ172" s="5">
        <v>32198</v>
      </c>
      <c r="BR172" s="5">
        <v>12315</v>
      </c>
      <c r="BS172" s="5">
        <v>59</v>
      </c>
      <c r="BT172" s="5">
        <v>1489</v>
      </c>
      <c r="BU172" s="5">
        <v>371</v>
      </c>
      <c r="BV172" s="5"/>
      <c r="BW172" s="5">
        <v>5</v>
      </c>
      <c r="BX172" s="5">
        <v>121</v>
      </c>
      <c r="BY172" s="5"/>
      <c r="BZ172" s="5">
        <v>91</v>
      </c>
      <c r="CA172" s="5">
        <v>0</v>
      </c>
      <c r="CB172" s="5">
        <v>4684</v>
      </c>
      <c r="CC172" s="5">
        <v>13339</v>
      </c>
      <c r="CD172" s="5">
        <v>76118</v>
      </c>
      <c r="CE172" s="5">
        <v>125660</v>
      </c>
      <c r="CF172" s="5">
        <v>15916</v>
      </c>
      <c r="CG172" s="5">
        <v>0</v>
      </c>
      <c r="CH172" s="5">
        <v>0</v>
      </c>
      <c r="CI172" s="5">
        <v>22</v>
      </c>
      <c r="CJ172" s="5">
        <v>34</v>
      </c>
      <c r="CK172" s="5">
        <v>110</v>
      </c>
      <c r="CL172" s="5"/>
      <c r="CM172" s="5"/>
      <c r="CN172" s="5"/>
      <c r="CO172" s="5"/>
      <c r="CP172" s="5"/>
      <c r="CQ172" s="5"/>
      <c r="CR172" s="5"/>
      <c r="CS172" s="5"/>
      <c r="CT172" s="5" t="s">
        <v>82</v>
      </c>
      <c r="CU172" s="5" t="s">
        <v>82</v>
      </c>
      <c r="CV172" s="5" t="s">
        <v>82</v>
      </c>
      <c r="CW172" s="5">
        <v>0</v>
      </c>
      <c r="CX172" s="5">
        <v>0</v>
      </c>
      <c r="CY172" s="5">
        <v>0</v>
      </c>
      <c r="DA172" s="6"/>
      <c r="DD172" s="6">
        <f t="shared" si="35"/>
        <v>297098</v>
      </c>
      <c r="DE172" s="6">
        <f t="shared" si="36"/>
        <v>193149</v>
      </c>
      <c r="DF172" s="16">
        <f t="shared" si="37"/>
        <v>490247</v>
      </c>
      <c r="DK172" s="6">
        <f t="shared" si="38"/>
        <v>58909</v>
      </c>
      <c r="DL172" s="6">
        <f t="shared" si="39"/>
        <v>99639</v>
      </c>
      <c r="DM172" s="6">
        <f t="shared" si="49"/>
        <v>11596</v>
      </c>
      <c r="DN172" s="6">
        <f t="shared" si="50"/>
        <v>23040</v>
      </c>
      <c r="DO172" s="6">
        <f t="shared" si="40"/>
        <v>237910</v>
      </c>
      <c r="DP172" s="6">
        <f t="shared" si="48"/>
        <v>35220</v>
      </c>
      <c r="DQ172" s="6"/>
      <c r="DR172" s="6">
        <f t="shared" si="41"/>
        <v>13361</v>
      </c>
      <c r="DS172" s="6">
        <f t="shared" si="42"/>
        <v>0</v>
      </c>
      <c r="DT172" s="6">
        <f t="shared" si="43"/>
        <v>10607</v>
      </c>
      <c r="DU172" s="6"/>
      <c r="DV172" s="6"/>
      <c r="DW172" s="6">
        <f t="shared" si="44"/>
        <v>490282</v>
      </c>
      <c r="DY172" s="6">
        <f t="shared" si="45"/>
        <v>283818</v>
      </c>
      <c r="DZ172" s="6">
        <f t="shared" si="46"/>
        <v>35301</v>
      </c>
      <c r="EB172" s="6">
        <f t="shared" si="47"/>
        <v>525548</v>
      </c>
      <c r="EC172" s="6"/>
      <c r="ED172" s="6"/>
      <c r="EF172" s="6"/>
      <c r="EG172" s="6"/>
    </row>
    <row r="173" spans="2:137" ht="14">
      <c r="B173" s="4">
        <v>37226</v>
      </c>
      <c r="C173" s="5">
        <v>0</v>
      </c>
      <c r="D173" s="5">
        <v>0</v>
      </c>
      <c r="E173" s="5">
        <v>0</v>
      </c>
      <c r="F173" s="5" t="s">
        <v>82</v>
      </c>
      <c r="G173" s="5" t="s">
        <v>82</v>
      </c>
      <c r="H173" s="5">
        <v>4335</v>
      </c>
      <c r="I173" s="5">
        <v>8805</v>
      </c>
      <c r="J173" s="5">
        <v>3226</v>
      </c>
      <c r="K173" s="5">
        <v>18986</v>
      </c>
      <c r="L173" s="5"/>
      <c r="M173" s="5">
        <v>31903</v>
      </c>
      <c r="N173" s="5">
        <v>3077</v>
      </c>
      <c r="O173" s="5"/>
      <c r="P173" s="5">
        <v>2242</v>
      </c>
      <c r="Q173" s="5">
        <v>8062</v>
      </c>
      <c r="R173" s="5">
        <v>749</v>
      </c>
      <c r="S173" s="5">
        <v>9097</v>
      </c>
      <c r="T173" s="5">
        <v>11346</v>
      </c>
      <c r="U173" s="5"/>
      <c r="V173" s="5"/>
      <c r="W173" s="5">
        <v>687</v>
      </c>
      <c r="X173" s="5">
        <v>3382</v>
      </c>
      <c r="Y173" s="5">
        <v>536</v>
      </c>
      <c r="Z173" s="5">
        <v>28</v>
      </c>
      <c r="AA173" s="155"/>
      <c r="AB173" s="5">
        <v>8</v>
      </c>
      <c r="AC173" s="5">
        <v>25</v>
      </c>
      <c r="AD173" s="5">
        <v>19</v>
      </c>
      <c r="AE173" s="5">
        <v>32</v>
      </c>
      <c r="AF173" s="5">
        <v>27</v>
      </c>
      <c r="AG173" s="5">
        <v>47</v>
      </c>
      <c r="AH173" s="5"/>
      <c r="AI173" s="5"/>
      <c r="AJ173" s="5">
        <v>7</v>
      </c>
      <c r="AK173" s="5">
        <v>2809</v>
      </c>
      <c r="AL173" s="5">
        <v>83381</v>
      </c>
      <c r="AM173" s="5">
        <v>3498</v>
      </c>
      <c r="AN173" s="5">
        <v>10088</v>
      </c>
      <c r="AO173" s="5">
        <v>31</v>
      </c>
      <c r="AP173" s="5">
        <v>11</v>
      </c>
      <c r="AQ173" s="5">
        <v>2933</v>
      </c>
      <c r="AR173" s="5">
        <v>1661</v>
      </c>
      <c r="AS173" s="5">
        <v>1364</v>
      </c>
      <c r="AT173" s="5" t="s">
        <v>82</v>
      </c>
      <c r="AU173" s="5">
        <v>2595</v>
      </c>
      <c r="AV173" s="5">
        <v>1962</v>
      </c>
      <c r="AW173" s="5">
        <v>3139</v>
      </c>
      <c r="AX173" s="5">
        <v>8488</v>
      </c>
      <c r="AY173" s="155"/>
      <c r="AZ173" s="155"/>
      <c r="BA173" s="155">
        <v>40</v>
      </c>
      <c r="BB173" s="155"/>
      <c r="BC173" s="5">
        <v>519</v>
      </c>
      <c r="BD173" s="5"/>
      <c r="BE173" s="5">
        <v>789</v>
      </c>
      <c r="BF173" s="5">
        <v>2303</v>
      </c>
      <c r="BG173" s="5">
        <v>480</v>
      </c>
      <c r="BH173" s="5">
        <v>19</v>
      </c>
      <c r="BI173" s="5">
        <v>28</v>
      </c>
      <c r="BJ173" s="5">
        <v>6414</v>
      </c>
      <c r="BK173" s="5">
        <v>27</v>
      </c>
      <c r="BL173" s="5">
        <v>3655</v>
      </c>
      <c r="BM173" s="5"/>
      <c r="BN173" s="5">
        <v>630</v>
      </c>
      <c r="BO173" s="5">
        <v>61</v>
      </c>
      <c r="BP173" s="5">
        <v>0</v>
      </c>
      <c r="BQ173" s="5">
        <v>32421</v>
      </c>
      <c r="BR173" s="5">
        <v>11997</v>
      </c>
      <c r="BS173" s="5">
        <v>58</v>
      </c>
      <c r="BT173" s="5">
        <v>1538</v>
      </c>
      <c r="BU173" s="5">
        <v>359</v>
      </c>
      <c r="BV173" s="5"/>
      <c r="BW173" s="5">
        <v>6</v>
      </c>
      <c r="BX173" s="5">
        <v>130</v>
      </c>
      <c r="BY173" s="5"/>
      <c r="BZ173" s="5">
        <v>85</v>
      </c>
      <c r="CA173" s="5">
        <v>0</v>
      </c>
      <c r="CB173" s="5">
        <v>4604</v>
      </c>
      <c r="CC173" s="5">
        <v>13261</v>
      </c>
      <c r="CD173" s="5">
        <v>76953</v>
      </c>
      <c r="CE173" s="5">
        <v>127100</v>
      </c>
      <c r="CF173" s="5">
        <v>16035</v>
      </c>
      <c r="CG173" s="5">
        <v>0</v>
      </c>
      <c r="CH173" s="5">
        <v>0</v>
      </c>
      <c r="CI173" s="5">
        <v>21</v>
      </c>
      <c r="CJ173" s="5">
        <v>36</v>
      </c>
      <c r="CK173" s="5">
        <v>112</v>
      </c>
      <c r="CL173" s="5"/>
      <c r="CM173" s="5"/>
      <c r="CN173" s="5"/>
      <c r="CO173" s="5"/>
      <c r="CP173" s="5"/>
      <c r="CQ173" s="5"/>
      <c r="CR173" s="5"/>
      <c r="CS173" s="5"/>
      <c r="CT173" s="5" t="s">
        <v>82</v>
      </c>
      <c r="CU173" s="5" t="s">
        <v>82</v>
      </c>
      <c r="CV173" s="5" t="s">
        <v>82</v>
      </c>
      <c r="CW173" s="5">
        <v>0</v>
      </c>
      <c r="CX173" s="5">
        <v>0</v>
      </c>
      <c r="CY173" s="5">
        <v>0</v>
      </c>
      <c r="DA173" s="6"/>
      <c r="DD173" s="6">
        <f t="shared" si="35"/>
        <v>299122</v>
      </c>
      <c r="DE173" s="6">
        <f t="shared" si="36"/>
        <v>193753</v>
      </c>
      <c r="DF173" s="16">
        <f t="shared" si="37"/>
        <v>492875</v>
      </c>
      <c r="DK173" s="6">
        <f t="shared" si="38"/>
        <v>59199</v>
      </c>
      <c r="DL173" s="6">
        <f t="shared" si="39"/>
        <v>100020</v>
      </c>
      <c r="DM173" s="6">
        <f t="shared" si="49"/>
        <v>11346</v>
      </c>
      <c r="DN173" s="6">
        <f t="shared" si="50"/>
        <v>23228</v>
      </c>
      <c r="DO173" s="6">
        <f t="shared" si="40"/>
        <v>239764</v>
      </c>
      <c r="DP173" s="6">
        <f t="shared" si="48"/>
        <v>35397</v>
      </c>
      <c r="DQ173" s="6"/>
      <c r="DR173" s="6">
        <f t="shared" si="41"/>
        <v>13282</v>
      </c>
      <c r="DS173" s="6">
        <f t="shared" si="42"/>
        <v>0</v>
      </c>
      <c r="DT173" s="6">
        <f t="shared" si="43"/>
        <v>10679</v>
      </c>
      <c r="DU173" s="6"/>
      <c r="DV173" s="6"/>
      <c r="DW173" s="6">
        <f t="shared" si="44"/>
        <v>492915</v>
      </c>
      <c r="DY173" s="6">
        <f t="shared" si="45"/>
        <v>285795</v>
      </c>
      <c r="DZ173" s="6">
        <f t="shared" si="46"/>
        <v>35352</v>
      </c>
      <c r="EB173" s="6">
        <f t="shared" si="47"/>
        <v>528227</v>
      </c>
      <c r="EC173" s="6"/>
      <c r="ED173" s="6"/>
      <c r="EF173" s="6"/>
      <c r="EG173" s="6"/>
    </row>
    <row r="174" spans="2:137" ht="14">
      <c r="B174" s="4">
        <v>37257</v>
      </c>
      <c r="C174" s="5">
        <v>0</v>
      </c>
      <c r="D174" s="5">
        <v>0</v>
      </c>
      <c r="E174" s="5">
        <v>0</v>
      </c>
      <c r="F174" s="5" t="s">
        <v>82</v>
      </c>
      <c r="G174" s="5" t="s">
        <v>82</v>
      </c>
      <c r="H174" s="5">
        <v>4552</v>
      </c>
      <c r="I174" s="5">
        <v>9147</v>
      </c>
      <c r="J174" s="5">
        <v>3216</v>
      </c>
      <c r="K174" s="5">
        <v>19219</v>
      </c>
      <c r="L174" s="5"/>
      <c r="M174" s="5">
        <v>31829</v>
      </c>
      <c r="N174" s="5">
        <v>3038</v>
      </c>
      <c r="O174" s="5"/>
      <c r="P174" s="5">
        <v>2214</v>
      </c>
      <c r="Q174" s="5">
        <v>8033</v>
      </c>
      <c r="R174" s="5">
        <v>730</v>
      </c>
      <c r="S174" s="5">
        <v>8920</v>
      </c>
      <c r="T174" s="5">
        <v>11130</v>
      </c>
      <c r="U174" s="5"/>
      <c r="V174" s="5"/>
      <c r="W174" s="5">
        <v>658</v>
      </c>
      <c r="X174" s="5">
        <v>3740</v>
      </c>
      <c r="Y174" s="5">
        <v>528</v>
      </c>
      <c r="Z174" s="5">
        <v>27</v>
      </c>
      <c r="AA174" s="155"/>
      <c r="AB174" s="5">
        <v>7</v>
      </c>
      <c r="AC174" s="5">
        <v>27</v>
      </c>
      <c r="AD174" s="5">
        <v>19</v>
      </c>
      <c r="AE174" s="5">
        <v>31</v>
      </c>
      <c r="AF174" s="5">
        <v>27</v>
      </c>
      <c r="AG174" s="5">
        <v>49</v>
      </c>
      <c r="AH174" s="5"/>
      <c r="AI174" s="5"/>
      <c r="AJ174" s="5">
        <v>6</v>
      </c>
      <c r="AK174" s="5">
        <v>3081</v>
      </c>
      <c r="AL174" s="5">
        <v>83371</v>
      </c>
      <c r="AM174" s="5">
        <v>3461</v>
      </c>
      <c r="AN174" s="5">
        <v>10120</v>
      </c>
      <c r="AO174" s="5">
        <v>30</v>
      </c>
      <c r="AP174" s="5">
        <v>12</v>
      </c>
      <c r="AQ174" s="5">
        <v>136</v>
      </c>
      <c r="AR174" s="5">
        <v>50</v>
      </c>
      <c r="AS174" s="5">
        <v>1331</v>
      </c>
      <c r="AT174" s="5" t="s">
        <v>82</v>
      </c>
      <c r="AU174" s="5">
        <v>2596</v>
      </c>
      <c r="AV174" s="5">
        <v>2004</v>
      </c>
      <c r="AW174" s="5">
        <v>3128</v>
      </c>
      <c r="AX174" s="5">
        <v>8309</v>
      </c>
      <c r="AY174" s="155"/>
      <c r="AZ174" s="155"/>
      <c r="BA174" s="155">
        <v>41</v>
      </c>
      <c r="BB174" s="155"/>
      <c r="BC174" s="5">
        <v>491</v>
      </c>
      <c r="BD174" s="5"/>
      <c r="BE174" s="5">
        <v>747</v>
      </c>
      <c r="BF174" s="5">
        <v>2190</v>
      </c>
      <c r="BG174" s="5">
        <v>480</v>
      </c>
      <c r="BH174" s="5">
        <v>19</v>
      </c>
      <c r="BI174" s="5">
        <v>28</v>
      </c>
      <c r="BJ174" s="5">
        <v>6433</v>
      </c>
      <c r="BK174" s="5">
        <v>34</v>
      </c>
      <c r="BL174" s="5">
        <v>3608</v>
      </c>
      <c r="BM174" s="5"/>
      <c r="BN174" s="5">
        <v>548</v>
      </c>
      <c r="BO174" s="5">
        <v>60</v>
      </c>
      <c r="BP174" s="5">
        <v>0</v>
      </c>
      <c r="BQ174" s="5">
        <v>32465</v>
      </c>
      <c r="BR174" s="5">
        <v>11621</v>
      </c>
      <c r="BS174" s="5">
        <v>62</v>
      </c>
      <c r="BT174" s="5">
        <v>1565</v>
      </c>
      <c r="BU174" s="5">
        <v>346</v>
      </c>
      <c r="BV174" s="5"/>
      <c r="BW174" s="5">
        <v>7</v>
      </c>
      <c r="BX174" s="5">
        <v>128</v>
      </c>
      <c r="BY174" s="5"/>
      <c r="BZ174" s="5">
        <v>82</v>
      </c>
      <c r="CA174" s="5">
        <v>0</v>
      </c>
      <c r="CB174" s="5">
        <v>4555</v>
      </c>
      <c r="CC174" s="5">
        <v>12925</v>
      </c>
      <c r="CD174" s="5">
        <v>77172</v>
      </c>
      <c r="CE174" s="5">
        <v>127315</v>
      </c>
      <c r="CF174" s="5">
        <v>15901</v>
      </c>
      <c r="CG174" s="5">
        <v>0</v>
      </c>
      <c r="CH174" s="5">
        <v>0</v>
      </c>
      <c r="CI174" s="5">
        <v>22</v>
      </c>
      <c r="CJ174" s="5">
        <v>34</v>
      </c>
      <c r="CK174" s="5">
        <v>114</v>
      </c>
      <c r="CL174" s="5"/>
      <c r="CM174" s="5"/>
      <c r="CN174" s="5"/>
      <c r="CO174" s="5"/>
      <c r="CP174" s="5"/>
      <c r="CQ174" s="5"/>
      <c r="CR174" s="5"/>
      <c r="CS174" s="5"/>
      <c r="CT174" s="5" t="s">
        <v>82</v>
      </c>
      <c r="CU174" s="5" t="s">
        <v>82</v>
      </c>
      <c r="CV174" s="5" t="s">
        <v>82</v>
      </c>
      <c r="CW174" s="5">
        <v>0</v>
      </c>
      <c r="CX174" s="5">
        <v>0</v>
      </c>
      <c r="CY174" s="5">
        <v>0</v>
      </c>
      <c r="DA174" s="6"/>
      <c r="DD174" s="6">
        <f t="shared" si="35"/>
        <v>298461</v>
      </c>
      <c r="DE174" s="6">
        <f t="shared" si="36"/>
        <v>189133</v>
      </c>
      <c r="DF174" s="16">
        <f t="shared" si="37"/>
        <v>487594</v>
      </c>
      <c r="DK174" s="6">
        <f t="shared" si="38"/>
        <v>59162</v>
      </c>
      <c r="DL174" s="6">
        <f t="shared" si="39"/>
        <v>100206</v>
      </c>
      <c r="DM174" s="6">
        <f t="shared" si="49"/>
        <v>11130</v>
      </c>
      <c r="DN174" s="6">
        <f t="shared" si="50"/>
        <v>18676</v>
      </c>
      <c r="DO174" s="6">
        <f t="shared" si="40"/>
        <v>239521</v>
      </c>
      <c r="DP174" s="6">
        <f t="shared" si="48"/>
        <v>35344</v>
      </c>
      <c r="DQ174" s="6"/>
      <c r="DR174" s="6">
        <f t="shared" si="41"/>
        <v>12947</v>
      </c>
      <c r="DS174" s="6">
        <f t="shared" si="42"/>
        <v>0</v>
      </c>
      <c r="DT174" s="6">
        <f t="shared" si="43"/>
        <v>10649</v>
      </c>
      <c r="DU174" s="6"/>
      <c r="DV174" s="6"/>
      <c r="DW174" s="6">
        <f t="shared" si="44"/>
        <v>487635</v>
      </c>
      <c r="DY174" s="6">
        <f t="shared" si="45"/>
        <v>286304</v>
      </c>
      <c r="DZ174" s="6">
        <f t="shared" si="46"/>
        <v>36134</v>
      </c>
      <c r="EB174" s="6">
        <f t="shared" si="47"/>
        <v>523728</v>
      </c>
      <c r="EC174" s="6"/>
      <c r="ED174" s="6"/>
      <c r="EF174" s="6"/>
      <c r="EG174" s="6"/>
    </row>
    <row r="175" spans="2:137" ht="14">
      <c r="B175" s="4">
        <v>37288</v>
      </c>
      <c r="C175" s="5">
        <v>0</v>
      </c>
      <c r="D175" s="5">
        <v>0</v>
      </c>
      <c r="E175" s="5">
        <v>0</v>
      </c>
      <c r="F175" s="5" t="s">
        <v>82</v>
      </c>
      <c r="G175" s="5" t="s">
        <v>82</v>
      </c>
      <c r="H175" s="5">
        <v>4846</v>
      </c>
      <c r="I175" s="5">
        <v>9810</v>
      </c>
      <c r="J175" s="5">
        <v>3339</v>
      </c>
      <c r="K175" s="5">
        <v>20180</v>
      </c>
      <c r="L175" s="5"/>
      <c r="M175" s="5">
        <v>31703</v>
      </c>
      <c r="N175" s="5">
        <v>3027</v>
      </c>
      <c r="O175" s="5"/>
      <c r="P175" s="5">
        <v>2221</v>
      </c>
      <c r="Q175" s="5">
        <v>8040</v>
      </c>
      <c r="R175" s="5">
        <v>721</v>
      </c>
      <c r="S175" s="5">
        <v>8788</v>
      </c>
      <c r="T175" s="5">
        <v>10909</v>
      </c>
      <c r="U175" s="5"/>
      <c r="V175" s="5"/>
      <c r="W175" s="5">
        <v>634</v>
      </c>
      <c r="X175" s="5">
        <v>4166</v>
      </c>
      <c r="Y175" s="5">
        <v>524</v>
      </c>
      <c r="Z175" s="5">
        <v>25</v>
      </c>
      <c r="AA175" s="155"/>
      <c r="AB175" s="5">
        <v>8</v>
      </c>
      <c r="AC175" s="5">
        <v>31</v>
      </c>
      <c r="AD175" s="5">
        <v>19</v>
      </c>
      <c r="AE175" s="5">
        <v>29</v>
      </c>
      <c r="AF175" s="5">
        <v>27</v>
      </c>
      <c r="AG175" s="5">
        <v>50</v>
      </c>
      <c r="AH175" s="5"/>
      <c r="AI175" s="5"/>
      <c r="AJ175" s="5">
        <v>6</v>
      </c>
      <c r="AK175" s="5">
        <v>3403</v>
      </c>
      <c r="AL175" s="5">
        <v>83852</v>
      </c>
      <c r="AM175" s="5">
        <v>3468</v>
      </c>
      <c r="AN175" s="5">
        <v>10215</v>
      </c>
      <c r="AO175" s="5">
        <v>30</v>
      </c>
      <c r="AP175" s="5">
        <v>12</v>
      </c>
      <c r="AQ175" s="5">
        <v>628</v>
      </c>
      <c r="AR175" s="5">
        <v>179</v>
      </c>
      <c r="AS175" s="5">
        <v>1342</v>
      </c>
      <c r="AT175" s="5" t="s">
        <v>82</v>
      </c>
      <c r="AU175" s="5">
        <v>2633</v>
      </c>
      <c r="AV175" s="5">
        <v>2003</v>
      </c>
      <c r="AW175" s="5">
        <v>3085</v>
      </c>
      <c r="AX175" s="5">
        <v>8223</v>
      </c>
      <c r="AY175" s="155"/>
      <c r="AZ175" s="155"/>
      <c r="BA175" s="155">
        <v>46</v>
      </c>
      <c r="BB175" s="155"/>
      <c r="BC175" s="5">
        <v>495</v>
      </c>
      <c r="BD175" s="5"/>
      <c r="BE175" s="5">
        <v>702</v>
      </c>
      <c r="BF175" s="5">
        <v>2096</v>
      </c>
      <c r="BG175" s="5">
        <v>491</v>
      </c>
      <c r="BH175" s="5">
        <v>16</v>
      </c>
      <c r="BI175" s="5">
        <v>24</v>
      </c>
      <c r="BJ175" s="5">
        <v>6558</v>
      </c>
      <c r="BK175" s="5">
        <v>35</v>
      </c>
      <c r="BL175" s="5">
        <v>3615</v>
      </c>
      <c r="BM175" s="5"/>
      <c r="BN175" s="5">
        <v>466</v>
      </c>
      <c r="BO175" s="5">
        <v>59</v>
      </c>
      <c r="BP175" s="5">
        <v>0</v>
      </c>
      <c r="BQ175" s="5">
        <v>33358</v>
      </c>
      <c r="BR175" s="5">
        <v>11432</v>
      </c>
      <c r="BS175" s="5">
        <v>63</v>
      </c>
      <c r="BT175" s="5">
        <v>1647</v>
      </c>
      <c r="BU175" s="5">
        <v>347</v>
      </c>
      <c r="BV175" s="5"/>
      <c r="BW175" s="5">
        <v>5</v>
      </c>
      <c r="BX175" s="5">
        <v>126</v>
      </c>
      <c r="BY175" s="5"/>
      <c r="BZ175" s="5">
        <v>82</v>
      </c>
      <c r="CA175" s="5">
        <v>1</v>
      </c>
      <c r="CB175" s="5">
        <v>4513</v>
      </c>
      <c r="CC175" s="5">
        <v>13310</v>
      </c>
      <c r="CD175" s="5">
        <v>78879</v>
      </c>
      <c r="CE175" s="5">
        <v>129389</v>
      </c>
      <c r="CF175" s="5">
        <v>16259</v>
      </c>
      <c r="CG175" s="5">
        <v>0</v>
      </c>
      <c r="CH175" s="5">
        <v>0</v>
      </c>
      <c r="CI175" s="5">
        <v>20</v>
      </c>
      <c r="CJ175" s="5">
        <v>34</v>
      </c>
      <c r="CK175" s="5">
        <v>114</v>
      </c>
      <c r="CL175" s="5"/>
      <c r="CM175" s="5"/>
      <c r="CN175" s="5"/>
      <c r="CO175" s="5"/>
      <c r="CP175" s="5"/>
      <c r="CQ175" s="5"/>
      <c r="CR175" s="5"/>
      <c r="CS175" s="5"/>
      <c r="CT175" s="5" t="s">
        <v>82</v>
      </c>
      <c r="CU175" s="5" t="s">
        <v>82</v>
      </c>
      <c r="CV175" s="5" t="s">
        <v>82</v>
      </c>
      <c r="CW175" s="5">
        <v>0</v>
      </c>
      <c r="CX175" s="5">
        <v>0</v>
      </c>
      <c r="CY175" s="5">
        <v>0</v>
      </c>
      <c r="DA175" s="6"/>
      <c r="DD175" s="6">
        <f t="shared" si="35"/>
        <v>303641</v>
      </c>
      <c r="DE175" s="6">
        <f t="shared" si="36"/>
        <v>190496</v>
      </c>
      <c r="DF175" s="16">
        <f t="shared" si="37"/>
        <v>494137</v>
      </c>
      <c r="DK175" s="6">
        <f t="shared" si="38"/>
        <v>59300</v>
      </c>
      <c r="DL175" s="6">
        <f t="shared" si="39"/>
        <v>101026</v>
      </c>
      <c r="DM175" s="6">
        <f t="shared" si="49"/>
        <v>10909</v>
      </c>
      <c r="DN175" s="6">
        <f t="shared" si="50"/>
        <v>19307</v>
      </c>
      <c r="DO175" s="6">
        <f t="shared" si="40"/>
        <v>243332</v>
      </c>
      <c r="DP175" s="6">
        <f t="shared" si="48"/>
        <v>36189</v>
      </c>
      <c r="DQ175" s="6"/>
      <c r="DR175" s="6">
        <f t="shared" si="41"/>
        <v>13330</v>
      </c>
      <c r="DS175" s="6">
        <f t="shared" si="42"/>
        <v>0</v>
      </c>
      <c r="DT175" s="6">
        <f t="shared" si="43"/>
        <v>10790</v>
      </c>
      <c r="DU175" s="6"/>
      <c r="DV175" s="6"/>
      <c r="DW175" s="6">
        <f t="shared" si="44"/>
        <v>494183</v>
      </c>
      <c r="DY175" s="6">
        <f t="shared" si="45"/>
        <v>292297</v>
      </c>
      <c r="DZ175" s="6">
        <f t="shared" si="46"/>
        <v>38175</v>
      </c>
      <c r="EB175" s="6">
        <f t="shared" si="47"/>
        <v>532312</v>
      </c>
      <c r="EC175" s="6"/>
      <c r="ED175" s="6"/>
      <c r="EF175" s="6"/>
      <c r="EG175" s="6"/>
    </row>
    <row r="176" spans="2:137" ht="14">
      <c r="B176" s="4">
        <v>37316</v>
      </c>
      <c r="C176" s="5">
        <v>0</v>
      </c>
      <c r="D176" s="5">
        <v>0</v>
      </c>
      <c r="E176" s="5">
        <v>0</v>
      </c>
      <c r="F176" s="5" t="s">
        <v>82</v>
      </c>
      <c r="G176" s="5" t="s">
        <v>82</v>
      </c>
      <c r="H176" s="5">
        <v>4940</v>
      </c>
      <c r="I176" s="5">
        <v>10214</v>
      </c>
      <c r="J176" s="5">
        <v>3377</v>
      </c>
      <c r="K176" s="5">
        <v>20673</v>
      </c>
      <c r="L176" s="5"/>
      <c r="M176" s="5">
        <v>31612</v>
      </c>
      <c r="N176" s="5">
        <v>3017</v>
      </c>
      <c r="O176" s="5"/>
      <c r="P176" s="5">
        <v>2185</v>
      </c>
      <c r="Q176" s="5">
        <v>8089</v>
      </c>
      <c r="R176" s="5">
        <v>713</v>
      </c>
      <c r="S176" s="5">
        <v>8691</v>
      </c>
      <c r="T176" s="5">
        <v>10698</v>
      </c>
      <c r="U176" s="5"/>
      <c r="V176" s="5"/>
      <c r="W176" s="5">
        <v>611</v>
      </c>
      <c r="X176" s="5">
        <v>4569</v>
      </c>
      <c r="Y176" s="5">
        <v>519</v>
      </c>
      <c r="Z176" s="5">
        <v>27</v>
      </c>
      <c r="AA176" s="155"/>
      <c r="AB176" s="5">
        <v>8</v>
      </c>
      <c r="AC176" s="5">
        <v>32</v>
      </c>
      <c r="AD176" s="5">
        <v>19</v>
      </c>
      <c r="AE176" s="5">
        <v>31</v>
      </c>
      <c r="AF176" s="5">
        <v>28</v>
      </c>
      <c r="AG176" s="5">
        <v>51</v>
      </c>
      <c r="AH176" s="5"/>
      <c r="AI176" s="5"/>
      <c r="AJ176" s="5">
        <v>4</v>
      </c>
      <c r="AK176" s="5">
        <v>3705</v>
      </c>
      <c r="AL176" s="5">
        <v>83561</v>
      </c>
      <c r="AM176" s="5">
        <v>3448</v>
      </c>
      <c r="AN176" s="5">
        <v>10310</v>
      </c>
      <c r="AO176" s="5">
        <v>32</v>
      </c>
      <c r="AP176" s="5">
        <v>13</v>
      </c>
      <c r="AQ176" s="5">
        <v>1545</v>
      </c>
      <c r="AR176" s="5">
        <v>495</v>
      </c>
      <c r="AS176" s="5">
        <v>1339</v>
      </c>
      <c r="AT176" s="5" t="s">
        <v>82</v>
      </c>
      <c r="AU176" s="5">
        <v>2649</v>
      </c>
      <c r="AV176" s="5">
        <v>2001</v>
      </c>
      <c r="AW176" s="5">
        <v>3066</v>
      </c>
      <c r="AX176" s="5">
        <v>8106</v>
      </c>
      <c r="AY176" s="155"/>
      <c r="AZ176" s="155"/>
      <c r="BA176" s="155">
        <v>51</v>
      </c>
      <c r="BB176" s="155"/>
      <c r="BC176" s="5">
        <v>468</v>
      </c>
      <c r="BD176" s="5"/>
      <c r="BE176" s="5">
        <v>639</v>
      </c>
      <c r="BF176" s="5">
        <v>1917</v>
      </c>
      <c r="BG176" s="5">
        <v>499</v>
      </c>
      <c r="BH176" s="5">
        <v>16</v>
      </c>
      <c r="BI176" s="5">
        <v>19</v>
      </c>
      <c r="BJ176" s="5">
        <v>6672</v>
      </c>
      <c r="BK176" s="5">
        <v>38</v>
      </c>
      <c r="BL176" s="5">
        <v>3603</v>
      </c>
      <c r="BM176" s="5"/>
      <c r="BN176" s="5">
        <v>395</v>
      </c>
      <c r="BO176" s="5">
        <v>61</v>
      </c>
      <c r="BP176" s="5">
        <v>0</v>
      </c>
      <c r="BQ176" s="5">
        <v>33555</v>
      </c>
      <c r="BR176" s="5">
        <v>11047</v>
      </c>
      <c r="BS176" s="5">
        <v>69</v>
      </c>
      <c r="BT176" s="5">
        <v>1624</v>
      </c>
      <c r="BU176" s="5">
        <v>317</v>
      </c>
      <c r="BV176" s="5"/>
      <c r="BW176" s="5">
        <v>4</v>
      </c>
      <c r="BX176" s="5">
        <v>130</v>
      </c>
      <c r="BY176" s="5"/>
      <c r="BZ176" s="5">
        <v>70</v>
      </c>
      <c r="CA176" s="5">
        <v>1</v>
      </c>
      <c r="CB176" s="5">
        <v>4430</v>
      </c>
      <c r="CC176" s="5">
        <v>13332</v>
      </c>
      <c r="CD176" s="5">
        <v>79288</v>
      </c>
      <c r="CE176" s="5">
        <v>129300</v>
      </c>
      <c r="CF176" s="5">
        <v>16311</v>
      </c>
      <c r="CG176" s="5">
        <v>0</v>
      </c>
      <c r="CH176" s="5">
        <v>0</v>
      </c>
      <c r="CI176" s="5">
        <v>19</v>
      </c>
      <c r="CJ176" s="5">
        <v>31</v>
      </c>
      <c r="CK176" s="5">
        <v>112</v>
      </c>
      <c r="CL176" s="5"/>
      <c r="CM176" s="5"/>
      <c r="CN176" s="5"/>
      <c r="CO176" s="5"/>
      <c r="CP176" s="5"/>
      <c r="CQ176" s="5"/>
      <c r="CR176" s="5"/>
      <c r="CS176" s="5"/>
      <c r="CT176" s="5" t="s">
        <v>82</v>
      </c>
      <c r="CU176" s="5" t="s">
        <v>82</v>
      </c>
      <c r="CV176" s="5" t="s">
        <v>82</v>
      </c>
      <c r="CW176" s="5">
        <v>0</v>
      </c>
      <c r="CX176" s="5">
        <v>0</v>
      </c>
      <c r="CY176" s="5">
        <v>0</v>
      </c>
      <c r="DA176" s="6"/>
      <c r="DD176" s="6">
        <f t="shared" si="35"/>
        <v>303499</v>
      </c>
      <c r="DE176" s="6">
        <f t="shared" si="36"/>
        <v>191642</v>
      </c>
      <c r="DF176" s="16">
        <f t="shared" si="37"/>
        <v>495141</v>
      </c>
      <c r="DK176" s="6">
        <f t="shared" si="38"/>
        <v>59487</v>
      </c>
      <c r="DL176" s="6">
        <f t="shared" si="39"/>
        <v>100988</v>
      </c>
      <c r="DM176" s="6">
        <f t="shared" si="49"/>
        <v>10698</v>
      </c>
      <c r="DN176" s="6">
        <f t="shared" si="50"/>
        <v>20520</v>
      </c>
      <c r="DO176" s="6">
        <f t="shared" si="40"/>
        <v>243015</v>
      </c>
      <c r="DP176" s="6">
        <f t="shared" si="48"/>
        <v>36229</v>
      </c>
      <c r="DQ176" s="6"/>
      <c r="DR176" s="6">
        <f t="shared" si="41"/>
        <v>13351</v>
      </c>
      <c r="DS176" s="6">
        <f t="shared" si="42"/>
        <v>0</v>
      </c>
      <c r="DT176" s="6">
        <f t="shared" si="43"/>
        <v>10904</v>
      </c>
      <c r="DU176" s="6"/>
      <c r="DV176" s="6"/>
      <c r="DW176" s="6">
        <f t="shared" si="44"/>
        <v>495192</v>
      </c>
      <c r="DY176" s="6">
        <f t="shared" si="45"/>
        <v>293123</v>
      </c>
      <c r="DZ176" s="6">
        <f t="shared" si="46"/>
        <v>39204</v>
      </c>
      <c r="EB176" s="6">
        <f t="shared" si="47"/>
        <v>534345</v>
      </c>
      <c r="EC176" s="6"/>
      <c r="ED176" s="6"/>
      <c r="EF176" s="6"/>
      <c r="EG176" s="6"/>
    </row>
    <row r="177" spans="2:138" ht="14">
      <c r="B177" s="4">
        <v>37347</v>
      </c>
      <c r="C177" s="5">
        <v>0</v>
      </c>
      <c r="D177" s="5">
        <v>0</v>
      </c>
      <c r="E177" s="5">
        <v>0</v>
      </c>
      <c r="F177" s="5" t="s">
        <v>82</v>
      </c>
      <c r="G177" s="5" t="s">
        <v>82</v>
      </c>
      <c r="H177" s="5">
        <v>5066</v>
      </c>
      <c r="I177" s="5">
        <v>10747</v>
      </c>
      <c r="J177" s="5">
        <v>3410</v>
      </c>
      <c r="K177" s="5">
        <v>21412</v>
      </c>
      <c r="L177" s="5"/>
      <c r="M177" s="5">
        <v>31582</v>
      </c>
      <c r="N177" s="5">
        <v>2993</v>
      </c>
      <c r="O177" s="5"/>
      <c r="P177" s="5">
        <v>2152</v>
      </c>
      <c r="Q177" s="5">
        <v>8121</v>
      </c>
      <c r="R177" s="5">
        <v>694</v>
      </c>
      <c r="S177" s="5">
        <v>8540</v>
      </c>
      <c r="T177" s="5">
        <v>10398</v>
      </c>
      <c r="U177" s="5"/>
      <c r="V177" s="5"/>
      <c r="W177" s="5">
        <v>571</v>
      </c>
      <c r="X177" s="5">
        <v>5018</v>
      </c>
      <c r="Y177" s="5">
        <v>515</v>
      </c>
      <c r="Z177" s="5">
        <v>26</v>
      </c>
      <c r="AA177" s="155"/>
      <c r="AB177" s="5">
        <v>8</v>
      </c>
      <c r="AC177" s="5">
        <v>38</v>
      </c>
      <c r="AD177" s="5">
        <v>19</v>
      </c>
      <c r="AE177" s="5">
        <v>27</v>
      </c>
      <c r="AF177" s="5">
        <v>28</v>
      </c>
      <c r="AG177" s="5">
        <v>49</v>
      </c>
      <c r="AH177" s="5"/>
      <c r="AI177" s="5"/>
      <c r="AJ177" s="5">
        <v>4</v>
      </c>
      <c r="AK177" s="5">
        <v>4094</v>
      </c>
      <c r="AL177" s="5">
        <v>83472</v>
      </c>
      <c r="AM177" s="5">
        <v>3406</v>
      </c>
      <c r="AN177" s="5">
        <v>10308</v>
      </c>
      <c r="AO177" s="5">
        <v>28</v>
      </c>
      <c r="AP177" s="5">
        <v>12</v>
      </c>
      <c r="AQ177" s="5">
        <v>2040</v>
      </c>
      <c r="AR177" s="5">
        <v>749</v>
      </c>
      <c r="AS177" s="5">
        <v>1313</v>
      </c>
      <c r="AT177" s="5" t="s">
        <v>82</v>
      </c>
      <c r="AU177" s="5">
        <v>2655</v>
      </c>
      <c r="AV177" s="5">
        <v>2022</v>
      </c>
      <c r="AW177" s="5">
        <v>3054</v>
      </c>
      <c r="AX177" s="5">
        <v>7953</v>
      </c>
      <c r="AY177" s="155"/>
      <c r="AZ177" s="155"/>
      <c r="BA177" s="155">
        <v>58</v>
      </c>
      <c r="BB177" s="155"/>
      <c r="BC177" s="5">
        <v>457</v>
      </c>
      <c r="BD177" s="5"/>
      <c r="BE177" s="5">
        <v>589</v>
      </c>
      <c r="BF177" s="5">
        <v>1739</v>
      </c>
      <c r="BG177" s="5">
        <v>496</v>
      </c>
      <c r="BH177" s="5">
        <v>12</v>
      </c>
      <c r="BI177" s="5">
        <v>14</v>
      </c>
      <c r="BJ177" s="5">
        <v>6772</v>
      </c>
      <c r="BK177" s="5">
        <v>37</v>
      </c>
      <c r="BL177" s="5">
        <v>3545</v>
      </c>
      <c r="BM177" s="5"/>
      <c r="BN177" s="5">
        <v>336</v>
      </c>
      <c r="BO177" s="5">
        <v>59</v>
      </c>
      <c r="BP177" s="5">
        <v>0</v>
      </c>
      <c r="BQ177" s="5">
        <v>33531</v>
      </c>
      <c r="BR177" s="5">
        <v>10601</v>
      </c>
      <c r="BS177" s="5">
        <v>70</v>
      </c>
      <c r="BT177" s="5">
        <v>1711</v>
      </c>
      <c r="BU177" s="5">
        <v>291</v>
      </c>
      <c r="BV177" s="5"/>
      <c r="BW177" s="5">
        <v>4</v>
      </c>
      <c r="BX177" s="5">
        <v>133</v>
      </c>
      <c r="BY177" s="5"/>
      <c r="BZ177" s="5">
        <v>62</v>
      </c>
      <c r="CA177" s="5">
        <v>1</v>
      </c>
      <c r="CB177" s="5">
        <v>4384</v>
      </c>
      <c r="CC177" s="5">
        <v>13459</v>
      </c>
      <c r="CD177" s="5">
        <v>79665</v>
      </c>
      <c r="CE177" s="5">
        <v>129367</v>
      </c>
      <c r="CF177" s="5">
        <v>16337</v>
      </c>
      <c r="CG177" s="5">
        <v>0</v>
      </c>
      <c r="CH177" s="5">
        <v>0</v>
      </c>
      <c r="CI177" s="5">
        <v>17</v>
      </c>
      <c r="CJ177" s="5">
        <v>34</v>
      </c>
      <c r="CK177" s="5">
        <v>104</v>
      </c>
      <c r="CL177" s="5"/>
      <c r="CM177" s="5"/>
      <c r="CN177" s="5"/>
      <c r="CO177" s="5"/>
      <c r="CP177" s="5"/>
      <c r="CQ177" s="5"/>
      <c r="CR177" s="5"/>
      <c r="CS177" s="5"/>
      <c r="CT177" s="5" t="s">
        <v>82</v>
      </c>
      <c r="CU177" s="5" t="s">
        <v>82</v>
      </c>
      <c r="CV177" s="5" t="s">
        <v>82</v>
      </c>
      <c r="CW177" s="5">
        <v>0</v>
      </c>
      <c r="CX177" s="5">
        <v>0</v>
      </c>
      <c r="CY177" s="5">
        <v>0</v>
      </c>
      <c r="DA177" s="6"/>
      <c r="DD177" s="6">
        <f t="shared" si="35"/>
        <v>303370</v>
      </c>
      <c r="DE177" s="6">
        <f t="shared" si="36"/>
        <v>192346</v>
      </c>
      <c r="DF177" s="16">
        <f t="shared" si="37"/>
        <v>495716</v>
      </c>
      <c r="DK177" s="6">
        <f t="shared" si="38"/>
        <v>59671</v>
      </c>
      <c r="DL177" s="6">
        <f t="shared" si="39"/>
        <v>101224</v>
      </c>
      <c r="DM177" s="6">
        <f t="shared" si="49"/>
        <v>10398</v>
      </c>
      <c r="DN177" s="6">
        <f t="shared" si="50"/>
        <v>21111</v>
      </c>
      <c r="DO177" s="6">
        <f t="shared" si="40"/>
        <v>242769</v>
      </c>
      <c r="DP177" s="6">
        <f t="shared" si="48"/>
        <v>36179</v>
      </c>
      <c r="DQ177" s="6"/>
      <c r="DR177" s="6">
        <f t="shared" si="41"/>
        <v>13476</v>
      </c>
      <c r="DS177" s="6">
        <f t="shared" si="42"/>
        <v>0</v>
      </c>
      <c r="DT177" s="6">
        <f t="shared" si="43"/>
        <v>10946</v>
      </c>
      <c r="DU177" s="6"/>
      <c r="DV177" s="6"/>
      <c r="DW177" s="6">
        <f t="shared" si="44"/>
        <v>495774</v>
      </c>
      <c r="DY177" s="6">
        <f t="shared" si="45"/>
        <v>294350</v>
      </c>
      <c r="DZ177" s="6">
        <f t="shared" si="46"/>
        <v>40635</v>
      </c>
      <c r="EB177" s="6">
        <f t="shared" si="47"/>
        <v>536351</v>
      </c>
      <c r="EC177" s="6"/>
      <c r="ED177" s="6"/>
      <c r="EF177" s="6"/>
      <c r="EG177" s="6"/>
    </row>
    <row r="178" spans="2:138" ht="14">
      <c r="B178" s="4">
        <v>37377</v>
      </c>
      <c r="C178" s="5">
        <v>0</v>
      </c>
      <c r="D178" s="5">
        <v>0</v>
      </c>
      <c r="E178" s="5">
        <v>0</v>
      </c>
      <c r="F178" s="5" t="s">
        <v>82</v>
      </c>
      <c r="G178" s="5" t="s">
        <v>82</v>
      </c>
      <c r="H178" s="5">
        <v>5269</v>
      </c>
      <c r="I178" s="5">
        <v>11249</v>
      </c>
      <c r="J178" s="5">
        <v>3481</v>
      </c>
      <c r="K178" s="5">
        <v>22233</v>
      </c>
      <c r="L178" s="5"/>
      <c r="M178" s="5">
        <v>31574</v>
      </c>
      <c r="N178" s="5">
        <v>2976</v>
      </c>
      <c r="O178" s="5"/>
      <c r="P178" s="5">
        <v>2153</v>
      </c>
      <c r="Q178" s="5">
        <v>8197</v>
      </c>
      <c r="R178" s="5">
        <v>680</v>
      </c>
      <c r="S178" s="5">
        <v>8406</v>
      </c>
      <c r="T178" s="5">
        <v>10160</v>
      </c>
      <c r="U178" s="5"/>
      <c r="V178" s="5"/>
      <c r="W178" s="5">
        <v>557</v>
      </c>
      <c r="X178" s="5">
        <v>5545</v>
      </c>
      <c r="Y178" s="5">
        <v>517</v>
      </c>
      <c r="Z178" s="5">
        <v>27</v>
      </c>
      <c r="AA178" s="155"/>
      <c r="AB178" s="5">
        <v>8</v>
      </c>
      <c r="AC178" s="5">
        <v>44</v>
      </c>
      <c r="AD178" s="5">
        <v>19</v>
      </c>
      <c r="AE178" s="5">
        <v>28</v>
      </c>
      <c r="AF178" s="5">
        <v>29</v>
      </c>
      <c r="AG178" s="5">
        <v>47</v>
      </c>
      <c r="AH178" s="5"/>
      <c r="AI178" s="5"/>
      <c r="AJ178" s="5">
        <v>6</v>
      </c>
      <c r="AK178" s="5">
        <v>4421</v>
      </c>
      <c r="AL178" s="5">
        <v>83493</v>
      </c>
      <c r="AM178" s="5">
        <v>3408</v>
      </c>
      <c r="AN178" s="5">
        <v>10290</v>
      </c>
      <c r="AO178" s="5">
        <v>27</v>
      </c>
      <c r="AP178" s="5">
        <v>10</v>
      </c>
      <c r="AQ178" s="5">
        <v>2337</v>
      </c>
      <c r="AR178" s="5">
        <v>938</v>
      </c>
      <c r="AS178" s="5">
        <v>1325</v>
      </c>
      <c r="AT178" s="5" t="s">
        <v>82</v>
      </c>
      <c r="AU178" s="5">
        <v>2685</v>
      </c>
      <c r="AV178" s="5">
        <v>2031</v>
      </c>
      <c r="AW178" s="5">
        <v>3049</v>
      </c>
      <c r="AX178" s="5">
        <v>7828</v>
      </c>
      <c r="AY178" s="155"/>
      <c r="AZ178" s="155"/>
      <c r="BA178" s="155">
        <v>68</v>
      </c>
      <c r="BB178" s="155"/>
      <c r="BC178" s="5">
        <v>450</v>
      </c>
      <c r="BD178" s="5"/>
      <c r="BE178" s="5">
        <v>554</v>
      </c>
      <c r="BF178" s="5">
        <v>1645</v>
      </c>
      <c r="BG178" s="5">
        <v>492</v>
      </c>
      <c r="BH178" s="5">
        <v>11</v>
      </c>
      <c r="BI178" s="5">
        <v>13</v>
      </c>
      <c r="BJ178" s="5">
        <v>6895</v>
      </c>
      <c r="BK178" s="5">
        <v>43</v>
      </c>
      <c r="BL178" s="5">
        <v>3538</v>
      </c>
      <c r="BM178" s="5"/>
      <c r="BN178" s="5">
        <v>231</v>
      </c>
      <c r="BO178" s="5">
        <v>59</v>
      </c>
      <c r="BP178" s="5">
        <v>0</v>
      </c>
      <c r="BQ178" s="5">
        <v>33805</v>
      </c>
      <c r="BR178" s="5">
        <v>10511</v>
      </c>
      <c r="BS178" s="5">
        <v>77</v>
      </c>
      <c r="BT178" s="5">
        <v>1751</v>
      </c>
      <c r="BU178" s="5">
        <v>264</v>
      </c>
      <c r="BV178" s="5"/>
      <c r="BW178" s="5">
        <v>8</v>
      </c>
      <c r="BX178" s="5">
        <v>132</v>
      </c>
      <c r="BY178" s="5"/>
      <c r="BZ178" s="5">
        <v>57</v>
      </c>
      <c r="CA178" s="5">
        <v>1</v>
      </c>
      <c r="CB178" s="5">
        <v>4421</v>
      </c>
      <c r="CC178" s="5">
        <v>13662</v>
      </c>
      <c r="CD178" s="5">
        <v>80794</v>
      </c>
      <c r="CE178" s="5">
        <v>130491</v>
      </c>
      <c r="CF178" s="5">
        <v>16341</v>
      </c>
      <c r="CG178" s="5">
        <v>0</v>
      </c>
      <c r="CH178" s="5">
        <v>0</v>
      </c>
      <c r="CI178" s="5">
        <v>16</v>
      </c>
      <c r="CJ178" s="5">
        <v>34</v>
      </c>
      <c r="CK178" s="5">
        <v>110</v>
      </c>
      <c r="CL178" s="5"/>
      <c r="CM178" s="5"/>
      <c r="CN178" s="5"/>
      <c r="CO178" s="5"/>
      <c r="CP178" s="5"/>
      <c r="CQ178" s="5"/>
      <c r="CR178" s="5"/>
      <c r="CS178" s="5"/>
      <c r="CT178" s="5" t="s">
        <v>82</v>
      </c>
      <c r="CU178" s="5" t="s">
        <v>82</v>
      </c>
      <c r="CV178" s="5" t="s">
        <v>82</v>
      </c>
      <c r="CW178" s="5">
        <v>0</v>
      </c>
      <c r="CX178" s="5">
        <v>0</v>
      </c>
      <c r="CY178" s="5">
        <v>0</v>
      </c>
      <c r="DA178" s="6"/>
      <c r="DD178" s="6">
        <f t="shared" si="35"/>
        <v>305956</v>
      </c>
      <c r="DE178" s="6">
        <f t="shared" si="36"/>
        <v>193265</v>
      </c>
      <c r="DF178" s="16">
        <f t="shared" si="37"/>
        <v>499221</v>
      </c>
      <c r="DK178" s="6">
        <f t="shared" si="38"/>
        <v>60088</v>
      </c>
      <c r="DL178" s="6">
        <f t="shared" si="39"/>
        <v>101635</v>
      </c>
      <c r="DM178" s="6">
        <f t="shared" si="49"/>
        <v>10160</v>
      </c>
      <c r="DN178" s="6">
        <f t="shared" si="50"/>
        <v>21450</v>
      </c>
      <c r="DO178" s="6">
        <f t="shared" si="40"/>
        <v>244869</v>
      </c>
      <c r="DP178" s="6">
        <f t="shared" si="48"/>
        <v>36352</v>
      </c>
      <c r="DQ178" s="6"/>
      <c r="DR178" s="6">
        <f t="shared" si="41"/>
        <v>13678</v>
      </c>
      <c r="DS178" s="6">
        <f t="shared" si="42"/>
        <v>0</v>
      </c>
      <c r="DT178" s="6">
        <f t="shared" si="43"/>
        <v>11057</v>
      </c>
      <c r="DU178" s="6"/>
      <c r="DV178" s="6"/>
      <c r="DW178" s="6">
        <f t="shared" si="44"/>
        <v>499289</v>
      </c>
      <c r="DY178" s="6">
        <f t="shared" si="45"/>
        <v>298158</v>
      </c>
      <c r="DZ178" s="6">
        <f t="shared" si="46"/>
        <v>42232</v>
      </c>
      <c r="EB178" s="6">
        <f t="shared" si="47"/>
        <v>541453</v>
      </c>
      <c r="EC178" s="6"/>
      <c r="ED178" s="6"/>
      <c r="EF178" s="6"/>
      <c r="EG178" s="6"/>
    </row>
    <row r="179" spans="2:138" ht="14">
      <c r="B179" s="4">
        <v>37408</v>
      </c>
      <c r="C179" s="5">
        <v>0</v>
      </c>
      <c r="D179" s="5">
        <v>0</v>
      </c>
      <c r="E179" s="5">
        <v>0</v>
      </c>
      <c r="F179" s="5" t="s">
        <v>82</v>
      </c>
      <c r="G179" s="5" t="s">
        <v>82</v>
      </c>
      <c r="H179" s="5">
        <v>5500</v>
      </c>
      <c r="I179" s="5">
        <v>11768</v>
      </c>
      <c r="J179" s="5">
        <v>3528</v>
      </c>
      <c r="K179" s="5">
        <v>22885</v>
      </c>
      <c r="L179" s="5"/>
      <c r="M179" s="5">
        <v>31595</v>
      </c>
      <c r="N179" s="5">
        <v>2979</v>
      </c>
      <c r="O179" s="5"/>
      <c r="P179" s="5">
        <v>2100</v>
      </c>
      <c r="Q179" s="5">
        <v>8210</v>
      </c>
      <c r="R179" s="5">
        <v>665</v>
      </c>
      <c r="S179" s="5">
        <v>8285</v>
      </c>
      <c r="T179" s="5">
        <v>9969</v>
      </c>
      <c r="U179" s="5"/>
      <c r="V179" s="5"/>
      <c r="W179" s="5">
        <v>529</v>
      </c>
      <c r="X179" s="5">
        <v>5966</v>
      </c>
      <c r="Y179" s="5">
        <v>515</v>
      </c>
      <c r="Z179" s="5">
        <v>27</v>
      </c>
      <c r="AA179" s="155"/>
      <c r="AB179" s="5">
        <v>7</v>
      </c>
      <c r="AC179" s="5">
        <v>44</v>
      </c>
      <c r="AD179" s="5">
        <v>19</v>
      </c>
      <c r="AE179" s="5">
        <v>28</v>
      </c>
      <c r="AF179" s="5">
        <v>28</v>
      </c>
      <c r="AG179" s="5">
        <v>46</v>
      </c>
      <c r="AH179" s="5"/>
      <c r="AI179" s="5"/>
      <c r="AJ179" s="5">
        <v>4</v>
      </c>
      <c r="AK179" s="5">
        <v>4703</v>
      </c>
      <c r="AL179" s="5">
        <v>83596</v>
      </c>
      <c r="AM179" s="5">
        <v>3411</v>
      </c>
      <c r="AN179" s="5">
        <v>10391</v>
      </c>
      <c r="AO179" s="5">
        <v>32</v>
      </c>
      <c r="AP179" s="5">
        <v>11</v>
      </c>
      <c r="AQ179" s="5">
        <v>2540</v>
      </c>
      <c r="AR179" s="5">
        <v>1098</v>
      </c>
      <c r="AS179" s="5">
        <v>1335</v>
      </c>
      <c r="AT179" s="5" t="s">
        <v>82</v>
      </c>
      <c r="AU179" s="5">
        <v>2701</v>
      </c>
      <c r="AV179" s="5">
        <v>2034</v>
      </c>
      <c r="AW179" s="5">
        <v>3045</v>
      </c>
      <c r="AX179" s="5">
        <v>7736</v>
      </c>
      <c r="AY179" s="155"/>
      <c r="AZ179" s="155"/>
      <c r="BA179" s="155">
        <v>82</v>
      </c>
      <c r="BB179" s="155"/>
      <c r="BC179" s="5">
        <v>444</v>
      </c>
      <c r="BD179" s="5"/>
      <c r="BE179" s="5">
        <v>516</v>
      </c>
      <c r="BF179" s="5">
        <v>1553</v>
      </c>
      <c r="BG179" s="5">
        <v>495</v>
      </c>
      <c r="BH179" s="5">
        <v>6</v>
      </c>
      <c r="BI179" s="5">
        <v>8</v>
      </c>
      <c r="BJ179" s="5">
        <v>6989</v>
      </c>
      <c r="BK179" s="5">
        <v>47</v>
      </c>
      <c r="BL179" s="5">
        <v>3515</v>
      </c>
      <c r="BM179" s="5"/>
      <c r="BN179" s="5">
        <v>262</v>
      </c>
      <c r="BO179" s="5">
        <v>63</v>
      </c>
      <c r="BP179" s="5">
        <v>0</v>
      </c>
      <c r="BQ179" s="5">
        <v>34138</v>
      </c>
      <c r="BR179" s="5">
        <v>10480</v>
      </c>
      <c r="BS179" s="5">
        <v>77</v>
      </c>
      <c r="BT179" s="5">
        <v>1778</v>
      </c>
      <c r="BU179" s="5">
        <v>245</v>
      </c>
      <c r="BV179" s="5"/>
      <c r="BW179" s="5">
        <v>8</v>
      </c>
      <c r="BX179" s="5">
        <v>136</v>
      </c>
      <c r="BY179" s="5"/>
      <c r="BZ179" s="5">
        <v>55</v>
      </c>
      <c r="CA179" s="5">
        <v>1</v>
      </c>
      <c r="CB179" s="5">
        <v>4420</v>
      </c>
      <c r="CC179" s="5">
        <v>13815</v>
      </c>
      <c r="CD179" s="5">
        <v>81626</v>
      </c>
      <c r="CE179" s="5">
        <v>131224</v>
      </c>
      <c r="CF179" s="5">
        <v>16381</v>
      </c>
      <c r="CG179" s="5">
        <v>0</v>
      </c>
      <c r="CH179" s="5">
        <v>0</v>
      </c>
      <c r="CI179" s="5">
        <v>12</v>
      </c>
      <c r="CJ179" s="5">
        <v>32</v>
      </c>
      <c r="CK179" s="5">
        <v>101</v>
      </c>
      <c r="CL179" s="5"/>
      <c r="CM179" s="5"/>
      <c r="CN179" s="5"/>
      <c r="CO179" s="5"/>
      <c r="CP179" s="5"/>
      <c r="CQ179" s="5"/>
      <c r="CR179" s="5"/>
      <c r="CS179" s="5"/>
      <c r="CT179" s="5" t="s">
        <v>82</v>
      </c>
      <c r="CU179" s="5" t="s">
        <v>82</v>
      </c>
      <c r="CV179" s="5" t="s">
        <v>82</v>
      </c>
      <c r="CW179" s="5">
        <v>0</v>
      </c>
      <c r="CX179" s="5">
        <v>0</v>
      </c>
      <c r="CY179" s="5">
        <v>0</v>
      </c>
      <c r="DA179" s="6"/>
      <c r="DD179" s="6">
        <f t="shared" si="35"/>
        <v>307983</v>
      </c>
      <c r="DE179" s="6">
        <f t="shared" si="36"/>
        <v>194093</v>
      </c>
      <c r="DF179" s="16">
        <f t="shared" si="37"/>
        <v>502076</v>
      </c>
      <c r="DK179" s="6">
        <f t="shared" si="38"/>
        <v>60329</v>
      </c>
      <c r="DL179" s="6">
        <f t="shared" si="39"/>
        <v>102055</v>
      </c>
      <c r="DM179" s="6">
        <f t="shared" si="49"/>
        <v>9969</v>
      </c>
      <c r="DN179" s="6">
        <f t="shared" si="50"/>
        <v>21822</v>
      </c>
      <c r="DO179" s="6">
        <f t="shared" si="40"/>
        <v>246321</v>
      </c>
      <c r="DP179" s="6">
        <f t="shared" si="48"/>
        <v>36700</v>
      </c>
      <c r="DQ179" s="6"/>
      <c r="DR179" s="6">
        <f t="shared" si="41"/>
        <v>13827</v>
      </c>
      <c r="DS179" s="6">
        <f t="shared" si="42"/>
        <v>0</v>
      </c>
      <c r="DT179" s="6">
        <f t="shared" si="43"/>
        <v>11135</v>
      </c>
      <c r="DU179" s="6"/>
      <c r="DV179" s="6"/>
      <c r="DW179" s="6">
        <f t="shared" si="44"/>
        <v>502158</v>
      </c>
      <c r="DY179" s="6">
        <f t="shared" si="45"/>
        <v>301137</v>
      </c>
      <c r="DZ179" s="6">
        <f t="shared" si="46"/>
        <v>43681</v>
      </c>
      <c r="EB179" s="6">
        <f t="shared" si="47"/>
        <v>545757</v>
      </c>
      <c r="EC179" s="6"/>
      <c r="ED179" s="6"/>
      <c r="EF179" s="6"/>
      <c r="EG179" s="6"/>
    </row>
    <row r="180" spans="2:138" ht="14">
      <c r="B180" s="4">
        <v>37438</v>
      </c>
      <c r="C180" s="5">
        <v>0</v>
      </c>
      <c r="D180" s="5">
        <v>0</v>
      </c>
      <c r="E180" s="5">
        <v>0</v>
      </c>
      <c r="F180" s="5" t="s">
        <v>82</v>
      </c>
      <c r="G180" s="5" t="s">
        <v>82</v>
      </c>
      <c r="H180" s="5">
        <v>5364</v>
      </c>
      <c r="I180" s="5">
        <v>11616</v>
      </c>
      <c r="J180" s="5">
        <v>3337</v>
      </c>
      <c r="K180" s="5">
        <v>22132</v>
      </c>
      <c r="L180" s="5"/>
      <c r="M180" s="5">
        <v>31610</v>
      </c>
      <c r="N180" s="5">
        <v>2977</v>
      </c>
      <c r="O180" s="5"/>
      <c r="P180" s="5">
        <v>2060</v>
      </c>
      <c r="Q180" s="5">
        <v>8268</v>
      </c>
      <c r="R180" s="5">
        <v>651</v>
      </c>
      <c r="S180" s="5">
        <v>8271</v>
      </c>
      <c r="T180" s="5">
        <v>9825</v>
      </c>
      <c r="U180" s="5"/>
      <c r="V180" s="5"/>
      <c r="W180" s="5">
        <v>519</v>
      </c>
      <c r="X180" s="5">
        <v>6210</v>
      </c>
      <c r="Y180" s="5">
        <v>510</v>
      </c>
      <c r="Z180" s="5">
        <v>27</v>
      </c>
      <c r="AA180" s="155"/>
      <c r="AB180" s="5">
        <v>7</v>
      </c>
      <c r="AC180" s="5">
        <v>48</v>
      </c>
      <c r="AD180" s="5">
        <v>19</v>
      </c>
      <c r="AE180" s="5">
        <v>27</v>
      </c>
      <c r="AF180" s="5">
        <v>30</v>
      </c>
      <c r="AG180" s="5">
        <v>44</v>
      </c>
      <c r="AH180" s="5"/>
      <c r="AI180" s="5"/>
      <c r="AJ180" s="5">
        <v>3</v>
      </c>
      <c r="AK180" s="5">
        <v>4918</v>
      </c>
      <c r="AL180" s="5">
        <v>83252</v>
      </c>
      <c r="AM180" s="5">
        <v>3400</v>
      </c>
      <c r="AN180" s="5">
        <v>10431</v>
      </c>
      <c r="AO180" s="5">
        <v>33</v>
      </c>
      <c r="AP180" s="5">
        <v>11</v>
      </c>
      <c r="AQ180" s="5">
        <v>2680</v>
      </c>
      <c r="AR180" s="5">
        <v>1233</v>
      </c>
      <c r="AS180" s="5">
        <v>1291</v>
      </c>
      <c r="AT180" s="5" t="s">
        <v>82</v>
      </c>
      <c r="AU180" s="5">
        <v>2717</v>
      </c>
      <c r="AV180" s="5">
        <v>2043</v>
      </c>
      <c r="AW180" s="5">
        <v>3040</v>
      </c>
      <c r="AX180" s="5">
        <v>7664</v>
      </c>
      <c r="AY180" s="155"/>
      <c r="AZ180" s="155"/>
      <c r="BA180" s="155">
        <v>88</v>
      </c>
      <c r="BB180" s="155"/>
      <c r="BC180" s="5">
        <v>435</v>
      </c>
      <c r="BD180" s="5"/>
      <c r="BE180" s="5">
        <v>409</v>
      </c>
      <c r="BF180" s="5">
        <v>1201</v>
      </c>
      <c r="BG180" s="5">
        <v>493</v>
      </c>
      <c r="BH180" s="5">
        <v>3</v>
      </c>
      <c r="BI180" s="5">
        <v>7</v>
      </c>
      <c r="BJ180" s="5">
        <v>6977</v>
      </c>
      <c r="BK180" s="5">
        <v>42</v>
      </c>
      <c r="BL180" s="5">
        <v>3480</v>
      </c>
      <c r="BM180" s="5"/>
      <c r="BN180" s="5">
        <v>311</v>
      </c>
      <c r="BO180" s="5">
        <v>67</v>
      </c>
      <c r="BP180" s="5">
        <v>0</v>
      </c>
      <c r="BQ180" s="5">
        <v>34063</v>
      </c>
      <c r="BR180" s="5">
        <v>10411</v>
      </c>
      <c r="BS180" s="5">
        <v>73</v>
      </c>
      <c r="BT180" s="5">
        <v>1736</v>
      </c>
      <c r="BU180" s="5">
        <v>240</v>
      </c>
      <c r="BV180" s="5"/>
      <c r="BW180" s="5">
        <v>9</v>
      </c>
      <c r="BX180" s="5">
        <v>137</v>
      </c>
      <c r="BY180" s="5"/>
      <c r="BZ180" s="5">
        <v>58</v>
      </c>
      <c r="CA180" s="5">
        <v>0</v>
      </c>
      <c r="CB180" s="5">
        <v>4342</v>
      </c>
      <c r="CC180" s="5">
        <v>13619</v>
      </c>
      <c r="CD180" s="5">
        <v>81537</v>
      </c>
      <c r="CE180" s="5">
        <v>130529</v>
      </c>
      <c r="CF180" s="5">
        <v>16236</v>
      </c>
      <c r="CG180" s="5">
        <v>0</v>
      </c>
      <c r="CH180" s="5">
        <v>0</v>
      </c>
      <c r="CI180" s="5">
        <v>12</v>
      </c>
      <c r="CJ180" s="5">
        <v>31</v>
      </c>
      <c r="CK180" s="5">
        <v>105</v>
      </c>
      <c r="CL180" s="5"/>
      <c r="CM180" s="5"/>
      <c r="CN180" s="5"/>
      <c r="CO180" s="5"/>
      <c r="CP180" s="5"/>
      <c r="CQ180" s="5"/>
      <c r="CR180" s="5"/>
      <c r="CS180" s="5"/>
      <c r="CT180" s="5" t="s">
        <v>82</v>
      </c>
      <c r="CU180" s="5" t="s">
        <v>82</v>
      </c>
      <c r="CV180" s="5" t="s">
        <v>82</v>
      </c>
      <c r="CW180" s="5">
        <v>0</v>
      </c>
      <c r="CX180" s="5">
        <v>0</v>
      </c>
      <c r="CY180" s="5">
        <v>0</v>
      </c>
      <c r="DA180" s="6"/>
      <c r="DC180" s="6"/>
      <c r="DD180" s="6">
        <f t="shared" si="35"/>
        <v>306128</v>
      </c>
      <c r="DE180" s="6">
        <f t="shared" si="36"/>
        <v>194254</v>
      </c>
      <c r="DF180" s="16">
        <f t="shared" si="37"/>
        <v>500382</v>
      </c>
      <c r="DK180" s="6">
        <f t="shared" si="38"/>
        <v>60566</v>
      </c>
      <c r="DL180" s="6">
        <f t="shared" si="39"/>
        <v>101888</v>
      </c>
      <c r="DM180" s="6">
        <f t="shared" si="49"/>
        <v>9825</v>
      </c>
      <c r="DN180" s="6">
        <f t="shared" si="50"/>
        <v>22063</v>
      </c>
      <c r="DO180" s="6">
        <f t="shared" si="40"/>
        <v>244888</v>
      </c>
      <c r="DP180" s="6">
        <f t="shared" si="48"/>
        <v>36522</v>
      </c>
      <c r="DQ180" s="6"/>
      <c r="DR180" s="6">
        <f t="shared" si="41"/>
        <v>13631</v>
      </c>
      <c r="DS180" s="6">
        <f t="shared" si="42"/>
        <v>0</v>
      </c>
      <c r="DT180" s="6">
        <f t="shared" si="43"/>
        <v>11087</v>
      </c>
      <c r="DU180" s="6"/>
      <c r="DV180" s="6"/>
      <c r="DW180" s="6">
        <f t="shared" si="44"/>
        <v>500470</v>
      </c>
      <c r="DY180" s="6">
        <f t="shared" si="45"/>
        <v>298424</v>
      </c>
      <c r="DZ180" s="6">
        <f t="shared" si="46"/>
        <v>42449</v>
      </c>
      <c r="EB180" s="6">
        <f t="shared" si="47"/>
        <v>542831</v>
      </c>
      <c r="EC180" s="6"/>
      <c r="ED180" s="6"/>
      <c r="EF180" s="6"/>
      <c r="EG180" s="6"/>
    </row>
    <row r="181" spans="2:138" ht="14">
      <c r="B181" s="4">
        <v>37469</v>
      </c>
      <c r="C181" s="5">
        <v>0</v>
      </c>
      <c r="D181" s="5">
        <v>0</v>
      </c>
      <c r="E181" s="5">
        <v>0</v>
      </c>
      <c r="F181" s="5" t="s">
        <v>82</v>
      </c>
      <c r="G181" s="5" t="s">
        <v>82</v>
      </c>
      <c r="H181" s="5">
        <v>5594</v>
      </c>
      <c r="I181" s="5">
        <v>12053</v>
      </c>
      <c r="J181" s="5">
        <v>3354</v>
      </c>
      <c r="K181" s="5">
        <v>22431</v>
      </c>
      <c r="L181" s="5"/>
      <c r="M181" s="5">
        <v>31580</v>
      </c>
      <c r="N181" s="5">
        <v>2978</v>
      </c>
      <c r="O181" s="5"/>
      <c r="P181" s="5">
        <v>2021</v>
      </c>
      <c r="Q181" s="5">
        <v>8318</v>
      </c>
      <c r="R181" s="5">
        <v>631</v>
      </c>
      <c r="S181" s="5">
        <v>8222</v>
      </c>
      <c r="T181" s="5">
        <v>9776</v>
      </c>
      <c r="U181" s="5"/>
      <c r="V181" s="5"/>
      <c r="W181" s="5">
        <v>498</v>
      </c>
      <c r="X181" s="5">
        <v>6471</v>
      </c>
      <c r="Y181" s="5">
        <v>504</v>
      </c>
      <c r="Z181" s="5">
        <v>24</v>
      </c>
      <c r="AA181" s="155"/>
      <c r="AB181" s="5">
        <v>7</v>
      </c>
      <c r="AC181" s="5">
        <v>51</v>
      </c>
      <c r="AD181" s="5">
        <v>20</v>
      </c>
      <c r="AE181" s="5">
        <v>25</v>
      </c>
      <c r="AF181" s="5">
        <v>29</v>
      </c>
      <c r="AG181" s="5">
        <v>44</v>
      </c>
      <c r="AH181" s="5"/>
      <c r="AI181" s="5"/>
      <c r="AJ181" s="5">
        <v>5</v>
      </c>
      <c r="AK181" s="5">
        <v>5133</v>
      </c>
      <c r="AL181" s="5">
        <v>83384</v>
      </c>
      <c r="AM181" s="5">
        <v>3377</v>
      </c>
      <c r="AN181" s="5">
        <v>10566</v>
      </c>
      <c r="AO181" s="5">
        <v>35</v>
      </c>
      <c r="AP181" s="5">
        <v>9</v>
      </c>
      <c r="AQ181" s="5">
        <v>2866</v>
      </c>
      <c r="AR181" s="5">
        <v>1386</v>
      </c>
      <c r="AS181" s="5">
        <v>1316</v>
      </c>
      <c r="AT181" s="5" t="s">
        <v>82</v>
      </c>
      <c r="AU181" s="5">
        <v>2710</v>
      </c>
      <c r="AV181" s="5">
        <v>2060</v>
      </c>
      <c r="AW181" s="5">
        <v>3049</v>
      </c>
      <c r="AX181" s="5">
        <v>7667</v>
      </c>
      <c r="AY181" s="155"/>
      <c r="AZ181" s="155"/>
      <c r="BA181" s="155">
        <v>94</v>
      </c>
      <c r="BB181" s="155"/>
      <c r="BC181" s="5">
        <v>427</v>
      </c>
      <c r="BD181" s="5"/>
      <c r="BE181" s="5">
        <v>309</v>
      </c>
      <c r="BF181" s="5">
        <v>823</v>
      </c>
      <c r="BG181" s="5">
        <v>498</v>
      </c>
      <c r="BH181" s="5">
        <v>3</v>
      </c>
      <c r="BI181" s="5">
        <v>6</v>
      </c>
      <c r="BJ181" s="5">
        <v>6991</v>
      </c>
      <c r="BK181" s="5">
        <v>49</v>
      </c>
      <c r="BL181" s="5">
        <v>3460</v>
      </c>
      <c r="BM181" s="5"/>
      <c r="BN181" s="5">
        <v>339</v>
      </c>
      <c r="BO181" s="5">
        <v>66</v>
      </c>
      <c r="BP181" s="5">
        <v>0</v>
      </c>
      <c r="BQ181" s="5">
        <v>34731</v>
      </c>
      <c r="BR181" s="5">
        <v>10476</v>
      </c>
      <c r="BS181" s="5">
        <v>76</v>
      </c>
      <c r="BT181" s="5">
        <v>1755</v>
      </c>
      <c r="BU181" s="5">
        <v>238</v>
      </c>
      <c r="BV181" s="5"/>
      <c r="BW181" s="5">
        <v>14</v>
      </c>
      <c r="BX181" s="5">
        <v>138</v>
      </c>
      <c r="BY181" s="5"/>
      <c r="BZ181" s="5">
        <v>62</v>
      </c>
      <c r="CA181" s="5">
        <v>0</v>
      </c>
      <c r="CB181" s="5">
        <v>4445</v>
      </c>
      <c r="CC181" s="5">
        <v>13788</v>
      </c>
      <c r="CD181" s="5">
        <v>82206</v>
      </c>
      <c r="CE181" s="5">
        <v>131611</v>
      </c>
      <c r="CF181" s="5">
        <v>16332</v>
      </c>
      <c r="CG181" s="5">
        <v>0</v>
      </c>
      <c r="CH181" s="5">
        <v>0</v>
      </c>
      <c r="CI181" s="5">
        <v>11</v>
      </c>
      <c r="CJ181" s="5">
        <v>30</v>
      </c>
      <c r="CK181" s="5">
        <v>98</v>
      </c>
      <c r="CL181" s="5"/>
      <c r="CM181" s="5"/>
      <c r="CN181" s="5"/>
      <c r="CO181" s="5"/>
      <c r="CP181" s="5"/>
      <c r="CQ181" s="5"/>
      <c r="CR181" s="5"/>
      <c r="CS181" s="5"/>
      <c r="CT181" s="5" t="s">
        <v>82</v>
      </c>
      <c r="CU181" s="5" t="s">
        <v>82</v>
      </c>
      <c r="CV181" s="5" t="s">
        <v>82</v>
      </c>
      <c r="CW181" s="5">
        <v>0</v>
      </c>
      <c r="CX181" s="5">
        <v>0</v>
      </c>
      <c r="CY181" s="5">
        <v>0</v>
      </c>
      <c r="DA181" s="6"/>
      <c r="DC181" s="6"/>
      <c r="DD181" s="6">
        <f t="shared" si="35"/>
        <v>308555</v>
      </c>
      <c r="DE181" s="6">
        <f t="shared" si="36"/>
        <v>195189</v>
      </c>
      <c r="DF181" s="16">
        <f t="shared" si="37"/>
        <v>503744</v>
      </c>
      <c r="DK181" s="6">
        <f t="shared" si="38"/>
        <v>60719</v>
      </c>
      <c r="DL181" s="6">
        <f t="shared" si="39"/>
        <v>102250</v>
      </c>
      <c r="DM181" s="6">
        <f t="shared" si="49"/>
        <v>9776</v>
      </c>
      <c r="DN181" s="6">
        <f t="shared" si="50"/>
        <v>22538</v>
      </c>
      <c r="DO181" s="6">
        <f t="shared" si="40"/>
        <v>246532</v>
      </c>
      <c r="DP181" s="6">
        <f t="shared" si="48"/>
        <v>37137</v>
      </c>
      <c r="DQ181" s="6"/>
      <c r="DR181" s="6">
        <f t="shared" si="41"/>
        <v>13799</v>
      </c>
      <c r="DS181" s="6">
        <f t="shared" si="42"/>
        <v>0</v>
      </c>
      <c r="DT181" s="6">
        <f t="shared" si="43"/>
        <v>11087</v>
      </c>
      <c r="DU181" s="6"/>
      <c r="DV181" s="6"/>
      <c r="DW181" s="6">
        <f t="shared" si="44"/>
        <v>503838</v>
      </c>
      <c r="DY181" s="6">
        <f t="shared" si="45"/>
        <v>301051</v>
      </c>
      <c r="DZ181" s="6">
        <f t="shared" si="46"/>
        <v>43432</v>
      </c>
      <c r="EB181" s="6">
        <f t="shared" si="47"/>
        <v>547176</v>
      </c>
      <c r="EC181" s="6"/>
      <c r="ED181" s="6"/>
      <c r="EF181" s="6"/>
      <c r="EG181" s="6"/>
    </row>
    <row r="182" spans="2:138" ht="14">
      <c r="B182" s="4">
        <v>37500</v>
      </c>
      <c r="C182" s="5">
        <v>0</v>
      </c>
      <c r="D182" s="5">
        <v>0</v>
      </c>
      <c r="E182" s="5">
        <v>0</v>
      </c>
      <c r="F182" s="5" t="s">
        <v>82</v>
      </c>
      <c r="G182" s="5" t="s">
        <v>82</v>
      </c>
      <c r="H182" s="5">
        <v>5109</v>
      </c>
      <c r="I182" s="5">
        <v>10069</v>
      </c>
      <c r="J182" s="5">
        <v>2750</v>
      </c>
      <c r="K182" s="5">
        <v>10675</v>
      </c>
      <c r="L182" s="5"/>
      <c r="M182" s="5">
        <v>31501</v>
      </c>
      <c r="N182" s="5">
        <v>2972</v>
      </c>
      <c r="O182" s="5"/>
      <c r="P182" s="5">
        <v>2007</v>
      </c>
      <c r="Q182" s="5">
        <v>8370</v>
      </c>
      <c r="R182" s="5">
        <v>618</v>
      </c>
      <c r="S182" s="5">
        <v>8203</v>
      </c>
      <c r="T182" s="5">
        <v>9782</v>
      </c>
      <c r="U182" s="5"/>
      <c r="V182" s="5"/>
      <c r="W182" s="5">
        <v>504</v>
      </c>
      <c r="X182" s="5">
        <v>6720</v>
      </c>
      <c r="Y182" s="5">
        <v>500</v>
      </c>
      <c r="Z182" s="5">
        <v>25</v>
      </c>
      <c r="AA182" s="155"/>
      <c r="AB182" s="5">
        <v>6</v>
      </c>
      <c r="AC182" s="5">
        <v>51</v>
      </c>
      <c r="AD182" s="5">
        <v>19</v>
      </c>
      <c r="AE182" s="5">
        <v>25</v>
      </c>
      <c r="AF182" s="5">
        <v>32</v>
      </c>
      <c r="AG182" s="5">
        <v>45</v>
      </c>
      <c r="AH182" s="5"/>
      <c r="AI182" s="5"/>
      <c r="AJ182" s="5">
        <v>3</v>
      </c>
      <c r="AK182" s="5">
        <v>5267</v>
      </c>
      <c r="AL182" s="5">
        <v>83304</v>
      </c>
      <c r="AM182" s="5">
        <v>3377</v>
      </c>
      <c r="AN182" s="5">
        <v>10658</v>
      </c>
      <c r="AO182" s="5">
        <v>34</v>
      </c>
      <c r="AP182" s="5">
        <v>10</v>
      </c>
      <c r="AQ182" s="5">
        <v>3043</v>
      </c>
      <c r="AR182" s="5">
        <v>1525</v>
      </c>
      <c r="AS182" s="5">
        <v>1329</v>
      </c>
      <c r="AT182" s="5" t="s">
        <v>82</v>
      </c>
      <c r="AU182" s="5">
        <v>2710</v>
      </c>
      <c r="AV182" s="5">
        <v>2069</v>
      </c>
      <c r="AW182" s="5">
        <v>3024</v>
      </c>
      <c r="AX182" s="5">
        <v>7673</v>
      </c>
      <c r="AY182" s="155"/>
      <c r="AZ182" s="155"/>
      <c r="BA182" s="155">
        <v>106</v>
      </c>
      <c r="BB182" s="155"/>
      <c r="BC182" s="5">
        <v>421</v>
      </c>
      <c r="BD182" s="5"/>
      <c r="BE182" s="5">
        <v>233</v>
      </c>
      <c r="BF182" s="5">
        <v>607</v>
      </c>
      <c r="BG182" s="5">
        <v>494</v>
      </c>
      <c r="BH182" s="5">
        <v>3</v>
      </c>
      <c r="BI182" s="5">
        <v>6</v>
      </c>
      <c r="BJ182" s="5">
        <v>7028</v>
      </c>
      <c r="BK182" s="5">
        <v>42</v>
      </c>
      <c r="BL182" s="5">
        <v>3437</v>
      </c>
      <c r="BM182" s="5"/>
      <c r="BN182" s="5">
        <v>363</v>
      </c>
      <c r="BO182" s="5">
        <v>68</v>
      </c>
      <c r="BP182" s="5">
        <v>0</v>
      </c>
      <c r="BQ182" s="5">
        <v>35061</v>
      </c>
      <c r="BR182" s="5">
        <v>10333</v>
      </c>
      <c r="BS182" s="5">
        <v>78</v>
      </c>
      <c r="BT182" s="5">
        <v>1814</v>
      </c>
      <c r="BU182" s="5">
        <v>242</v>
      </c>
      <c r="BV182" s="5"/>
      <c r="BW182" s="5">
        <v>11</v>
      </c>
      <c r="BX182" s="5">
        <v>137</v>
      </c>
      <c r="BY182" s="5"/>
      <c r="BZ182" s="5">
        <v>57</v>
      </c>
      <c r="CA182" s="5">
        <v>0</v>
      </c>
      <c r="CB182" s="5">
        <v>4532</v>
      </c>
      <c r="CC182" s="5">
        <v>13873</v>
      </c>
      <c r="CD182" s="5">
        <v>82994</v>
      </c>
      <c r="CE182" s="5">
        <v>132558</v>
      </c>
      <c r="CF182" s="5">
        <v>16321</v>
      </c>
      <c r="CG182" s="5">
        <v>9427</v>
      </c>
      <c r="CH182" s="5">
        <v>0</v>
      </c>
      <c r="CI182" s="5">
        <v>13</v>
      </c>
      <c r="CJ182" s="5">
        <v>28</v>
      </c>
      <c r="CK182" s="5">
        <v>96</v>
      </c>
      <c r="CL182" s="5"/>
      <c r="CM182" s="5"/>
      <c r="CN182" s="5"/>
      <c r="CO182" s="5"/>
      <c r="CP182" s="5"/>
      <c r="CQ182" s="5"/>
      <c r="CR182" s="5"/>
      <c r="CS182" s="5"/>
      <c r="CT182" s="5" t="s">
        <v>82</v>
      </c>
      <c r="CU182" s="5" t="s">
        <v>82</v>
      </c>
      <c r="CV182" s="5" t="s">
        <v>82</v>
      </c>
      <c r="CW182" s="5">
        <v>0</v>
      </c>
      <c r="CX182" s="5">
        <v>0</v>
      </c>
      <c r="CY182" s="5">
        <v>0</v>
      </c>
      <c r="DA182" s="6"/>
      <c r="DC182" s="6"/>
      <c r="DD182" s="6">
        <f t="shared" si="35"/>
        <v>319856</v>
      </c>
      <c r="DE182" s="6">
        <f t="shared" si="36"/>
        <v>195827</v>
      </c>
      <c r="DF182" s="16">
        <f t="shared" si="37"/>
        <v>515683</v>
      </c>
      <c r="DK182" s="6">
        <f t="shared" si="38"/>
        <v>60895</v>
      </c>
      <c r="DL182" s="6">
        <f t="shared" si="39"/>
        <v>102302</v>
      </c>
      <c r="DM182" s="6">
        <f t="shared" si="49"/>
        <v>9782</v>
      </c>
      <c r="DN182" s="6">
        <f t="shared" si="50"/>
        <v>22954</v>
      </c>
      <c r="DO182" s="6">
        <f t="shared" si="40"/>
        <v>247973</v>
      </c>
      <c r="DP182" s="6">
        <f t="shared" si="48"/>
        <v>37474</v>
      </c>
      <c r="DQ182" s="6"/>
      <c r="DR182" s="6">
        <f t="shared" si="41"/>
        <v>13886</v>
      </c>
      <c r="DS182" s="6">
        <f t="shared" si="42"/>
        <v>0</v>
      </c>
      <c r="DT182" s="6">
        <f t="shared" si="43"/>
        <v>11096</v>
      </c>
      <c r="DU182" s="6"/>
      <c r="DV182" s="6"/>
      <c r="DW182" s="6">
        <f t="shared" si="44"/>
        <v>506362</v>
      </c>
      <c r="DY182" s="6">
        <f t="shared" si="45"/>
        <v>297099</v>
      </c>
      <c r="DZ182" s="6">
        <f t="shared" si="46"/>
        <v>28603</v>
      </c>
      <c r="EB182" s="6">
        <f t="shared" si="47"/>
        <v>544286</v>
      </c>
      <c r="EC182" s="6"/>
      <c r="ED182" s="6"/>
      <c r="EF182" s="6"/>
      <c r="EG182" s="6"/>
    </row>
    <row r="183" spans="2:138" ht="14">
      <c r="B183" s="4">
        <v>37530</v>
      </c>
      <c r="C183" s="5">
        <v>0</v>
      </c>
      <c r="D183" s="5">
        <v>0</v>
      </c>
      <c r="E183" s="5">
        <v>0</v>
      </c>
      <c r="F183" s="5" t="s">
        <v>82</v>
      </c>
      <c r="G183" s="5" t="s">
        <v>82</v>
      </c>
      <c r="H183" s="5">
        <v>5445</v>
      </c>
      <c r="I183" s="5">
        <v>10585</v>
      </c>
      <c r="J183" s="5">
        <v>2792</v>
      </c>
      <c r="K183" s="5">
        <v>10016</v>
      </c>
      <c r="L183" s="5"/>
      <c r="M183" s="5">
        <v>31514</v>
      </c>
      <c r="N183" s="5">
        <v>2955</v>
      </c>
      <c r="O183" s="5"/>
      <c r="P183" s="5">
        <v>1974</v>
      </c>
      <c r="Q183" s="5">
        <v>8442</v>
      </c>
      <c r="R183" s="5">
        <v>604</v>
      </c>
      <c r="S183" s="5">
        <v>8139</v>
      </c>
      <c r="T183" s="5">
        <v>9788</v>
      </c>
      <c r="U183" s="5"/>
      <c r="V183" s="5"/>
      <c r="W183" s="5">
        <v>489</v>
      </c>
      <c r="X183" s="5">
        <v>6967</v>
      </c>
      <c r="Y183" s="5">
        <v>494</v>
      </c>
      <c r="Z183" s="5">
        <v>24</v>
      </c>
      <c r="AA183" s="155"/>
      <c r="AB183" s="5">
        <v>8</v>
      </c>
      <c r="AC183" s="5">
        <v>54</v>
      </c>
      <c r="AD183" s="5">
        <v>21</v>
      </c>
      <c r="AE183" s="5">
        <v>25</v>
      </c>
      <c r="AF183" s="5">
        <v>32</v>
      </c>
      <c r="AG183" s="5">
        <v>42</v>
      </c>
      <c r="AH183" s="5"/>
      <c r="AI183" s="5"/>
      <c r="AJ183" s="5">
        <v>3</v>
      </c>
      <c r="AK183" s="5">
        <v>5418</v>
      </c>
      <c r="AL183" s="5">
        <v>83323</v>
      </c>
      <c r="AM183" s="5">
        <v>3363</v>
      </c>
      <c r="AN183" s="5">
        <v>10743</v>
      </c>
      <c r="AO183" s="5">
        <v>30</v>
      </c>
      <c r="AP183" s="5">
        <v>9</v>
      </c>
      <c r="AQ183" s="5">
        <v>3270</v>
      </c>
      <c r="AR183" s="5">
        <v>1704</v>
      </c>
      <c r="AS183" s="5">
        <v>1294</v>
      </c>
      <c r="AT183" s="5" t="s">
        <v>82</v>
      </c>
      <c r="AU183" s="5">
        <v>2747</v>
      </c>
      <c r="AV183" s="5">
        <v>2062</v>
      </c>
      <c r="AW183" s="5">
        <v>3017</v>
      </c>
      <c r="AX183" s="5">
        <v>7733</v>
      </c>
      <c r="AY183" s="155"/>
      <c r="AZ183" s="155"/>
      <c r="BA183" s="155">
        <v>118</v>
      </c>
      <c r="BB183" s="155"/>
      <c r="BC183" s="5">
        <v>406</v>
      </c>
      <c r="BD183" s="5"/>
      <c r="BE183" s="5">
        <v>193</v>
      </c>
      <c r="BF183" s="5">
        <v>532</v>
      </c>
      <c r="BG183" s="5">
        <v>500</v>
      </c>
      <c r="BH183" s="5">
        <v>5</v>
      </c>
      <c r="BI183" s="5">
        <v>4</v>
      </c>
      <c r="BJ183" s="5">
        <v>7073</v>
      </c>
      <c r="BK183" s="5">
        <v>46</v>
      </c>
      <c r="BL183" s="5">
        <v>3450</v>
      </c>
      <c r="BM183" s="5"/>
      <c r="BN183" s="5">
        <v>349</v>
      </c>
      <c r="BO183" s="5">
        <v>72</v>
      </c>
      <c r="BP183" s="5">
        <v>0</v>
      </c>
      <c r="BQ183" s="5">
        <v>34947</v>
      </c>
      <c r="BR183" s="5">
        <v>9971</v>
      </c>
      <c r="BS183" s="5">
        <v>76</v>
      </c>
      <c r="BT183" s="5">
        <v>1809</v>
      </c>
      <c r="BU183" s="5">
        <v>231</v>
      </c>
      <c r="BV183" s="5"/>
      <c r="BW183" s="5">
        <v>9</v>
      </c>
      <c r="BX183" s="5">
        <v>131</v>
      </c>
      <c r="BY183" s="5"/>
      <c r="BZ183" s="5">
        <v>59</v>
      </c>
      <c r="CA183" s="5">
        <v>0</v>
      </c>
      <c r="CB183" s="5">
        <v>4936</v>
      </c>
      <c r="CC183" s="5">
        <v>13648</v>
      </c>
      <c r="CD183" s="5">
        <v>83520</v>
      </c>
      <c r="CE183" s="5">
        <v>133374</v>
      </c>
      <c r="CF183" s="5">
        <v>16394</v>
      </c>
      <c r="CG183" s="5">
        <v>11664</v>
      </c>
      <c r="CH183" s="5">
        <v>0</v>
      </c>
      <c r="CI183" s="5">
        <v>13</v>
      </c>
      <c r="CJ183" s="5">
        <v>26</v>
      </c>
      <c r="CK183" s="5">
        <v>96</v>
      </c>
      <c r="CL183" s="5"/>
      <c r="CM183" s="5"/>
      <c r="CN183" s="5"/>
      <c r="CO183" s="5"/>
      <c r="CP183" s="5"/>
      <c r="CQ183" s="5"/>
      <c r="CR183" s="5"/>
      <c r="CS183" s="5"/>
      <c r="CT183" s="5" t="s">
        <v>82</v>
      </c>
      <c r="CU183" s="5" t="s">
        <v>82</v>
      </c>
      <c r="CV183" s="5" t="s">
        <v>82</v>
      </c>
      <c r="CW183" s="5">
        <v>0</v>
      </c>
      <c r="CX183" s="5">
        <v>0</v>
      </c>
      <c r="CY183" s="5">
        <v>0</v>
      </c>
      <c r="DA183" s="6"/>
      <c r="DC183" s="6"/>
      <c r="DD183" s="6">
        <f t="shared" si="35"/>
        <v>323128</v>
      </c>
      <c r="DE183" s="6">
        <f t="shared" si="36"/>
        <v>196694</v>
      </c>
      <c r="DF183" s="16">
        <f t="shared" si="37"/>
        <v>519822</v>
      </c>
      <c r="DK183" s="6">
        <f t="shared" si="38"/>
        <v>61084</v>
      </c>
      <c r="DL183" s="6">
        <f t="shared" si="39"/>
        <v>102439</v>
      </c>
      <c r="DM183" s="6">
        <f t="shared" si="49"/>
        <v>9788</v>
      </c>
      <c r="DN183" s="6">
        <f t="shared" si="50"/>
        <v>23501</v>
      </c>
      <c r="DO183" s="6">
        <f t="shared" si="40"/>
        <v>249346</v>
      </c>
      <c r="DP183" s="6">
        <f t="shared" si="48"/>
        <v>37303</v>
      </c>
      <c r="DQ183" s="6"/>
      <c r="DR183" s="6">
        <f t="shared" si="41"/>
        <v>13661</v>
      </c>
      <c r="DS183" s="6">
        <f t="shared" si="42"/>
        <v>0</v>
      </c>
      <c r="DT183" s="6">
        <f t="shared" si="43"/>
        <v>11154</v>
      </c>
      <c r="DU183" s="6"/>
      <c r="DV183" s="6"/>
      <c r="DW183" s="6">
        <f t="shared" si="44"/>
        <v>508276</v>
      </c>
      <c r="DY183" s="6">
        <f t="shared" si="45"/>
        <v>301002</v>
      </c>
      <c r="DZ183" s="6">
        <f t="shared" si="46"/>
        <v>28838</v>
      </c>
      <c r="EB183" s="6">
        <f t="shared" si="47"/>
        <v>548660</v>
      </c>
      <c r="EC183" s="6"/>
      <c r="ED183" s="6"/>
      <c r="EF183" s="6"/>
      <c r="EG183" s="6"/>
    </row>
    <row r="184" spans="2:138" ht="14">
      <c r="B184" s="4">
        <v>37561</v>
      </c>
      <c r="C184" s="5">
        <v>0</v>
      </c>
      <c r="D184" s="5">
        <v>0</v>
      </c>
      <c r="E184" s="5">
        <v>0</v>
      </c>
      <c r="F184" s="5" t="s">
        <v>82</v>
      </c>
      <c r="G184" s="5" t="s">
        <v>82</v>
      </c>
      <c r="H184" s="5">
        <v>6010</v>
      </c>
      <c r="I184" s="5">
        <v>11512</v>
      </c>
      <c r="J184" s="5">
        <v>2968</v>
      </c>
      <c r="K184" s="5">
        <v>10407</v>
      </c>
      <c r="L184" s="5"/>
      <c r="M184" s="5">
        <v>31491</v>
      </c>
      <c r="N184" s="5">
        <v>2955</v>
      </c>
      <c r="O184" s="5"/>
      <c r="P184" s="5">
        <v>1952</v>
      </c>
      <c r="Q184" s="5">
        <v>8424</v>
      </c>
      <c r="R184" s="5">
        <v>605</v>
      </c>
      <c r="S184" s="5">
        <v>8147</v>
      </c>
      <c r="T184" s="5">
        <v>9781</v>
      </c>
      <c r="U184" s="5"/>
      <c r="V184" s="5"/>
      <c r="W184" s="5">
        <v>491</v>
      </c>
      <c r="X184" s="5">
        <v>7172</v>
      </c>
      <c r="Y184" s="5">
        <v>488</v>
      </c>
      <c r="Z184" s="5">
        <v>24</v>
      </c>
      <c r="AA184" s="155"/>
      <c r="AB184" s="5">
        <v>8</v>
      </c>
      <c r="AC184" s="5">
        <v>57</v>
      </c>
      <c r="AD184" s="5">
        <v>20</v>
      </c>
      <c r="AE184" s="5">
        <v>25</v>
      </c>
      <c r="AF184" s="5">
        <v>33</v>
      </c>
      <c r="AG184" s="5">
        <v>42</v>
      </c>
      <c r="AH184" s="5"/>
      <c r="AI184" s="5"/>
      <c r="AJ184" s="5">
        <v>3</v>
      </c>
      <c r="AK184" s="5">
        <v>5621</v>
      </c>
      <c r="AL184" s="5">
        <v>83774</v>
      </c>
      <c r="AM184" s="5">
        <v>3351</v>
      </c>
      <c r="AN184" s="5">
        <v>10840</v>
      </c>
      <c r="AO184" s="5">
        <v>35</v>
      </c>
      <c r="AP184" s="5">
        <v>10</v>
      </c>
      <c r="AQ184" s="5">
        <v>3416</v>
      </c>
      <c r="AR184" s="5">
        <v>1808</v>
      </c>
      <c r="AS184" s="5">
        <v>1292</v>
      </c>
      <c r="AT184" s="5" t="s">
        <v>82</v>
      </c>
      <c r="AU184" s="5">
        <v>2781</v>
      </c>
      <c r="AV184" s="5">
        <v>2066</v>
      </c>
      <c r="AW184" s="5">
        <v>3002</v>
      </c>
      <c r="AX184" s="5">
        <v>7747</v>
      </c>
      <c r="AY184" s="155"/>
      <c r="AZ184" s="155"/>
      <c r="BA184" s="155">
        <v>125</v>
      </c>
      <c r="BB184" s="155"/>
      <c r="BC184" s="5">
        <v>396</v>
      </c>
      <c r="BD184" s="5"/>
      <c r="BE184" s="5">
        <v>158</v>
      </c>
      <c r="BF184" s="5">
        <v>425</v>
      </c>
      <c r="BG184" s="5">
        <v>509</v>
      </c>
      <c r="BH184" s="5">
        <v>5</v>
      </c>
      <c r="BI184" s="5">
        <v>1</v>
      </c>
      <c r="BJ184" s="5">
        <v>7110</v>
      </c>
      <c r="BK184" s="5">
        <v>45</v>
      </c>
      <c r="BL184" s="5">
        <v>3450</v>
      </c>
      <c r="BM184" s="5"/>
      <c r="BN184" s="5">
        <v>361</v>
      </c>
      <c r="BO184" s="5">
        <v>76</v>
      </c>
      <c r="BP184" s="5">
        <v>2</v>
      </c>
      <c r="BQ184" s="5">
        <v>35755</v>
      </c>
      <c r="BR184" s="5">
        <v>9832</v>
      </c>
      <c r="BS184" s="5">
        <v>72</v>
      </c>
      <c r="BT184" s="5">
        <v>1836</v>
      </c>
      <c r="BU184" s="5">
        <v>236</v>
      </c>
      <c r="BV184" s="5"/>
      <c r="BW184" s="5">
        <v>9</v>
      </c>
      <c r="BX184" s="5">
        <v>132</v>
      </c>
      <c r="BY184" s="5"/>
      <c r="BZ184" s="5">
        <v>55</v>
      </c>
      <c r="CA184" s="5">
        <v>0</v>
      </c>
      <c r="CB184" s="5">
        <v>5691</v>
      </c>
      <c r="CC184" s="5">
        <v>13828</v>
      </c>
      <c r="CD184" s="5">
        <v>85219</v>
      </c>
      <c r="CE184" s="5">
        <v>136675</v>
      </c>
      <c r="CF184" s="5">
        <v>16424</v>
      </c>
      <c r="CG184" s="5">
        <v>12890</v>
      </c>
      <c r="CH184" s="5">
        <v>0</v>
      </c>
      <c r="CI184" s="5">
        <v>12</v>
      </c>
      <c r="CJ184" s="5">
        <v>24</v>
      </c>
      <c r="CK184" s="5">
        <v>95</v>
      </c>
      <c r="CL184" s="5"/>
      <c r="CM184" s="5"/>
      <c r="CN184" s="5"/>
      <c r="CO184" s="5"/>
      <c r="CP184" s="5"/>
      <c r="CQ184" s="5"/>
      <c r="CR184" s="5"/>
      <c r="CS184" s="5"/>
      <c r="CT184" s="5" t="s">
        <v>82</v>
      </c>
      <c r="CU184" s="5" t="s">
        <v>82</v>
      </c>
      <c r="CV184" s="5" t="s">
        <v>82</v>
      </c>
      <c r="CW184" s="5">
        <v>0</v>
      </c>
      <c r="CX184" s="5">
        <v>0</v>
      </c>
      <c r="CY184" s="5">
        <v>0</v>
      </c>
      <c r="DA184" s="6"/>
      <c r="DC184" s="6"/>
      <c r="DD184" s="6">
        <f t="shared" si="35"/>
        <v>330927</v>
      </c>
      <c r="DE184" s="6">
        <f t="shared" si="36"/>
        <v>197857</v>
      </c>
      <c r="DF184" s="16">
        <f t="shared" si="37"/>
        <v>528784</v>
      </c>
      <c r="DK184" s="6">
        <f t="shared" si="38"/>
        <v>61237</v>
      </c>
      <c r="DL184" s="6">
        <f t="shared" si="39"/>
        <v>103101</v>
      </c>
      <c r="DM184" s="6">
        <f t="shared" si="49"/>
        <v>9781</v>
      </c>
      <c r="DN184" s="6">
        <f t="shared" si="50"/>
        <v>23863</v>
      </c>
      <c r="DO184" s="6">
        <f t="shared" si="40"/>
        <v>254879</v>
      </c>
      <c r="DP184" s="6">
        <f t="shared" si="48"/>
        <v>38115</v>
      </c>
      <c r="DQ184" s="6"/>
      <c r="DR184" s="6">
        <f t="shared" si="41"/>
        <v>13840</v>
      </c>
      <c r="DS184" s="6">
        <f t="shared" si="42"/>
        <v>2</v>
      </c>
      <c r="DT184" s="6">
        <f t="shared" si="43"/>
        <v>11201</v>
      </c>
      <c r="DU184" s="6"/>
      <c r="DV184" s="6"/>
      <c r="DW184" s="6">
        <f t="shared" si="44"/>
        <v>516019</v>
      </c>
      <c r="DY184" s="6">
        <f t="shared" si="45"/>
        <v>309867</v>
      </c>
      <c r="DZ184" s="6">
        <f t="shared" si="46"/>
        <v>30897</v>
      </c>
      <c r="EB184" s="6">
        <f t="shared" si="47"/>
        <v>559681</v>
      </c>
      <c r="EC184" s="6"/>
      <c r="ED184" s="6"/>
      <c r="EF184" s="6"/>
      <c r="EG184" s="6"/>
    </row>
    <row r="185" spans="2:138" ht="14">
      <c r="B185" s="4">
        <v>37591</v>
      </c>
      <c r="C185" s="5">
        <v>0</v>
      </c>
      <c r="D185" s="5">
        <v>0</v>
      </c>
      <c r="E185" s="5">
        <v>0</v>
      </c>
      <c r="F185" s="5" t="s">
        <v>82</v>
      </c>
      <c r="G185" s="5" t="s">
        <v>82</v>
      </c>
      <c r="H185" s="5">
        <v>6421</v>
      </c>
      <c r="I185" s="5">
        <v>12146</v>
      </c>
      <c r="J185" s="5">
        <v>3041</v>
      </c>
      <c r="K185" s="5">
        <v>10365</v>
      </c>
      <c r="L185" s="5"/>
      <c r="M185" s="5">
        <v>31412</v>
      </c>
      <c r="N185" s="5">
        <v>2952</v>
      </c>
      <c r="O185" s="5"/>
      <c r="P185" s="5">
        <v>1944</v>
      </c>
      <c r="Q185" s="5">
        <v>8394</v>
      </c>
      <c r="R185" s="5">
        <v>598</v>
      </c>
      <c r="S185" s="5">
        <v>8080</v>
      </c>
      <c r="T185" s="5">
        <v>9822</v>
      </c>
      <c r="U185" s="5"/>
      <c r="V185" s="5"/>
      <c r="W185" s="5">
        <v>490</v>
      </c>
      <c r="X185" s="5">
        <v>7370</v>
      </c>
      <c r="Y185" s="5">
        <v>485</v>
      </c>
      <c r="Z185" s="5">
        <v>25</v>
      </c>
      <c r="AA185" s="155"/>
      <c r="AB185" s="5">
        <v>8</v>
      </c>
      <c r="AC185" s="5">
        <v>57</v>
      </c>
      <c r="AD185" s="5">
        <v>20</v>
      </c>
      <c r="AE185" s="5">
        <v>25</v>
      </c>
      <c r="AF185" s="5">
        <v>33</v>
      </c>
      <c r="AG185" s="5">
        <v>39</v>
      </c>
      <c r="AH185" s="5"/>
      <c r="AI185" s="5"/>
      <c r="AJ185" s="5">
        <v>3</v>
      </c>
      <c r="AK185" s="5">
        <v>5749</v>
      </c>
      <c r="AL185" s="5">
        <v>83733</v>
      </c>
      <c r="AM185" s="5">
        <v>3356</v>
      </c>
      <c r="AN185" s="5">
        <v>10963</v>
      </c>
      <c r="AO185" s="5">
        <v>34</v>
      </c>
      <c r="AP185" s="5">
        <v>9</v>
      </c>
      <c r="AQ185" s="5">
        <v>3594</v>
      </c>
      <c r="AR185" s="5">
        <v>1952</v>
      </c>
      <c r="AS185" s="5">
        <v>1267</v>
      </c>
      <c r="AT185" s="5" t="s">
        <v>82</v>
      </c>
      <c r="AU185" s="5">
        <v>2788</v>
      </c>
      <c r="AV185" s="5">
        <v>2051</v>
      </c>
      <c r="AW185" s="5">
        <v>2981</v>
      </c>
      <c r="AX185" s="5">
        <v>7735</v>
      </c>
      <c r="AY185" s="155"/>
      <c r="AZ185" s="155"/>
      <c r="BA185" s="155">
        <v>134</v>
      </c>
      <c r="BB185" s="155"/>
      <c r="BC185" s="5">
        <v>410</v>
      </c>
      <c r="BD185" s="5"/>
      <c r="BE185" s="5">
        <v>102</v>
      </c>
      <c r="BF185" s="5">
        <v>305</v>
      </c>
      <c r="BG185" s="5">
        <v>504</v>
      </c>
      <c r="BH185" s="5">
        <v>3</v>
      </c>
      <c r="BI185" s="5">
        <v>1</v>
      </c>
      <c r="BJ185" s="5">
        <v>7154</v>
      </c>
      <c r="BK185" s="5">
        <v>41</v>
      </c>
      <c r="BL185" s="5">
        <v>3404</v>
      </c>
      <c r="BM185" s="5"/>
      <c r="BN185" s="5">
        <v>365</v>
      </c>
      <c r="BO185" s="5">
        <v>77</v>
      </c>
      <c r="BP185" s="5">
        <v>36</v>
      </c>
      <c r="BQ185" s="5">
        <v>35682</v>
      </c>
      <c r="BR185" s="5">
        <v>9405</v>
      </c>
      <c r="BS185" s="5">
        <v>79</v>
      </c>
      <c r="BT185" s="5">
        <v>1871</v>
      </c>
      <c r="BU185" s="5">
        <v>232</v>
      </c>
      <c r="BV185" s="5"/>
      <c r="BW185" s="5">
        <v>7</v>
      </c>
      <c r="BX185" s="5">
        <v>127</v>
      </c>
      <c r="BY185" s="5"/>
      <c r="BZ185" s="5">
        <v>48</v>
      </c>
      <c r="CA185" s="5">
        <v>0</v>
      </c>
      <c r="CB185" s="5">
        <v>6453</v>
      </c>
      <c r="CC185" s="5">
        <v>13647</v>
      </c>
      <c r="CD185" s="5">
        <v>86176</v>
      </c>
      <c r="CE185" s="5">
        <v>138458</v>
      </c>
      <c r="CF185" s="5">
        <v>16353</v>
      </c>
      <c r="CG185" s="5">
        <v>14244</v>
      </c>
      <c r="CH185" s="5">
        <v>0</v>
      </c>
      <c r="CI185" s="5">
        <v>14</v>
      </c>
      <c r="CJ185" s="5">
        <v>24</v>
      </c>
      <c r="CK185" s="5">
        <v>92</v>
      </c>
      <c r="CL185" s="5"/>
      <c r="CM185" s="5"/>
      <c r="CN185" s="5"/>
      <c r="CO185" s="5"/>
      <c r="CP185" s="5"/>
      <c r="CQ185" s="5"/>
      <c r="CR185" s="5"/>
      <c r="CS185" s="5"/>
      <c r="CT185" s="5" t="s">
        <v>82</v>
      </c>
      <c r="CU185" s="5" t="s">
        <v>82</v>
      </c>
      <c r="CV185" s="5" t="s">
        <v>82</v>
      </c>
      <c r="CW185" s="5">
        <v>0</v>
      </c>
      <c r="CX185" s="5">
        <v>0</v>
      </c>
      <c r="CY185" s="5">
        <v>0</v>
      </c>
      <c r="DA185" s="6"/>
      <c r="DC185" s="6"/>
      <c r="DD185" s="6">
        <f t="shared" si="35"/>
        <v>334904</v>
      </c>
      <c r="DE185" s="6">
        <f t="shared" si="36"/>
        <v>198379</v>
      </c>
      <c r="DF185" s="16">
        <f t="shared" si="37"/>
        <v>533283</v>
      </c>
      <c r="DK185" s="6">
        <f t="shared" si="38"/>
        <v>61240</v>
      </c>
      <c r="DL185" s="6">
        <f t="shared" si="39"/>
        <v>103159</v>
      </c>
      <c r="DM185" s="6">
        <f t="shared" si="49"/>
        <v>9822</v>
      </c>
      <c r="DN185" s="6">
        <f t="shared" si="50"/>
        <v>24292</v>
      </c>
      <c r="DO185" s="6">
        <f t="shared" si="40"/>
        <v>257751</v>
      </c>
      <c r="DP185" s="6">
        <f t="shared" si="48"/>
        <v>38023</v>
      </c>
      <c r="DQ185" s="6"/>
      <c r="DR185" s="6">
        <f t="shared" si="41"/>
        <v>13661</v>
      </c>
      <c r="DS185" s="6">
        <f t="shared" si="42"/>
        <v>36</v>
      </c>
      <c r="DT185" s="6">
        <f t="shared" si="43"/>
        <v>11189</v>
      </c>
      <c r="DU185" s="6"/>
      <c r="DV185" s="6"/>
      <c r="DW185" s="6">
        <f t="shared" si="44"/>
        <v>519173</v>
      </c>
      <c r="DY185" s="6">
        <f t="shared" si="45"/>
        <v>315157</v>
      </c>
      <c r="DZ185" s="6">
        <f t="shared" si="46"/>
        <v>31973</v>
      </c>
      <c r="EB185" s="6">
        <f t="shared" si="47"/>
        <v>565256</v>
      </c>
      <c r="EC185" s="6"/>
      <c r="ED185" s="6"/>
      <c r="EF185" s="6"/>
      <c r="EG185" s="6"/>
    </row>
    <row r="186" spans="2:138" ht="14">
      <c r="B186" s="4">
        <v>37622</v>
      </c>
      <c r="C186" s="5">
        <v>0</v>
      </c>
      <c r="D186" s="5">
        <v>0</v>
      </c>
      <c r="E186" s="5">
        <v>0</v>
      </c>
      <c r="F186" s="5" t="s">
        <v>82</v>
      </c>
      <c r="G186" s="5" t="s">
        <v>82</v>
      </c>
      <c r="H186" s="5">
        <v>6721</v>
      </c>
      <c r="I186" s="5">
        <v>12451</v>
      </c>
      <c r="J186" s="5">
        <v>3094</v>
      </c>
      <c r="K186" s="5">
        <v>10285</v>
      </c>
      <c r="L186" s="5"/>
      <c r="M186" s="5">
        <v>31397</v>
      </c>
      <c r="N186" s="5">
        <v>2935</v>
      </c>
      <c r="O186" s="5"/>
      <c r="P186" s="5">
        <v>1902</v>
      </c>
      <c r="Q186" s="5">
        <v>8305</v>
      </c>
      <c r="R186" s="5">
        <v>599</v>
      </c>
      <c r="S186" s="5">
        <v>8002</v>
      </c>
      <c r="T186" s="5">
        <v>9822</v>
      </c>
      <c r="U186" s="5"/>
      <c r="V186" s="5"/>
      <c r="W186" s="5">
        <v>477</v>
      </c>
      <c r="X186" s="5">
        <v>7472</v>
      </c>
      <c r="Y186" s="5">
        <v>477</v>
      </c>
      <c r="Z186" s="5">
        <v>24</v>
      </c>
      <c r="AA186" s="155"/>
      <c r="AB186" s="5">
        <v>7</v>
      </c>
      <c r="AC186" s="5">
        <v>57</v>
      </c>
      <c r="AD186" s="5">
        <v>21</v>
      </c>
      <c r="AE186" s="5">
        <v>25</v>
      </c>
      <c r="AF186" s="5">
        <v>33</v>
      </c>
      <c r="AG186" s="5">
        <v>44</v>
      </c>
      <c r="AH186" s="5"/>
      <c r="AI186" s="5"/>
      <c r="AJ186" s="5">
        <v>3</v>
      </c>
      <c r="AK186" s="5">
        <v>5906</v>
      </c>
      <c r="AL186" s="5">
        <v>83867</v>
      </c>
      <c r="AM186" s="5">
        <v>3379</v>
      </c>
      <c r="AN186" s="5">
        <v>11025</v>
      </c>
      <c r="AO186" s="5">
        <v>35</v>
      </c>
      <c r="AP186" s="5">
        <v>10</v>
      </c>
      <c r="AQ186" s="5">
        <v>95</v>
      </c>
      <c r="AR186" s="5">
        <v>6</v>
      </c>
      <c r="AS186" s="5">
        <v>1242</v>
      </c>
      <c r="AT186" s="5" t="s">
        <v>82</v>
      </c>
      <c r="AU186" s="5">
        <v>2789</v>
      </c>
      <c r="AV186" s="5">
        <v>2038</v>
      </c>
      <c r="AW186" s="5">
        <v>2967</v>
      </c>
      <c r="AX186" s="5">
        <v>7747</v>
      </c>
      <c r="AY186" s="155"/>
      <c r="AZ186" s="155"/>
      <c r="BA186" s="155">
        <v>134</v>
      </c>
      <c r="BB186" s="155"/>
      <c r="BC186" s="5">
        <v>421</v>
      </c>
      <c r="BD186" s="5"/>
      <c r="BE186" s="5">
        <v>93</v>
      </c>
      <c r="BF186" s="5">
        <v>285</v>
      </c>
      <c r="BG186" s="5">
        <v>504</v>
      </c>
      <c r="BH186" s="5">
        <v>3</v>
      </c>
      <c r="BI186" s="5">
        <v>1</v>
      </c>
      <c r="BJ186" s="5">
        <v>7249</v>
      </c>
      <c r="BK186" s="5">
        <v>38</v>
      </c>
      <c r="BL186" s="5">
        <v>3371</v>
      </c>
      <c r="BM186" s="5"/>
      <c r="BN186" s="5">
        <v>324</v>
      </c>
      <c r="BO186" s="5">
        <v>68</v>
      </c>
      <c r="BP186" s="5">
        <v>47</v>
      </c>
      <c r="BQ186" s="5">
        <v>36089</v>
      </c>
      <c r="BR186" s="5">
        <v>9175</v>
      </c>
      <c r="BS186" s="5">
        <v>80</v>
      </c>
      <c r="BT186" s="5">
        <v>1955</v>
      </c>
      <c r="BU186" s="5">
        <v>226</v>
      </c>
      <c r="BV186" s="5"/>
      <c r="BW186" s="5">
        <v>4</v>
      </c>
      <c r="BX186" s="5">
        <v>124</v>
      </c>
      <c r="BY186" s="5"/>
      <c r="BZ186" s="5">
        <v>46</v>
      </c>
      <c r="CA186" s="5">
        <v>0</v>
      </c>
      <c r="CB186" s="5">
        <v>6934</v>
      </c>
      <c r="CC186" s="5">
        <v>13662</v>
      </c>
      <c r="CD186" s="5">
        <v>87599</v>
      </c>
      <c r="CE186" s="5">
        <v>140788</v>
      </c>
      <c r="CF186" s="5">
        <v>16352</v>
      </c>
      <c r="CG186" s="5">
        <v>15285</v>
      </c>
      <c r="CH186" s="5">
        <v>0</v>
      </c>
      <c r="CI186" s="5">
        <v>11</v>
      </c>
      <c r="CJ186" s="5">
        <v>23</v>
      </c>
      <c r="CK186" s="5">
        <v>89</v>
      </c>
      <c r="CL186" s="5"/>
      <c r="CM186" s="5"/>
      <c r="CN186" s="5"/>
      <c r="CO186" s="5"/>
      <c r="CP186" s="5"/>
      <c r="CQ186" s="5"/>
      <c r="CR186" s="5"/>
      <c r="CS186" s="5"/>
      <c r="CT186" s="5" t="s">
        <v>82</v>
      </c>
      <c r="CU186" s="5" t="s">
        <v>82</v>
      </c>
      <c r="CV186" s="5" t="s">
        <v>82</v>
      </c>
      <c r="CW186" s="5">
        <v>0</v>
      </c>
      <c r="CX186" s="5">
        <v>0</v>
      </c>
      <c r="CY186" s="5">
        <v>0</v>
      </c>
      <c r="DA186" s="6"/>
      <c r="DC186" s="6"/>
      <c r="DD186" s="6">
        <f t="shared" si="35"/>
        <v>340425</v>
      </c>
      <c r="DE186" s="6">
        <f t="shared" si="36"/>
        <v>193129</v>
      </c>
      <c r="DF186" s="16">
        <f t="shared" si="37"/>
        <v>533554</v>
      </c>
      <c r="DK186" s="6">
        <f t="shared" si="38"/>
        <v>61089</v>
      </c>
      <c r="DL186" s="6">
        <f t="shared" si="39"/>
        <v>103425</v>
      </c>
      <c r="DM186" s="6">
        <f t="shared" si="49"/>
        <v>9822</v>
      </c>
      <c r="DN186" s="6">
        <f t="shared" si="50"/>
        <v>18927</v>
      </c>
      <c r="DO186" s="6">
        <f t="shared" si="40"/>
        <v>261708</v>
      </c>
      <c r="DP186" s="6">
        <f t="shared" si="48"/>
        <v>38464</v>
      </c>
      <c r="DQ186" s="6"/>
      <c r="DR186" s="6">
        <f t="shared" si="41"/>
        <v>13673</v>
      </c>
      <c r="DS186" s="6">
        <f t="shared" si="42"/>
        <v>47</v>
      </c>
      <c r="DT186" s="6">
        <f t="shared" si="43"/>
        <v>11248</v>
      </c>
      <c r="DU186" s="6"/>
      <c r="DV186" s="6"/>
      <c r="DW186" s="6">
        <f t="shared" si="44"/>
        <v>518403</v>
      </c>
      <c r="DY186" s="6">
        <f t="shared" si="45"/>
        <v>320792</v>
      </c>
      <c r="DZ186" s="6">
        <f t="shared" si="46"/>
        <v>32551</v>
      </c>
      <c r="EB186" s="6">
        <f t="shared" si="47"/>
        <v>566105</v>
      </c>
      <c r="EC186" s="6"/>
      <c r="ED186" s="6"/>
      <c r="EF186" s="6"/>
      <c r="EG186" s="6"/>
    </row>
    <row r="187" spans="2:138" ht="14">
      <c r="B187" s="4">
        <v>37653</v>
      </c>
      <c r="C187" s="5">
        <v>0</v>
      </c>
      <c r="D187" s="5">
        <v>0</v>
      </c>
      <c r="E187" s="5">
        <v>0</v>
      </c>
      <c r="F187" s="5" t="s">
        <v>82</v>
      </c>
      <c r="G187" s="5" t="s">
        <v>82</v>
      </c>
      <c r="H187" s="5">
        <v>6937</v>
      </c>
      <c r="I187" s="5">
        <v>12674</v>
      </c>
      <c r="J187" s="5">
        <v>3099</v>
      </c>
      <c r="K187" s="5">
        <v>10206</v>
      </c>
      <c r="L187" s="5"/>
      <c r="M187" s="5">
        <v>31446</v>
      </c>
      <c r="N187" s="5">
        <v>2927</v>
      </c>
      <c r="O187" s="5"/>
      <c r="P187" s="5">
        <v>1861</v>
      </c>
      <c r="Q187" s="5">
        <v>8295</v>
      </c>
      <c r="R187" s="5">
        <v>596</v>
      </c>
      <c r="S187" s="5">
        <v>7929</v>
      </c>
      <c r="T187" s="5">
        <v>9786</v>
      </c>
      <c r="U187" s="5"/>
      <c r="V187" s="5"/>
      <c r="W187" s="5">
        <v>451</v>
      </c>
      <c r="X187" s="5">
        <v>7644</v>
      </c>
      <c r="Y187" s="5">
        <v>479</v>
      </c>
      <c r="Z187" s="5">
        <v>24</v>
      </c>
      <c r="AA187" s="155"/>
      <c r="AB187" s="5">
        <v>6</v>
      </c>
      <c r="AC187" s="5">
        <v>60</v>
      </c>
      <c r="AD187" s="5">
        <v>21</v>
      </c>
      <c r="AE187" s="5">
        <v>26</v>
      </c>
      <c r="AF187" s="5">
        <v>30</v>
      </c>
      <c r="AG187" s="5">
        <v>44</v>
      </c>
      <c r="AH187" s="5"/>
      <c r="AI187" s="5"/>
      <c r="AJ187" s="5">
        <v>3</v>
      </c>
      <c r="AK187" s="5">
        <v>6030</v>
      </c>
      <c r="AL187" s="5">
        <v>84283</v>
      </c>
      <c r="AM187" s="5">
        <v>3346</v>
      </c>
      <c r="AN187" s="5">
        <v>11083</v>
      </c>
      <c r="AO187" s="5">
        <v>33</v>
      </c>
      <c r="AP187" s="5">
        <v>10</v>
      </c>
      <c r="AQ187" s="5">
        <v>624</v>
      </c>
      <c r="AR187" s="5">
        <v>0</v>
      </c>
      <c r="AS187" s="5">
        <v>1220</v>
      </c>
      <c r="AT187" s="5" t="s">
        <v>82</v>
      </c>
      <c r="AU187" s="5">
        <v>2808</v>
      </c>
      <c r="AV187" s="5">
        <v>2042</v>
      </c>
      <c r="AW187" s="5">
        <v>2976</v>
      </c>
      <c r="AX187" s="5">
        <v>7840</v>
      </c>
      <c r="AY187" s="155"/>
      <c r="AZ187" s="155"/>
      <c r="BA187" s="155">
        <v>136</v>
      </c>
      <c r="BB187" s="155"/>
      <c r="BC187" s="5">
        <v>404</v>
      </c>
      <c r="BD187" s="5"/>
      <c r="BE187" s="5">
        <v>88</v>
      </c>
      <c r="BF187" s="5">
        <v>261</v>
      </c>
      <c r="BG187" s="5">
        <v>499</v>
      </c>
      <c r="BH187" s="5">
        <v>3</v>
      </c>
      <c r="BI187" s="5">
        <v>1</v>
      </c>
      <c r="BJ187" s="5">
        <v>7341</v>
      </c>
      <c r="BK187" s="5">
        <v>39</v>
      </c>
      <c r="BL187" s="5">
        <v>3365</v>
      </c>
      <c r="BM187" s="5"/>
      <c r="BN187" s="5">
        <v>292</v>
      </c>
      <c r="BO187" s="5">
        <v>71</v>
      </c>
      <c r="BP187" s="5">
        <v>122</v>
      </c>
      <c r="BQ187" s="5">
        <v>36992</v>
      </c>
      <c r="BR187" s="5">
        <v>9082</v>
      </c>
      <c r="BS187" s="5">
        <v>81</v>
      </c>
      <c r="BT187" s="5">
        <v>2062</v>
      </c>
      <c r="BU187" s="5">
        <v>208</v>
      </c>
      <c r="BV187" s="5"/>
      <c r="BW187" s="5">
        <v>5</v>
      </c>
      <c r="BX187" s="5">
        <v>123</v>
      </c>
      <c r="BY187" s="5"/>
      <c r="BZ187" s="5">
        <v>39</v>
      </c>
      <c r="CA187" s="5">
        <v>0</v>
      </c>
      <c r="CB187" s="5">
        <v>7624</v>
      </c>
      <c r="CC187" s="5">
        <v>14065</v>
      </c>
      <c r="CD187" s="5">
        <v>89355</v>
      </c>
      <c r="CE187" s="5">
        <v>143350</v>
      </c>
      <c r="CF187" s="5">
        <v>16411</v>
      </c>
      <c r="CG187" s="5">
        <v>16508</v>
      </c>
      <c r="CH187" s="5">
        <v>0</v>
      </c>
      <c r="CI187" s="5">
        <v>11</v>
      </c>
      <c r="CJ187" s="5">
        <v>21</v>
      </c>
      <c r="CK187" s="5">
        <v>90</v>
      </c>
      <c r="CL187" s="5"/>
      <c r="CM187" s="5"/>
      <c r="CN187" s="5"/>
      <c r="CO187" s="5"/>
      <c r="CP187" s="5"/>
      <c r="CQ187" s="5"/>
      <c r="CR187" s="5"/>
      <c r="CS187" s="5"/>
      <c r="CT187" s="5" t="s">
        <v>82</v>
      </c>
      <c r="CU187" s="5" t="s">
        <v>82</v>
      </c>
      <c r="CV187" s="5" t="s">
        <v>82</v>
      </c>
      <c r="CW187" s="5">
        <v>0</v>
      </c>
      <c r="CX187" s="5">
        <v>0</v>
      </c>
      <c r="CY187" s="5">
        <v>0</v>
      </c>
      <c r="DA187" s="6"/>
      <c r="DC187" s="6"/>
      <c r="DD187" s="6">
        <f t="shared" si="35"/>
        <v>348109</v>
      </c>
      <c r="DE187" s="6">
        <f t="shared" si="36"/>
        <v>194327</v>
      </c>
      <c r="DF187" s="16">
        <f t="shared" si="37"/>
        <v>542436</v>
      </c>
      <c r="DK187" s="6">
        <f t="shared" si="38"/>
        <v>61149</v>
      </c>
      <c r="DL187" s="6">
        <f t="shared" si="39"/>
        <v>103927</v>
      </c>
      <c r="DM187" s="6">
        <f t="shared" si="49"/>
        <v>9786</v>
      </c>
      <c r="DN187" s="6">
        <f t="shared" si="50"/>
        <v>19601</v>
      </c>
      <c r="DO187" s="6">
        <f t="shared" si="40"/>
        <v>266638</v>
      </c>
      <c r="DP187" s="6">
        <f t="shared" si="48"/>
        <v>39437</v>
      </c>
      <c r="DQ187" s="6"/>
      <c r="DR187" s="6">
        <f t="shared" si="41"/>
        <v>14076</v>
      </c>
      <c r="DS187" s="6">
        <f t="shared" si="42"/>
        <v>122</v>
      </c>
      <c r="DT187" s="6">
        <f t="shared" si="43"/>
        <v>11328</v>
      </c>
      <c r="DU187" s="6"/>
      <c r="DV187" s="6"/>
      <c r="DW187" s="6">
        <f t="shared" si="44"/>
        <v>526064</v>
      </c>
      <c r="DY187" s="6">
        <f t="shared" si="45"/>
        <v>327390</v>
      </c>
      <c r="DZ187" s="6">
        <f t="shared" si="46"/>
        <v>32916</v>
      </c>
      <c r="EB187" s="6">
        <f t="shared" si="47"/>
        <v>575352</v>
      </c>
      <c r="EC187" s="6"/>
      <c r="ED187" s="6"/>
      <c r="EF187" s="6"/>
      <c r="EG187" s="6"/>
    </row>
    <row r="188" spans="2:138" ht="14">
      <c r="B188" s="4">
        <v>37681</v>
      </c>
      <c r="C188" s="5">
        <v>0</v>
      </c>
      <c r="D188" s="5">
        <v>0</v>
      </c>
      <c r="E188" s="5">
        <v>0</v>
      </c>
      <c r="F188" s="5" t="s">
        <v>82</v>
      </c>
      <c r="G188" s="5" t="s">
        <v>82</v>
      </c>
      <c r="H188" s="5">
        <v>7121</v>
      </c>
      <c r="I188" s="5">
        <v>12948</v>
      </c>
      <c r="J188" s="5">
        <v>3052</v>
      </c>
      <c r="K188" s="5">
        <v>10000</v>
      </c>
      <c r="L188" s="5"/>
      <c r="M188" s="5">
        <v>31369</v>
      </c>
      <c r="N188" s="5">
        <v>2915</v>
      </c>
      <c r="O188" s="5"/>
      <c r="P188" s="5">
        <v>1849</v>
      </c>
      <c r="Q188" s="5">
        <v>8284</v>
      </c>
      <c r="R188" s="5">
        <v>595</v>
      </c>
      <c r="S188" s="5">
        <v>7860</v>
      </c>
      <c r="T188" s="5">
        <v>9748</v>
      </c>
      <c r="U188" s="5"/>
      <c r="V188" s="5"/>
      <c r="W188" s="5">
        <v>422</v>
      </c>
      <c r="X188" s="5">
        <v>7766</v>
      </c>
      <c r="Y188" s="5">
        <v>475</v>
      </c>
      <c r="Z188" s="5">
        <v>26</v>
      </c>
      <c r="AA188" s="155"/>
      <c r="AB188" s="5">
        <v>7</v>
      </c>
      <c r="AC188" s="5">
        <v>62</v>
      </c>
      <c r="AD188" s="5">
        <v>18</v>
      </c>
      <c r="AE188" s="5">
        <v>26</v>
      </c>
      <c r="AF188" s="5">
        <v>30</v>
      </c>
      <c r="AG188" s="5">
        <v>47</v>
      </c>
      <c r="AH188" s="5"/>
      <c r="AI188" s="5"/>
      <c r="AJ188" s="5">
        <v>3</v>
      </c>
      <c r="AK188" s="5">
        <v>6122</v>
      </c>
      <c r="AL188" s="5">
        <v>84206</v>
      </c>
      <c r="AM188" s="5">
        <v>3368</v>
      </c>
      <c r="AN188" s="5">
        <v>11190</v>
      </c>
      <c r="AO188" s="5">
        <v>35</v>
      </c>
      <c r="AP188" s="5">
        <v>11</v>
      </c>
      <c r="AQ188" s="5">
        <v>1762</v>
      </c>
      <c r="AR188" s="5">
        <v>0</v>
      </c>
      <c r="AS188" s="5">
        <v>1210</v>
      </c>
      <c r="AT188" s="5" t="s">
        <v>82</v>
      </c>
      <c r="AU188" s="5">
        <v>2821</v>
      </c>
      <c r="AV188" s="5">
        <v>2044</v>
      </c>
      <c r="AW188" s="5">
        <v>2984</v>
      </c>
      <c r="AX188" s="5">
        <v>7847</v>
      </c>
      <c r="AY188" s="155"/>
      <c r="AZ188" s="155"/>
      <c r="BA188" s="155">
        <v>144</v>
      </c>
      <c r="BB188" s="155"/>
      <c r="BC188" s="5">
        <v>400</v>
      </c>
      <c r="BD188" s="5"/>
      <c r="BE188" s="5">
        <v>76</v>
      </c>
      <c r="BF188" s="5">
        <v>238</v>
      </c>
      <c r="BG188" s="5">
        <v>502</v>
      </c>
      <c r="BH188" s="5">
        <v>3</v>
      </c>
      <c r="BI188" s="5">
        <v>1</v>
      </c>
      <c r="BJ188" s="5">
        <v>7351</v>
      </c>
      <c r="BK188" s="5">
        <v>40</v>
      </c>
      <c r="BL188" s="5">
        <v>3328</v>
      </c>
      <c r="BM188" s="5"/>
      <c r="BN188" s="5">
        <v>275</v>
      </c>
      <c r="BO188" s="5">
        <v>74</v>
      </c>
      <c r="BP188" s="5">
        <v>199</v>
      </c>
      <c r="BQ188" s="5">
        <v>36807</v>
      </c>
      <c r="BR188" s="5">
        <v>8685</v>
      </c>
      <c r="BS188" s="5">
        <v>78</v>
      </c>
      <c r="BT188" s="5">
        <v>2165</v>
      </c>
      <c r="BU188" s="5">
        <v>205</v>
      </c>
      <c r="BV188" s="5"/>
      <c r="BW188" s="5">
        <v>7</v>
      </c>
      <c r="BX188" s="5">
        <v>119</v>
      </c>
      <c r="BY188" s="5"/>
      <c r="BZ188" s="5">
        <v>35</v>
      </c>
      <c r="CA188" s="5">
        <v>0</v>
      </c>
      <c r="CB188" s="5">
        <v>8118</v>
      </c>
      <c r="CC188" s="5">
        <v>14011</v>
      </c>
      <c r="CD188" s="5">
        <v>89916</v>
      </c>
      <c r="CE188" s="5">
        <v>144174</v>
      </c>
      <c r="CF188" s="5">
        <v>16370</v>
      </c>
      <c r="CG188" s="5">
        <v>17410</v>
      </c>
      <c r="CH188" s="5">
        <v>0</v>
      </c>
      <c r="CI188" s="5">
        <v>8</v>
      </c>
      <c r="CJ188" s="5">
        <v>20</v>
      </c>
      <c r="CK188" s="5">
        <v>84</v>
      </c>
      <c r="CL188" s="5"/>
      <c r="CM188" s="5"/>
      <c r="CN188" s="5"/>
      <c r="CO188" s="5"/>
      <c r="CP188" s="5"/>
      <c r="CQ188" s="5"/>
      <c r="CR188" s="5"/>
      <c r="CS188" s="5"/>
      <c r="CT188" s="5" t="s">
        <v>82</v>
      </c>
      <c r="CU188" s="5" t="s">
        <v>82</v>
      </c>
      <c r="CV188" s="5" t="s">
        <v>82</v>
      </c>
      <c r="CW188" s="5">
        <v>0</v>
      </c>
      <c r="CX188" s="5">
        <v>0</v>
      </c>
      <c r="CY188" s="5">
        <v>0</v>
      </c>
      <c r="DA188" s="6"/>
      <c r="DC188" s="6"/>
      <c r="DD188" s="6">
        <f t="shared" si="35"/>
        <v>350299</v>
      </c>
      <c r="DE188" s="6">
        <f t="shared" si="36"/>
        <v>195502</v>
      </c>
      <c r="DF188" s="16">
        <f t="shared" si="37"/>
        <v>545801</v>
      </c>
      <c r="DK188" s="6">
        <f t="shared" si="38"/>
        <v>61060</v>
      </c>
      <c r="DL188" s="6">
        <f t="shared" si="39"/>
        <v>103981</v>
      </c>
      <c r="DM188" s="6">
        <f t="shared" si="49"/>
        <v>9748</v>
      </c>
      <c r="DN188" s="6">
        <f t="shared" si="50"/>
        <v>20857</v>
      </c>
      <c r="DO188" s="6">
        <f t="shared" si="40"/>
        <v>268045</v>
      </c>
      <c r="DP188" s="6">
        <f t="shared" si="48"/>
        <v>39326</v>
      </c>
      <c r="DQ188" s="6"/>
      <c r="DR188" s="6">
        <f t="shared" si="41"/>
        <v>14019</v>
      </c>
      <c r="DS188" s="6">
        <f t="shared" si="42"/>
        <v>199</v>
      </c>
      <c r="DT188" s="6">
        <f t="shared" si="43"/>
        <v>11300</v>
      </c>
      <c r="DU188" s="6"/>
      <c r="DV188" s="6"/>
      <c r="DW188" s="6">
        <f t="shared" si="44"/>
        <v>528535</v>
      </c>
      <c r="DY188" s="6">
        <f t="shared" si="45"/>
        <v>329876</v>
      </c>
      <c r="DZ188" s="6">
        <f t="shared" si="46"/>
        <v>33121</v>
      </c>
      <c r="EB188" s="6">
        <f t="shared" si="47"/>
        <v>578922</v>
      </c>
      <c r="EC188" s="6"/>
      <c r="ED188" s="6"/>
      <c r="EF188" s="6"/>
      <c r="EG188" s="6"/>
    </row>
    <row r="189" spans="2:138" ht="14">
      <c r="B189" s="4">
        <v>37712</v>
      </c>
      <c r="C189" s="5">
        <v>0</v>
      </c>
      <c r="D189" s="5">
        <v>0</v>
      </c>
      <c r="E189" s="5">
        <v>0</v>
      </c>
      <c r="F189" s="5" t="s">
        <v>82</v>
      </c>
      <c r="G189" s="5" t="s">
        <v>82</v>
      </c>
      <c r="H189" s="5">
        <v>7251</v>
      </c>
      <c r="I189" s="5">
        <v>13117</v>
      </c>
      <c r="J189" s="5">
        <v>3021</v>
      </c>
      <c r="K189" s="5">
        <v>9537</v>
      </c>
      <c r="L189" s="5"/>
      <c r="M189" s="5">
        <v>31328</v>
      </c>
      <c r="N189" s="5">
        <v>2906</v>
      </c>
      <c r="O189" s="5"/>
      <c r="P189" s="5">
        <v>1781</v>
      </c>
      <c r="Q189" s="5">
        <v>8329</v>
      </c>
      <c r="R189" s="5">
        <v>590</v>
      </c>
      <c r="S189" s="5">
        <v>7731</v>
      </c>
      <c r="T189" s="5">
        <v>9701</v>
      </c>
      <c r="U189" s="5"/>
      <c r="V189" s="5"/>
      <c r="W189" s="5">
        <v>422</v>
      </c>
      <c r="X189" s="5">
        <v>7938</v>
      </c>
      <c r="Y189" s="5">
        <v>465</v>
      </c>
      <c r="Z189" s="5">
        <v>27</v>
      </c>
      <c r="AA189" s="155"/>
      <c r="AB189" s="5">
        <v>7</v>
      </c>
      <c r="AC189" s="5">
        <v>61</v>
      </c>
      <c r="AD189" s="5">
        <v>17</v>
      </c>
      <c r="AE189" s="5">
        <v>27</v>
      </c>
      <c r="AF189" s="5">
        <v>30</v>
      </c>
      <c r="AG189" s="5">
        <v>47</v>
      </c>
      <c r="AH189" s="5"/>
      <c r="AI189" s="5"/>
      <c r="AJ189" s="5">
        <v>4</v>
      </c>
      <c r="AK189" s="5">
        <v>6245</v>
      </c>
      <c r="AL189" s="5">
        <v>84006</v>
      </c>
      <c r="AM189" s="5">
        <v>3344</v>
      </c>
      <c r="AN189" s="5">
        <v>11244</v>
      </c>
      <c r="AO189" s="5">
        <v>39</v>
      </c>
      <c r="AP189" s="5">
        <v>9</v>
      </c>
      <c r="AQ189" s="5">
        <v>2353</v>
      </c>
      <c r="AR189" s="5">
        <v>0</v>
      </c>
      <c r="AS189" s="5">
        <v>1204</v>
      </c>
      <c r="AT189" s="5" t="s">
        <v>82</v>
      </c>
      <c r="AU189" s="5">
        <v>2843</v>
      </c>
      <c r="AV189" s="5">
        <v>2050</v>
      </c>
      <c r="AW189" s="5">
        <v>2953</v>
      </c>
      <c r="AX189" s="5">
        <v>7857</v>
      </c>
      <c r="AY189" s="155"/>
      <c r="AZ189" s="155"/>
      <c r="BA189" s="155">
        <v>152</v>
      </c>
      <c r="BB189" s="155"/>
      <c r="BC189" s="5">
        <v>379</v>
      </c>
      <c r="BD189" s="5"/>
      <c r="BE189" s="5">
        <v>62</v>
      </c>
      <c r="BF189" s="5">
        <v>190</v>
      </c>
      <c r="BG189" s="5">
        <v>498</v>
      </c>
      <c r="BH189" s="5">
        <v>2</v>
      </c>
      <c r="BI189" s="5">
        <v>1</v>
      </c>
      <c r="BJ189" s="5">
        <v>7404</v>
      </c>
      <c r="BK189" s="5">
        <v>39</v>
      </c>
      <c r="BL189" s="5">
        <v>3333</v>
      </c>
      <c r="BM189" s="5"/>
      <c r="BN189" s="5">
        <v>246</v>
      </c>
      <c r="BO189" s="5">
        <v>74</v>
      </c>
      <c r="BP189" s="5">
        <v>301</v>
      </c>
      <c r="BQ189" s="5">
        <v>36703</v>
      </c>
      <c r="BR189" s="5">
        <v>8130</v>
      </c>
      <c r="BS189" s="5">
        <v>79</v>
      </c>
      <c r="BT189" s="5">
        <v>2306</v>
      </c>
      <c r="BU189" s="5">
        <v>174</v>
      </c>
      <c r="BV189" s="5"/>
      <c r="BW189" s="5">
        <v>8</v>
      </c>
      <c r="BX189" s="5">
        <v>119</v>
      </c>
      <c r="BY189" s="5"/>
      <c r="BZ189" s="5">
        <v>34</v>
      </c>
      <c r="CA189" s="5">
        <v>0</v>
      </c>
      <c r="CB189" s="5">
        <v>8647</v>
      </c>
      <c r="CC189" s="5">
        <v>14275</v>
      </c>
      <c r="CD189" s="5">
        <v>90900</v>
      </c>
      <c r="CE189" s="5">
        <v>145281</v>
      </c>
      <c r="CF189" s="5">
        <v>16374</v>
      </c>
      <c r="CG189" s="5">
        <v>18368</v>
      </c>
      <c r="CH189" s="5">
        <v>0</v>
      </c>
      <c r="CI189" s="5">
        <v>9</v>
      </c>
      <c r="CJ189" s="5">
        <v>20</v>
      </c>
      <c r="CK189" s="5">
        <v>84</v>
      </c>
      <c r="CL189" s="5"/>
      <c r="CM189" s="5"/>
      <c r="CN189" s="5"/>
      <c r="CO189" s="5"/>
      <c r="CP189" s="5"/>
      <c r="CQ189" s="5"/>
      <c r="CR189" s="5"/>
      <c r="CS189" s="5"/>
      <c r="CT189" s="5" t="s">
        <v>82</v>
      </c>
      <c r="CU189" s="5" t="s">
        <v>82</v>
      </c>
      <c r="CV189" s="5" t="s">
        <v>82</v>
      </c>
      <c r="CW189" s="5">
        <v>0</v>
      </c>
      <c r="CX189" s="5">
        <v>0</v>
      </c>
      <c r="CY189" s="5">
        <v>0</v>
      </c>
      <c r="DA189" s="6"/>
      <c r="DC189" s="6"/>
      <c r="DD189" s="6">
        <f t="shared" si="35"/>
        <v>353661</v>
      </c>
      <c r="DE189" s="6">
        <f t="shared" si="36"/>
        <v>195937</v>
      </c>
      <c r="DF189" s="16">
        <f t="shared" si="37"/>
        <v>549598</v>
      </c>
      <c r="DK189" s="6">
        <f t="shared" si="38"/>
        <v>61025</v>
      </c>
      <c r="DL189" s="6">
        <f t="shared" si="39"/>
        <v>103853</v>
      </c>
      <c r="DM189" s="6">
        <f t="shared" si="49"/>
        <v>9701</v>
      </c>
      <c r="DN189" s="6">
        <f t="shared" si="50"/>
        <v>21510</v>
      </c>
      <c r="DO189" s="6">
        <f t="shared" si="40"/>
        <v>270035</v>
      </c>
      <c r="DP189" s="6">
        <f t="shared" si="48"/>
        <v>39319</v>
      </c>
      <c r="DQ189" s="6"/>
      <c r="DR189" s="6">
        <f t="shared" si="41"/>
        <v>14284</v>
      </c>
      <c r="DS189" s="6">
        <f t="shared" si="42"/>
        <v>301</v>
      </c>
      <c r="DT189" s="6">
        <f t="shared" si="43"/>
        <v>11354</v>
      </c>
      <c r="DU189" s="6"/>
      <c r="DV189" s="6"/>
      <c r="DW189" s="6">
        <f t="shared" si="44"/>
        <v>531382</v>
      </c>
      <c r="DY189" s="6">
        <f t="shared" si="45"/>
        <v>332683</v>
      </c>
      <c r="DZ189" s="6">
        <f t="shared" si="46"/>
        <v>32926</v>
      </c>
      <c r="EB189" s="6">
        <f t="shared" si="47"/>
        <v>582524</v>
      </c>
      <c r="EC189" s="6"/>
      <c r="ED189" s="6"/>
      <c r="EF189" s="6"/>
      <c r="EG189" s="6"/>
    </row>
    <row r="190" spans="2:138" ht="14">
      <c r="B190" s="4">
        <v>37742</v>
      </c>
      <c r="C190" s="5">
        <v>0</v>
      </c>
      <c r="D190" s="5">
        <v>0</v>
      </c>
      <c r="E190" s="5">
        <v>0</v>
      </c>
      <c r="F190" s="5" t="s">
        <v>82</v>
      </c>
      <c r="G190" s="5" t="s">
        <v>82</v>
      </c>
      <c r="H190" s="5">
        <v>7351</v>
      </c>
      <c r="I190" s="5">
        <v>13297</v>
      </c>
      <c r="J190" s="5">
        <v>2977</v>
      </c>
      <c r="K190" s="5">
        <v>9079</v>
      </c>
      <c r="L190" s="5"/>
      <c r="M190" s="5">
        <v>31325</v>
      </c>
      <c r="N190" s="5">
        <v>2906</v>
      </c>
      <c r="O190" s="5"/>
      <c r="P190" s="5">
        <v>1781</v>
      </c>
      <c r="Q190" s="5">
        <v>8411</v>
      </c>
      <c r="R190" s="5">
        <v>585</v>
      </c>
      <c r="S190" s="5">
        <v>7747</v>
      </c>
      <c r="T190" s="5">
        <v>9721</v>
      </c>
      <c r="U190" s="5"/>
      <c r="V190" s="5"/>
      <c r="W190" s="5">
        <v>425</v>
      </c>
      <c r="X190" s="5">
        <v>8165</v>
      </c>
      <c r="Y190" s="5">
        <v>464</v>
      </c>
      <c r="Z190" s="5">
        <v>26</v>
      </c>
      <c r="AA190" s="155"/>
      <c r="AB190" s="5">
        <v>7</v>
      </c>
      <c r="AC190" s="5">
        <v>61</v>
      </c>
      <c r="AD190" s="5">
        <v>15</v>
      </c>
      <c r="AE190" s="5">
        <v>28</v>
      </c>
      <c r="AF190" s="5">
        <v>29</v>
      </c>
      <c r="AG190" s="5">
        <v>48</v>
      </c>
      <c r="AH190" s="5"/>
      <c r="AI190" s="5"/>
      <c r="AJ190" s="5">
        <v>4</v>
      </c>
      <c r="AK190" s="5">
        <v>6410</v>
      </c>
      <c r="AL190" s="5">
        <v>84260</v>
      </c>
      <c r="AM190" s="5">
        <v>3363</v>
      </c>
      <c r="AN190" s="5">
        <v>11349</v>
      </c>
      <c r="AO190" s="5">
        <v>41</v>
      </c>
      <c r="AP190" s="5">
        <v>9</v>
      </c>
      <c r="AQ190" s="5">
        <v>2646</v>
      </c>
      <c r="AR190" s="5">
        <v>0</v>
      </c>
      <c r="AS190" s="5">
        <v>1241</v>
      </c>
      <c r="AT190" s="5" t="s">
        <v>82</v>
      </c>
      <c r="AU190" s="5">
        <v>2869</v>
      </c>
      <c r="AV190" s="5">
        <v>2046</v>
      </c>
      <c r="AW190" s="5">
        <v>2959</v>
      </c>
      <c r="AX190" s="5">
        <v>7875</v>
      </c>
      <c r="AY190" s="155"/>
      <c r="AZ190" s="155"/>
      <c r="BA190" s="155">
        <v>154</v>
      </c>
      <c r="BB190" s="155"/>
      <c r="BC190" s="5">
        <v>389</v>
      </c>
      <c r="BD190" s="5"/>
      <c r="BE190" s="5">
        <v>39</v>
      </c>
      <c r="BF190" s="5">
        <v>130</v>
      </c>
      <c r="BG190" s="5">
        <v>489</v>
      </c>
      <c r="BH190" s="5">
        <v>1</v>
      </c>
      <c r="BI190" s="5">
        <v>1</v>
      </c>
      <c r="BJ190" s="5">
        <v>7450</v>
      </c>
      <c r="BK190" s="5">
        <v>41</v>
      </c>
      <c r="BL190" s="5">
        <v>3290</v>
      </c>
      <c r="BM190" s="5"/>
      <c r="BN190" s="5">
        <v>211</v>
      </c>
      <c r="BO190" s="5">
        <v>75</v>
      </c>
      <c r="BP190" s="5">
        <v>414</v>
      </c>
      <c r="BQ190" s="5">
        <v>37054</v>
      </c>
      <c r="BR190" s="5">
        <v>7759</v>
      </c>
      <c r="BS190" s="5">
        <v>77</v>
      </c>
      <c r="BT190" s="5">
        <v>2362</v>
      </c>
      <c r="BU190" s="5">
        <v>164</v>
      </c>
      <c r="BV190" s="5"/>
      <c r="BW190" s="5">
        <v>4</v>
      </c>
      <c r="BX190" s="5">
        <v>116</v>
      </c>
      <c r="BY190" s="5"/>
      <c r="BZ190" s="5">
        <v>40</v>
      </c>
      <c r="CA190" s="5">
        <v>0</v>
      </c>
      <c r="CB190" s="5">
        <v>9353</v>
      </c>
      <c r="CC190" s="5">
        <v>14677</v>
      </c>
      <c r="CD190" s="5">
        <v>92356</v>
      </c>
      <c r="CE190" s="5">
        <v>147450</v>
      </c>
      <c r="CF190" s="5">
        <v>16476</v>
      </c>
      <c r="CG190" s="5">
        <v>19316</v>
      </c>
      <c r="CH190" s="5">
        <v>0</v>
      </c>
      <c r="CI190" s="5">
        <v>10</v>
      </c>
      <c r="CJ190" s="5">
        <v>20</v>
      </c>
      <c r="CK190" s="5">
        <v>86</v>
      </c>
      <c r="CL190" s="5"/>
      <c r="CM190" s="5"/>
      <c r="CN190" s="5"/>
      <c r="CO190" s="5"/>
      <c r="CP190" s="5"/>
      <c r="CQ190" s="5"/>
      <c r="CR190" s="5"/>
      <c r="CS190" s="5"/>
      <c r="CT190" s="5" t="s">
        <v>82</v>
      </c>
      <c r="CU190" s="5" t="s">
        <v>82</v>
      </c>
      <c r="CV190" s="5" t="s">
        <v>82</v>
      </c>
      <c r="CW190" s="5">
        <v>0</v>
      </c>
      <c r="CX190" s="5">
        <v>0</v>
      </c>
      <c r="CY190" s="5">
        <v>0</v>
      </c>
      <c r="DA190" s="6"/>
      <c r="DC190" s="6"/>
      <c r="DD190" s="6">
        <f t="shared" si="35"/>
        <v>359461</v>
      </c>
      <c r="DE190" s="6">
        <f t="shared" si="36"/>
        <v>197205</v>
      </c>
      <c r="DF190" s="16">
        <f t="shared" si="37"/>
        <v>556666</v>
      </c>
      <c r="DK190" s="6">
        <f t="shared" si="38"/>
        <v>61345</v>
      </c>
      <c r="DL190" s="6">
        <f t="shared" si="39"/>
        <v>104366</v>
      </c>
      <c r="DM190" s="6">
        <f t="shared" si="49"/>
        <v>9721</v>
      </c>
      <c r="DN190" s="6">
        <f t="shared" si="50"/>
        <v>21927</v>
      </c>
      <c r="DO190" s="6">
        <f t="shared" si="40"/>
        <v>274032</v>
      </c>
      <c r="DP190" s="6">
        <f t="shared" si="48"/>
        <v>39667</v>
      </c>
      <c r="DQ190" s="6"/>
      <c r="DR190" s="6">
        <f t="shared" si="41"/>
        <v>14687</v>
      </c>
      <c r="DS190" s="6">
        <f t="shared" si="42"/>
        <v>414</v>
      </c>
      <c r="DT190" s="6">
        <f t="shared" si="43"/>
        <v>11345</v>
      </c>
      <c r="DU190" s="6"/>
      <c r="DV190" s="6"/>
      <c r="DW190" s="6">
        <f t="shared" si="44"/>
        <v>537504</v>
      </c>
      <c r="DY190" s="6">
        <f t="shared" si="45"/>
        <v>337397</v>
      </c>
      <c r="DZ190" s="6">
        <f t="shared" si="46"/>
        <v>32704</v>
      </c>
      <c r="EB190" s="6">
        <f t="shared" si="47"/>
        <v>589370</v>
      </c>
      <c r="EC190" s="6"/>
      <c r="ED190" s="6"/>
      <c r="EF190" s="6"/>
      <c r="EG190" s="6"/>
    </row>
    <row r="191" spans="2:138" s="17" customFormat="1" ht="14">
      <c r="B191" s="11">
        <v>37773</v>
      </c>
      <c r="C191" s="12">
        <v>0</v>
      </c>
      <c r="D191" s="12">
        <v>0</v>
      </c>
      <c r="E191" s="12">
        <v>0</v>
      </c>
      <c r="F191" s="12" t="s">
        <v>82</v>
      </c>
      <c r="G191" s="12" t="s">
        <v>82</v>
      </c>
      <c r="H191" s="12">
        <v>7468</v>
      </c>
      <c r="I191" s="12">
        <v>13516</v>
      </c>
      <c r="J191" s="12">
        <v>2960</v>
      </c>
      <c r="K191" s="12">
        <v>8685</v>
      </c>
      <c r="L191" s="12"/>
      <c r="M191" s="12">
        <v>31316</v>
      </c>
      <c r="N191" s="12">
        <v>2896</v>
      </c>
      <c r="O191" s="12"/>
      <c r="P191" s="12">
        <v>1791</v>
      </c>
      <c r="Q191" s="12">
        <v>8454</v>
      </c>
      <c r="R191" s="12">
        <v>576</v>
      </c>
      <c r="S191" s="12">
        <v>7732</v>
      </c>
      <c r="T191" s="12">
        <v>9669</v>
      </c>
      <c r="U191" s="12"/>
      <c r="V191" s="12"/>
      <c r="W191" s="12">
        <v>411</v>
      </c>
      <c r="X191" s="12">
        <v>8325</v>
      </c>
      <c r="Y191" s="12">
        <v>464</v>
      </c>
      <c r="Z191" s="12">
        <v>26</v>
      </c>
      <c r="AA191" s="156"/>
      <c r="AB191" s="12">
        <v>6</v>
      </c>
      <c r="AC191" s="12">
        <v>59</v>
      </c>
      <c r="AD191" s="12">
        <v>15</v>
      </c>
      <c r="AE191" s="12">
        <v>27</v>
      </c>
      <c r="AF191" s="12">
        <v>30</v>
      </c>
      <c r="AG191" s="12">
        <v>50</v>
      </c>
      <c r="AH191" s="12"/>
      <c r="AI191" s="12"/>
      <c r="AJ191" s="12">
        <v>4</v>
      </c>
      <c r="AK191" s="12">
        <v>6501</v>
      </c>
      <c r="AL191" s="12">
        <v>84402</v>
      </c>
      <c r="AM191" s="12">
        <v>3361</v>
      </c>
      <c r="AN191" s="12">
        <v>11417</v>
      </c>
      <c r="AO191" s="12">
        <v>46</v>
      </c>
      <c r="AP191" s="12">
        <v>9</v>
      </c>
      <c r="AQ191" s="12">
        <v>2885</v>
      </c>
      <c r="AR191" s="12">
        <v>0</v>
      </c>
      <c r="AS191" s="12">
        <v>1261</v>
      </c>
      <c r="AT191" s="12" t="s">
        <v>82</v>
      </c>
      <c r="AU191" s="12">
        <v>2882</v>
      </c>
      <c r="AV191" s="12">
        <v>2028</v>
      </c>
      <c r="AW191" s="12">
        <v>2943</v>
      </c>
      <c r="AX191" s="12">
        <v>7873</v>
      </c>
      <c r="AY191" s="156"/>
      <c r="AZ191" s="156"/>
      <c r="BA191" s="156">
        <v>162</v>
      </c>
      <c r="BB191" s="156"/>
      <c r="BC191" s="12">
        <v>385</v>
      </c>
      <c r="BD191" s="12"/>
      <c r="BE191" s="12">
        <v>36</v>
      </c>
      <c r="BF191" s="12">
        <v>125</v>
      </c>
      <c r="BG191" s="12">
        <v>502</v>
      </c>
      <c r="BH191" s="12">
        <v>1</v>
      </c>
      <c r="BI191" s="12">
        <v>1</v>
      </c>
      <c r="BJ191" s="12">
        <v>7422</v>
      </c>
      <c r="BK191" s="12">
        <v>37</v>
      </c>
      <c r="BL191" s="12">
        <v>3242</v>
      </c>
      <c r="BM191" s="12"/>
      <c r="BN191" s="12">
        <v>253</v>
      </c>
      <c r="BO191" s="12">
        <v>75</v>
      </c>
      <c r="BP191" s="12">
        <v>476</v>
      </c>
      <c r="BQ191" s="12">
        <v>37076</v>
      </c>
      <c r="BR191" s="12">
        <v>7250</v>
      </c>
      <c r="BS191" s="12">
        <v>83</v>
      </c>
      <c r="BT191" s="12">
        <v>2389</v>
      </c>
      <c r="BU191" s="12">
        <v>134</v>
      </c>
      <c r="BV191" s="12"/>
      <c r="BW191" s="12">
        <v>7</v>
      </c>
      <c r="BX191" s="12">
        <v>114</v>
      </c>
      <c r="BY191" s="12"/>
      <c r="BZ191" s="12">
        <v>31</v>
      </c>
      <c r="CA191" s="12">
        <v>0</v>
      </c>
      <c r="CB191" s="12">
        <v>9974</v>
      </c>
      <c r="CC191" s="12">
        <v>14885</v>
      </c>
      <c r="CD191" s="12">
        <v>93410</v>
      </c>
      <c r="CE191" s="12">
        <v>148765</v>
      </c>
      <c r="CF191" s="12">
        <v>16384</v>
      </c>
      <c r="CG191" s="12">
        <v>20184</v>
      </c>
      <c r="CH191" s="12">
        <v>0</v>
      </c>
      <c r="CI191" s="12">
        <v>11</v>
      </c>
      <c r="CJ191" s="12">
        <v>19</v>
      </c>
      <c r="CK191" s="12">
        <v>81</v>
      </c>
      <c r="CL191" s="12"/>
      <c r="CM191" s="12"/>
      <c r="CN191" s="12"/>
      <c r="CO191" s="12"/>
      <c r="CP191" s="12"/>
      <c r="CQ191" s="12"/>
      <c r="CR191" s="12"/>
      <c r="CS191" s="12"/>
      <c r="CT191" s="12" t="s">
        <v>82</v>
      </c>
      <c r="CU191" s="12" t="s">
        <v>82</v>
      </c>
      <c r="CV191" s="12" t="s">
        <v>82</v>
      </c>
      <c r="CW191" s="12">
        <v>0</v>
      </c>
      <c r="CX191" s="12">
        <v>0</v>
      </c>
      <c r="CY191" s="12">
        <v>0</v>
      </c>
      <c r="CZ191"/>
      <c r="DA191" s="6"/>
      <c r="DB191"/>
      <c r="DC191" s="6"/>
      <c r="DD191" s="6">
        <f t="shared" si="35"/>
        <v>362967</v>
      </c>
      <c r="DE191" s="6">
        <f t="shared" si="36"/>
        <v>197844</v>
      </c>
      <c r="DF191" s="16">
        <f t="shared" si="37"/>
        <v>560811</v>
      </c>
      <c r="DG191"/>
      <c r="DH191" s="191"/>
      <c r="DI191" s="191"/>
      <c r="DJ191" s="191"/>
      <c r="DK191" s="6">
        <f t="shared" si="38"/>
        <v>61501</v>
      </c>
      <c r="DL191" s="6">
        <f t="shared" si="39"/>
        <v>104602</v>
      </c>
      <c r="DM191" s="6">
        <f t="shared" si="49"/>
        <v>9669</v>
      </c>
      <c r="DN191" s="6">
        <f t="shared" si="50"/>
        <v>22234</v>
      </c>
      <c r="DO191" s="6">
        <f t="shared" si="40"/>
        <v>276376</v>
      </c>
      <c r="DP191" s="6">
        <f t="shared" si="48"/>
        <v>39755</v>
      </c>
      <c r="DQ191" s="6"/>
      <c r="DR191" s="6">
        <f t="shared" si="41"/>
        <v>14896</v>
      </c>
      <c r="DS191" s="6">
        <f t="shared" si="42"/>
        <v>476</v>
      </c>
      <c r="DT191" s="6">
        <f t="shared" si="43"/>
        <v>11280</v>
      </c>
      <c r="DU191" s="6"/>
      <c r="DV191" s="6"/>
      <c r="DW191" s="6">
        <f t="shared" si="44"/>
        <v>540789</v>
      </c>
      <c r="DX191"/>
      <c r="DY191" s="6">
        <f t="shared" si="45"/>
        <v>340469</v>
      </c>
      <c r="DZ191" s="6">
        <f t="shared" si="46"/>
        <v>32629</v>
      </c>
      <c r="EA191"/>
      <c r="EB191" s="6">
        <f t="shared" si="47"/>
        <v>593440</v>
      </c>
      <c r="EC191" s="6"/>
      <c r="ED191" s="6"/>
      <c r="EE191"/>
      <c r="EF191" s="23"/>
      <c r="EG191" s="23"/>
      <c r="EH191" s="23"/>
    </row>
    <row r="192" spans="2:138" s="17" customFormat="1" ht="14">
      <c r="B192" s="13">
        <v>37803</v>
      </c>
      <c r="C192" s="14">
        <v>0</v>
      </c>
      <c r="D192" s="14">
        <v>0</v>
      </c>
      <c r="E192" s="14">
        <v>0</v>
      </c>
      <c r="F192" s="14" t="s">
        <v>82</v>
      </c>
      <c r="G192" s="14" t="s">
        <v>82</v>
      </c>
      <c r="H192" s="14">
        <v>7300</v>
      </c>
      <c r="I192" s="14">
        <v>13000</v>
      </c>
      <c r="J192" s="14">
        <v>2800</v>
      </c>
      <c r="K192" s="14">
        <v>7670</v>
      </c>
      <c r="L192" s="14"/>
      <c r="M192" s="14">
        <v>31276</v>
      </c>
      <c r="N192" s="14">
        <v>2854.5</v>
      </c>
      <c r="O192" s="14"/>
      <c r="P192" s="14">
        <v>1776</v>
      </c>
      <c r="Q192" s="14">
        <v>8472.5</v>
      </c>
      <c r="R192" s="14">
        <v>572.5</v>
      </c>
      <c r="S192" s="14">
        <v>7657</v>
      </c>
      <c r="T192" s="14">
        <v>9532</v>
      </c>
      <c r="U192" s="14"/>
      <c r="V192" s="14"/>
      <c r="W192" s="14">
        <v>404</v>
      </c>
      <c r="X192" s="14">
        <v>8442</v>
      </c>
      <c r="Y192" s="14">
        <v>461</v>
      </c>
      <c r="Z192" s="14">
        <v>24</v>
      </c>
      <c r="AA192" s="157"/>
      <c r="AB192" s="14">
        <v>7</v>
      </c>
      <c r="AC192" s="14">
        <v>59</v>
      </c>
      <c r="AD192" s="14">
        <v>14</v>
      </c>
      <c r="AE192" s="14">
        <v>27</v>
      </c>
      <c r="AF192" s="14">
        <v>30.5</v>
      </c>
      <c r="AG192" s="14">
        <v>54</v>
      </c>
      <c r="AH192" s="14"/>
      <c r="AI192" s="14"/>
      <c r="AJ192" s="14">
        <v>5</v>
      </c>
      <c r="AK192" s="14">
        <v>6609</v>
      </c>
      <c r="AL192" s="14">
        <v>84271</v>
      </c>
      <c r="AM192" s="14">
        <v>3348.5</v>
      </c>
      <c r="AN192" s="14">
        <v>11299</v>
      </c>
      <c r="AO192" s="14">
        <v>42.5</v>
      </c>
      <c r="AP192" s="14">
        <v>8</v>
      </c>
      <c r="AQ192" s="14">
        <v>3036</v>
      </c>
      <c r="AR192" s="14">
        <v>0</v>
      </c>
      <c r="AS192" s="14">
        <v>1240</v>
      </c>
      <c r="AT192" s="14" t="s">
        <v>82</v>
      </c>
      <c r="AU192" s="14">
        <v>2882</v>
      </c>
      <c r="AV192" s="14">
        <v>2024</v>
      </c>
      <c r="AW192" s="14">
        <v>2919</v>
      </c>
      <c r="AX192" s="14">
        <v>7870</v>
      </c>
      <c r="AY192" s="157"/>
      <c r="AZ192" s="157"/>
      <c r="BA192" s="157">
        <v>165.5</v>
      </c>
      <c r="BB192" s="157"/>
      <c r="BC192" s="14">
        <v>387</v>
      </c>
      <c r="BD192" s="14"/>
      <c r="BE192" s="14">
        <v>33</v>
      </c>
      <c r="BF192" s="14">
        <v>129</v>
      </c>
      <c r="BG192" s="14">
        <v>501.5</v>
      </c>
      <c r="BH192" s="14">
        <v>3</v>
      </c>
      <c r="BI192" s="14">
        <v>1</v>
      </c>
      <c r="BJ192" s="14">
        <v>7422.5</v>
      </c>
      <c r="BK192" s="14">
        <v>32.5</v>
      </c>
      <c r="BL192" s="14">
        <v>3189</v>
      </c>
      <c r="BM192" s="14"/>
      <c r="BN192" s="14">
        <v>297.5</v>
      </c>
      <c r="BO192" s="14">
        <v>74.5</v>
      </c>
      <c r="BP192" s="14">
        <v>525</v>
      </c>
      <c r="BQ192" s="14">
        <v>36316</v>
      </c>
      <c r="BR192" s="14">
        <v>6798</v>
      </c>
      <c r="BS192" s="14">
        <v>89.5</v>
      </c>
      <c r="BT192" s="14">
        <v>2290.5</v>
      </c>
      <c r="BU192" s="14">
        <v>122</v>
      </c>
      <c r="BV192" s="14"/>
      <c r="BW192" s="14">
        <v>7</v>
      </c>
      <c r="BX192" s="14">
        <v>118</v>
      </c>
      <c r="BY192" s="14"/>
      <c r="BZ192" s="14">
        <v>45</v>
      </c>
      <c r="CA192" s="14">
        <v>0</v>
      </c>
      <c r="CB192" s="14">
        <v>10344</v>
      </c>
      <c r="CC192" s="14">
        <v>14721</v>
      </c>
      <c r="CD192" s="14">
        <v>93972</v>
      </c>
      <c r="CE192" s="14">
        <v>148859</v>
      </c>
      <c r="CF192" s="14">
        <v>16313</v>
      </c>
      <c r="CG192" s="14">
        <v>20329</v>
      </c>
      <c r="CH192" s="14">
        <v>0</v>
      </c>
      <c r="CI192" s="14">
        <v>14</v>
      </c>
      <c r="CJ192" s="14">
        <v>20</v>
      </c>
      <c r="CK192" s="14">
        <v>87</v>
      </c>
      <c r="CL192" s="14"/>
      <c r="CM192" s="14"/>
      <c r="CN192" s="14"/>
      <c r="CO192" s="14"/>
      <c r="CP192" s="14"/>
      <c r="CQ192" s="14"/>
      <c r="CR192" s="14"/>
      <c r="CS192" s="14"/>
      <c r="CT192" s="14" t="s">
        <v>82</v>
      </c>
      <c r="CU192" s="14" t="s">
        <v>82</v>
      </c>
      <c r="CV192" s="14" t="s">
        <v>82</v>
      </c>
      <c r="CW192" s="14">
        <v>0</v>
      </c>
      <c r="CX192" s="14" t="s">
        <v>82</v>
      </c>
      <c r="CY192" s="14">
        <v>0</v>
      </c>
      <c r="CZ192" s="15"/>
      <c r="DA192" s="6"/>
      <c r="DB192" s="15"/>
      <c r="DC192" s="6"/>
      <c r="DD192" s="16">
        <f t="shared" si="35"/>
        <v>362653.5</v>
      </c>
      <c r="DE192" s="6">
        <f t="shared" si="36"/>
        <v>197604</v>
      </c>
      <c r="DF192" s="16">
        <f t="shared" si="37"/>
        <v>560257.5</v>
      </c>
      <c r="DG192" s="15"/>
      <c r="DK192" s="6">
        <f t="shared" si="38"/>
        <v>61454.5</v>
      </c>
      <c r="DL192" s="6">
        <f t="shared" si="39"/>
        <v>104516</v>
      </c>
      <c r="DM192" s="6">
        <f t="shared" si="49"/>
        <v>9532</v>
      </c>
      <c r="DN192" s="6">
        <f t="shared" si="50"/>
        <v>22267</v>
      </c>
      <c r="DO192" s="6">
        <f>SUM(BF192,BI192,BK192,BO192,BR192:BS192,BU192:BW192,BZ192:CB192,CD192:CF192,CJ192:CK192)</f>
        <v>276893.5</v>
      </c>
      <c r="DP192" s="6">
        <f t="shared" si="48"/>
        <v>38940</v>
      </c>
      <c r="DQ192" s="6"/>
      <c r="DR192" s="6">
        <f>CC192+CI192</f>
        <v>14735</v>
      </c>
      <c r="DS192" s="6">
        <f>BP192</f>
        <v>525</v>
      </c>
      <c r="DT192" s="6">
        <f>BG192+BJ192+BL192+BX192</f>
        <v>11231</v>
      </c>
      <c r="DU192" s="6"/>
      <c r="DV192" s="6"/>
      <c r="DW192" s="6">
        <f>SUM(DK192:DT192)</f>
        <v>540094</v>
      </c>
      <c r="DX192" s="15"/>
      <c r="DY192" s="6">
        <f t="shared" si="45"/>
        <v>339223.5</v>
      </c>
      <c r="DZ192" s="6">
        <f t="shared" si="46"/>
        <v>30770</v>
      </c>
      <c r="EA192" s="15"/>
      <c r="EB192" s="6">
        <f t="shared" si="47"/>
        <v>591027.5</v>
      </c>
      <c r="EC192" s="6"/>
      <c r="ED192" s="6"/>
      <c r="EE192" s="15"/>
      <c r="EF192" s="16"/>
      <c r="EG192" s="16"/>
      <c r="EH192" s="16"/>
    </row>
    <row r="193" spans="2:138" ht="14">
      <c r="B193" s="4">
        <v>37834</v>
      </c>
      <c r="C193" s="5">
        <v>0</v>
      </c>
      <c r="D193" s="5">
        <v>39</v>
      </c>
      <c r="E193" s="5">
        <v>3818</v>
      </c>
      <c r="F193" s="5" t="s">
        <v>82</v>
      </c>
      <c r="G193" s="5" t="s">
        <v>82</v>
      </c>
      <c r="H193" s="5">
        <v>7554</v>
      </c>
      <c r="I193" s="5">
        <v>13050</v>
      </c>
      <c r="J193" s="5">
        <v>2880</v>
      </c>
      <c r="K193" s="5">
        <v>8024</v>
      </c>
      <c r="L193" s="5"/>
      <c r="M193" s="5">
        <v>31236</v>
      </c>
      <c r="N193" s="5">
        <v>2813</v>
      </c>
      <c r="O193" s="5"/>
      <c r="P193" s="5">
        <v>1761</v>
      </c>
      <c r="Q193" s="5">
        <v>8491</v>
      </c>
      <c r="R193" s="5">
        <v>569</v>
      </c>
      <c r="S193" s="5">
        <v>7582</v>
      </c>
      <c r="T193" s="5">
        <v>9395</v>
      </c>
      <c r="U193" s="5"/>
      <c r="V193" s="5"/>
      <c r="W193" s="5">
        <v>397</v>
      </c>
      <c r="X193" s="5">
        <v>8559</v>
      </c>
      <c r="Y193" s="5">
        <v>458</v>
      </c>
      <c r="Z193" s="5">
        <v>22</v>
      </c>
      <c r="AA193" s="155"/>
      <c r="AB193" s="5">
        <v>7</v>
      </c>
      <c r="AC193" s="5">
        <v>59</v>
      </c>
      <c r="AD193" s="5">
        <v>13</v>
      </c>
      <c r="AE193" s="5">
        <v>27</v>
      </c>
      <c r="AF193" s="5">
        <v>31</v>
      </c>
      <c r="AG193" s="5">
        <v>58</v>
      </c>
      <c r="AH193" s="5"/>
      <c r="AI193" s="5"/>
      <c r="AJ193" s="5">
        <v>5</v>
      </c>
      <c r="AK193" s="5">
        <v>6716</v>
      </c>
      <c r="AL193" s="5">
        <v>84140</v>
      </c>
      <c r="AM193" s="5">
        <v>3336</v>
      </c>
      <c r="AN193" s="5">
        <v>11181</v>
      </c>
      <c r="AO193" s="5">
        <v>39</v>
      </c>
      <c r="AP193" s="5">
        <v>6</v>
      </c>
      <c r="AQ193" s="5">
        <v>3186</v>
      </c>
      <c r="AR193" s="5">
        <v>0</v>
      </c>
      <c r="AS193" s="5">
        <v>1218</v>
      </c>
      <c r="AT193" s="5" t="s">
        <v>82</v>
      </c>
      <c r="AU193" s="5">
        <v>2882</v>
      </c>
      <c r="AV193" s="5">
        <v>2019</v>
      </c>
      <c r="AW193" s="5">
        <v>2894</v>
      </c>
      <c r="AX193" s="5">
        <v>7867</v>
      </c>
      <c r="AY193" s="155"/>
      <c r="AZ193" s="155"/>
      <c r="BA193" s="155">
        <v>169</v>
      </c>
      <c r="BB193" s="155"/>
      <c r="BC193" s="5">
        <v>389</v>
      </c>
      <c r="BD193" s="5"/>
      <c r="BE193" s="5">
        <v>29</v>
      </c>
      <c r="BF193" s="5">
        <v>133</v>
      </c>
      <c r="BG193" s="5">
        <v>501</v>
      </c>
      <c r="BH193" s="5">
        <v>4</v>
      </c>
      <c r="BI193" s="5">
        <v>1</v>
      </c>
      <c r="BJ193" s="5">
        <v>7423</v>
      </c>
      <c r="BK193" s="5">
        <v>28</v>
      </c>
      <c r="BL193" s="5">
        <v>3136</v>
      </c>
      <c r="BM193" s="5"/>
      <c r="BN193" s="5">
        <v>342</v>
      </c>
      <c r="BO193" s="5">
        <v>74</v>
      </c>
      <c r="BP193" s="5">
        <v>573</v>
      </c>
      <c r="BQ193" s="5">
        <v>35555</v>
      </c>
      <c r="BR193" s="5">
        <v>6346</v>
      </c>
      <c r="BS193" s="5">
        <v>96</v>
      </c>
      <c r="BT193" s="5">
        <v>2192</v>
      </c>
      <c r="BU193" s="5">
        <v>110</v>
      </c>
      <c r="BV193" s="5"/>
      <c r="BW193" s="5">
        <v>6</v>
      </c>
      <c r="BX193" s="5">
        <v>122</v>
      </c>
      <c r="BY193" s="5"/>
      <c r="BZ193" s="5">
        <v>58</v>
      </c>
      <c r="CA193" s="5">
        <v>0</v>
      </c>
      <c r="CB193" s="5">
        <v>10714</v>
      </c>
      <c r="CC193" s="5">
        <v>14557</v>
      </c>
      <c r="CD193" s="5">
        <v>94533</v>
      </c>
      <c r="CE193" s="5">
        <v>148952</v>
      </c>
      <c r="CF193" s="5">
        <v>16242</v>
      </c>
      <c r="CG193" s="5">
        <v>20751</v>
      </c>
      <c r="CH193" s="5">
        <v>0</v>
      </c>
      <c r="CI193" s="5">
        <v>17</v>
      </c>
      <c r="CJ193" s="5">
        <v>21</v>
      </c>
      <c r="CK193" s="5">
        <v>92</v>
      </c>
      <c r="CL193" s="5"/>
      <c r="CM193" s="5"/>
      <c r="CN193" s="5"/>
      <c r="CO193" s="5"/>
      <c r="CP193" s="5"/>
      <c r="CQ193" s="5"/>
      <c r="CR193" s="5"/>
      <c r="CS193" s="5"/>
      <c r="CT193" s="5" t="s">
        <v>82</v>
      </c>
      <c r="CU193" s="5" t="s">
        <v>82</v>
      </c>
      <c r="CV193" s="5" t="s">
        <v>82</v>
      </c>
      <c r="CW193" s="5">
        <v>36</v>
      </c>
      <c r="CX193" s="5">
        <v>0</v>
      </c>
      <c r="CY193" s="5">
        <v>44</v>
      </c>
      <c r="DA193" s="6"/>
      <c r="DC193" s="6"/>
      <c r="DD193" s="6">
        <f t="shared" si="35"/>
        <v>362608</v>
      </c>
      <c r="DE193" s="6">
        <f t="shared" si="36"/>
        <v>197356</v>
      </c>
      <c r="DF193" s="16">
        <f t="shared" si="37"/>
        <v>559964</v>
      </c>
      <c r="DK193" s="6">
        <f t="shared" si="38"/>
        <v>61408</v>
      </c>
      <c r="DL193" s="6">
        <f t="shared" si="39"/>
        <v>104424</v>
      </c>
      <c r="DM193" s="6">
        <f t="shared" si="49"/>
        <v>9395</v>
      </c>
      <c r="DN193" s="6">
        <f t="shared" si="50"/>
        <v>22298</v>
      </c>
      <c r="DO193" s="6">
        <f t="shared" ref="DO193:DO255" si="51">SUM(BF193,BI193,BK193,BO193,BR193:BS193,BU193:BW193,BZ193:CB193,CD193:CF193,CJ193:CK193)</f>
        <v>277406</v>
      </c>
      <c r="DP193" s="6">
        <f t="shared" si="48"/>
        <v>38122</v>
      </c>
      <c r="DQ193" s="6"/>
      <c r="DR193" s="6">
        <f t="shared" ref="DR193:DR255" si="52">CC193+CI193</f>
        <v>14574</v>
      </c>
      <c r="DS193" s="6">
        <f t="shared" ref="DS193:DS255" si="53">BP193</f>
        <v>573</v>
      </c>
      <c r="DT193" s="6">
        <f t="shared" ref="DT193:DT255" si="54">BG193+BJ193+BL193+BX193</f>
        <v>11182</v>
      </c>
      <c r="DU193" s="6"/>
      <c r="DV193" s="6"/>
      <c r="DW193" s="6">
        <f t="shared" ref="DW193:DW255" si="55">SUM(DK193:DT193)</f>
        <v>539382</v>
      </c>
      <c r="DY193" s="6">
        <f t="shared" si="45"/>
        <v>340847</v>
      </c>
      <c r="DZ193" s="6">
        <f t="shared" si="46"/>
        <v>31508</v>
      </c>
      <c r="EB193" s="6">
        <f t="shared" si="47"/>
        <v>591472</v>
      </c>
      <c r="EC193" s="6"/>
      <c r="ED193" s="6"/>
      <c r="EF193" s="6"/>
      <c r="EG193" s="6"/>
    </row>
    <row r="194" spans="2:138" ht="14">
      <c r="B194" s="4">
        <v>37865</v>
      </c>
      <c r="C194" s="5">
        <v>0</v>
      </c>
      <c r="D194" s="5">
        <v>51</v>
      </c>
      <c r="E194" s="5">
        <v>5144</v>
      </c>
      <c r="F194" s="5" t="s">
        <v>82</v>
      </c>
      <c r="G194" s="5" t="s">
        <v>82</v>
      </c>
      <c r="H194" s="5">
        <v>8002</v>
      </c>
      <c r="I194" s="5">
        <v>13499</v>
      </c>
      <c r="J194" s="5">
        <v>3077</v>
      </c>
      <c r="K194" s="5">
        <v>8106</v>
      </c>
      <c r="L194" s="5"/>
      <c r="M194" s="5">
        <v>31471</v>
      </c>
      <c r="N194" s="5">
        <v>2805</v>
      </c>
      <c r="O194" s="5"/>
      <c r="P194" s="5">
        <v>1763</v>
      </c>
      <c r="Q194" s="5">
        <v>8563</v>
      </c>
      <c r="R194" s="5">
        <v>566</v>
      </c>
      <c r="S194" s="5">
        <v>7556</v>
      </c>
      <c r="T194" s="5">
        <v>9466</v>
      </c>
      <c r="U194" s="5"/>
      <c r="V194" s="5"/>
      <c r="W194" s="5">
        <v>394</v>
      </c>
      <c r="X194" s="5">
        <v>8684</v>
      </c>
      <c r="Y194" s="5">
        <v>461</v>
      </c>
      <c r="Z194" s="5">
        <v>22</v>
      </c>
      <c r="AA194" s="155"/>
      <c r="AB194" s="5">
        <v>10</v>
      </c>
      <c r="AC194" s="5">
        <v>56</v>
      </c>
      <c r="AD194" s="5">
        <v>14</v>
      </c>
      <c r="AE194" s="5">
        <v>29</v>
      </c>
      <c r="AF194" s="5">
        <v>30</v>
      </c>
      <c r="AG194" s="5">
        <v>55</v>
      </c>
      <c r="AH194" s="5"/>
      <c r="AI194" s="5"/>
      <c r="AJ194" s="5">
        <v>4</v>
      </c>
      <c r="AK194" s="5">
        <v>6844</v>
      </c>
      <c r="AL194" s="5">
        <v>84463</v>
      </c>
      <c r="AM194" s="5">
        <v>3358</v>
      </c>
      <c r="AN194" s="5">
        <v>11240</v>
      </c>
      <c r="AO194" s="5">
        <v>40</v>
      </c>
      <c r="AP194" s="5">
        <v>7</v>
      </c>
      <c r="AQ194" s="5">
        <v>3285</v>
      </c>
      <c r="AR194" s="5">
        <v>0</v>
      </c>
      <c r="AS194" s="5">
        <v>1273</v>
      </c>
      <c r="AT194" s="5" t="s">
        <v>82</v>
      </c>
      <c r="AU194" s="5">
        <v>2886</v>
      </c>
      <c r="AV194" s="5">
        <v>2005</v>
      </c>
      <c r="AW194" s="5">
        <v>2901</v>
      </c>
      <c r="AX194" s="5">
        <v>7895</v>
      </c>
      <c r="AY194" s="155"/>
      <c r="AZ194" s="155"/>
      <c r="BA194" s="155">
        <v>178</v>
      </c>
      <c r="BB194" s="155"/>
      <c r="BC194" s="5">
        <v>397</v>
      </c>
      <c r="BD194" s="5"/>
      <c r="BE194" s="5">
        <v>26</v>
      </c>
      <c r="BF194" s="5">
        <v>127</v>
      </c>
      <c r="BG194" s="5">
        <v>499</v>
      </c>
      <c r="BH194" s="5">
        <v>3</v>
      </c>
      <c r="BI194" s="5">
        <v>1</v>
      </c>
      <c r="BJ194" s="5">
        <v>7546</v>
      </c>
      <c r="BK194" s="5">
        <v>32</v>
      </c>
      <c r="BL194" s="5">
        <v>3182</v>
      </c>
      <c r="BM194" s="5"/>
      <c r="BN194" s="5">
        <v>362</v>
      </c>
      <c r="BO194" s="5">
        <v>76</v>
      </c>
      <c r="BP194" s="5">
        <v>662</v>
      </c>
      <c r="BQ194" s="5">
        <v>36424</v>
      </c>
      <c r="BR194" s="5">
        <v>5879</v>
      </c>
      <c r="BS194" s="5">
        <v>97</v>
      </c>
      <c r="BT194" s="5">
        <v>2431</v>
      </c>
      <c r="BU194" s="5">
        <v>104</v>
      </c>
      <c r="BV194" s="5"/>
      <c r="BW194" s="5">
        <v>8</v>
      </c>
      <c r="BX194" s="5">
        <v>118</v>
      </c>
      <c r="BY194" s="5"/>
      <c r="BZ194" s="5">
        <v>58</v>
      </c>
      <c r="CA194" s="5">
        <v>0</v>
      </c>
      <c r="CB194" s="5">
        <v>11185</v>
      </c>
      <c r="CC194" s="5">
        <v>15085</v>
      </c>
      <c r="CD194" s="5">
        <v>96965</v>
      </c>
      <c r="CE194" s="5">
        <v>152210</v>
      </c>
      <c r="CF194" s="5">
        <v>16386</v>
      </c>
      <c r="CG194" s="5">
        <v>21179</v>
      </c>
      <c r="CH194" s="5">
        <v>0</v>
      </c>
      <c r="CI194" s="5">
        <v>22</v>
      </c>
      <c r="CJ194" s="5">
        <v>20</v>
      </c>
      <c r="CK194" s="5">
        <v>91</v>
      </c>
      <c r="CL194" s="5"/>
      <c r="CM194" s="5"/>
      <c r="CN194" s="5"/>
      <c r="CO194" s="5"/>
      <c r="CP194" s="5"/>
      <c r="CQ194" s="5"/>
      <c r="CR194" s="5"/>
      <c r="CS194" s="5"/>
      <c r="CT194" s="5" t="s">
        <v>82</v>
      </c>
      <c r="CU194" s="5" t="s">
        <v>82</v>
      </c>
      <c r="CV194" s="5" t="s">
        <v>82</v>
      </c>
      <c r="CW194" s="5">
        <v>37</v>
      </c>
      <c r="CX194" s="5">
        <v>0</v>
      </c>
      <c r="CY194" s="5">
        <v>45</v>
      </c>
      <c r="DA194" s="6"/>
      <c r="DC194" s="6"/>
      <c r="DD194" s="6">
        <f t="shared" si="35"/>
        <v>370778</v>
      </c>
      <c r="DE194" s="6">
        <f t="shared" si="36"/>
        <v>198543</v>
      </c>
      <c r="DF194" s="16">
        <f t="shared" si="37"/>
        <v>569321</v>
      </c>
      <c r="DK194" s="6">
        <f t="shared" si="38"/>
        <v>61802</v>
      </c>
      <c r="DL194" s="6">
        <f t="shared" si="39"/>
        <v>104971</v>
      </c>
      <c r="DM194" s="6">
        <f t="shared" si="49"/>
        <v>9466</v>
      </c>
      <c r="DN194" s="6">
        <f t="shared" si="50"/>
        <v>22482</v>
      </c>
      <c r="DO194" s="6">
        <f t="shared" si="51"/>
        <v>283239</v>
      </c>
      <c r="DP194" s="6">
        <f t="shared" si="48"/>
        <v>39246</v>
      </c>
      <c r="DQ194" s="6"/>
      <c r="DR194" s="6">
        <f t="shared" si="52"/>
        <v>15107</v>
      </c>
      <c r="DS194" s="6">
        <f t="shared" si="53"/>
        <v>662</v>
      </c>
      <c r="DT194" s="6">
        <f t="shared" si="54"/>
        <v>11345</v>
      </c>
      <c r="DU194" s="6"/>
      <c r="DV194" s="6"/>
      <c r="DW194" s="6">
        <f t="shared" si="55"/>
        <v>548320</v>
      </c>
      <c r="DY194" s="6">
        <f t="shared" si="45"/>
        <v>348447</v>
      </c>
      <c r="DZ194" s="6">
        <f t="shared" si="46"/>
        <v>32684</v>
      </c>
      <c r="EB194" s="6">
        <f t="shared" si="47"/>
        <v>602005</v>
      </c>
      <c r="EC194" s="6"/>
      <c r="ED194" s="6"/>
      <c r="EF194" s="6"/>
      <c r="EG194" s="6"/>
    </row>
    <row r="195" spans="2:138" ht="14">
      <c r="B195" s="4">
        <v>37895</v>
      </c>
      <c r="C195" s="5">
        <v>0</v>
      </c>
      <c r="D195" s="5">
        <v>48</v>
      </c>
      <c r="E195" s="5">
        <v>5722</v>
      </c>
      <c r="F195" s="5" t="s">
        <v>82</v>
      </c>
      <c r="G195" s="5" t="s">
        <v>82</v>
      </c>
      <c r="H195" s="5">
        <v>7949</v>
      </c>
      <c r="I195" s="5">
        <v>13476</v>
      </c>
      <c r="J195" s="5">
        <v>2999</v>
      </c>
      <c r="K195" s="5">
        <v>7918</v>
      </c>
      <c r="L195" s="5"/>
      <c r="M195" s="5">
        <v>31551</v>
      </c>
      <c r="N195" s="5">
        <v>2811</v>
      </c>
      <c r="O195" s="5"/>
      <c r="P195" s="5">
        <v>1748</v>
      </c>
      <c r="Q195" s="5">
        <v>8519</v>
      </c>
      <c r="R195" s="5">
        <v>560</v>
      </c>
      <c r="S195" s="5">
        <v>7471</v>
      </c>
      <c r="T195" s="5">
        <v>9583</v>
      </c>
      <c r="U195" s="5"/>
      <c r="V195" s="5"/>
      <c r="W195" s="5">
        <v>384</v>
      </c>
      <c r="X195" s="5">
        <v>8805</v>
      </c>
      <c r="Y195" s="5">
        <v>460</v>
      </c>
      <c r="Z195" s="5">
        <v>22</v>
      </c>
      <c r="AA195" s="155"/>
      <c r="AB195" s="5">
        <v>11</v>
      </c>
      <c r="AC195" s="5">
        <v>54</v>
      </c>
      <c r="AD195" s="5">
        <v>14</v>
      </c>
      <c r="AE195" s="5">
        <v>27</v>
      </c>
      <c r="AF195" s="5">
        <v>29</v>
      </c>
      <c r="AG195" s="5">
        <v>53</v>
      </c>
      <c r="AH195" s="5"/>
      <c r="AI195" s="5"/>
      <c r="AJ195" s="5">
        <v>5</v>
      </c>
      <c r="AK195" s="5">
        <v>6919</v>
      </c>
      <c r="AL195" s="5">
        <v>84515</v>
      </c>
      <c r="AM195" s="5">
        <v>3312</v>
      </c>
      <c r="AN195" s="5">
        <v>11260</v>
      </c>
      <c r="AO195" s="5">
        <v>41</v>
      </c>
      <c r="AP195" s="5">
        <v>8</v>
      </c>
      <c r="AQ195" s="5">
        <v>3404</v>
      </c>
      <c r="AR195" s="5">
        <v>0</v>
      </c>
      <c r="AS195" s="5">
        <v>1243</v>
      </c>
      <c r="AT195" s="5" t="s">
        <v>82</v>
      </c>
      <c r="AU195" s="5">
        <v>2881</v>
      </c>
      <c r="AV195" s="5">
        <v>1995</v>
      </c>
      <c r="AW195" s="5">
        <v>2885</v>
      </c>
      <c r="AX195" s="5">
        <v>7873</v>
      </c>
      <c r="AY195" s="155"/>
      <c r="AZ195" s="155"/>
      <c r="BA195" s="155">
        <v>182</v>
      </c>
      <c r="BB195" s="155"/>
      <c r="BC195" s="5">
        <v>406</v>
      </c>
      <c r="BD195" s="5"/>
      <c r="BE195" s="5">
        <v>28</v>
      </c>
      <c r="BF195" s="5">
        <v>110</v>
      </c>
      <c r="BG195" s="5">
        <v>509</v>
      </c>
      <c r="BH195" s="5">
        <v>3</v>
      </c>
      <c r="BI195" s="5">
        <v>1</v>
      </c>
      <c r="BJ195" s="5">
        <v>7554</v>
      </c>
      <c r="BK195" s="5">
        <v>34</v>
      </c>
      <c r="BL195" s="5">
        <v>3241</v>
      </c>
      <c r="BM195" s="5"/>
      <c r="BN195" s="5">
        <v>383</v>
      </c>
      <c r="BO195" s="5">
        <v>76</v>
      </c>
      <c r="BP195" s="5">
        <v>744</v>
      </c>
      <c r="BQ195" s="5">
        <v>36485</v>
      </c>
      <c r="BR195" s="5">
        <v>5422</v>
      </c>
      <c r="BS195" s="5">
        <v>96</v>
      </c>
      <c r="BT195" s="5">
        <v>2594</v>
      </c>
      <c r="BU195" s="5">
        <v>87</v>
      </c>
      <c r="BV195" s="5"/>
      <c r="BW195" s="5">
        <v>10</v>
      </c>
      <c r="BX195" s="5">
        <v>112</v>
      </c>
      <c r="BY195" s="5"/>
      <c r="BZ195" s="5">
        <v>56</v>
      </c>
      <c r="CA195" s="5">
        <v>0</v>
      </c>
      <c r="CB195" s="5">
        <v>11471</v>
      </c>
      <c r="CC195" s="5">
        <v>15022</v>
      </c>
      <c r="CD195" s="5">
        <v>97900</v>
      </c>
      <c r="CE195" s="5">
        <v>154397</v>
      </c>
      <c r="CF195" s="5">
        <v>16267</v>
      </c>
      <c r="CG195" s="5">
        <v>20446</v>
      </c>
      <c r="CH195" s="5">
        <v>0</v>
      </c>
      <c r="CI195" s="5">
        <v>19</v>
      </c>
      <c r="CJ195" s="5">
        <v>21</v>
      </c>
      <c r="CK195" s="5">
        <v>88</v>
      </c>
      <c r="CL195" s="5"/>
      <c r="CM195" s="5"/>
      <c r="CN195" s="5"/>
      <c r="CO195" s="5"/>
      <c r="CP195" s="5"/>
      <c r="CQ195" s="5"/>
      <c r="CR195" s="5"/>
      <c r="CS195" s="5"/>
      <c r="CT195" s="5" t="s">
        <v>82</v>
      </c>
      <c r="CU195" s="5" t="s">
        <v>82</v>
      </c>
      <c r="CV195" s="5" t="s">
        <v>82</v>
      </c>
      <c r="CW195" s="5">
        <v>36</v>
      </c>
      <c r="CX195" s="5">
        <v>0</v>
      </c>
      <c r="CY195" s="5">
        <v>45</v>
      </c>
      <c r="DA195" s="6"/>
      <c r="DC195" s="6"/>
      <c r="DD195" s="6">
        <f t="shared" si="35"/>
        <v>373176</v>
      </c>
      <c r="DE195" s="6">
        <f t="shared" si="36"/>
        <v>198849</v>
      </c>
      <c r="DF195" s="16">
        <f t="shared" si="37"/>
        <v>572025</v>
      </c>
      <c r="DK195" s="6">
        <f t="shared" si="38"/>
        <v>61849</v>
      </c>
      <c r="DL195" s="6">
        <f t="shared" si="39"/>
        <v>105001</v>
      </c>
      <c r="DM195" s="6">
        <f t="shared" si="49"/>
        <v>9583</v>
      </c>
      <c r="DN195" s="6">
        <f t="shared" si="50"/>
        <v>22598</v>
      </c>
      <c r="DO195" s="6">
        <f t="shared" si="51"/>
        <v>286036</v>
      </c>
      <c r="DP195" s="6">
        <f t="shared" si="48"/>
        <v>39493</v>
      </c>
      <c r="DQ195" s="6"/>
      <c r="DR195" s="6">
        <f t="shared" si="52"/>
        <v>15041</v>
      </c>
      <c r="DS195" s="6">
        <f t="shared" si="53"/>
        <v>744</v>
      </c>
      <c r="DT195" s="6">
        <f t="shared" si="54"/>
        <v>11416</v>
      </c>
      <c r="DU195" s="6"/>
      <c r="DV195" s="6"/>
      <c r="DW195" s="6">
        <f t="shared" si="55"/>
        <v>551761</v>
      </c>
      <c r="DY195" s="6">
        <f t="shared" si="45"/>
        <v>350240</v>
      </c>
      <c r="DZ195" s="6">
        <f t="shared" si="46"/>
        <v>32342</v>
      </c>
      <c r="EB195" s="6">
        <f t="shared" si="47"/>
        <v>604367</v>
      </c>
      <c r="EC195" s="6"/>
      <c r="ED195" s="6"/>
      <c r="EF195" s="6"/>
      <c r="EG195" s="6"/>
    </row>
    <row r="196" spans="2:138" ht="14">
      <c r="B196" s="4">
        <v>37926</v>
      </c>
      <c r="C196" s="5">
        <v>1</v>
      </c>
      <c r="D196" s="5">
        <v>32</v>
      </c>
      <c r="E196" s="5">
        <v>6214</v>
      </c>
      <c r="F196" s="5" t="s">
        <v>82</v>
      </c>
      <c r="G196" s="5" t="s">
        <v>82</v>
      </c>
      <c r="H196" s="5">
        <v>8209</v>
      </c>
      <c r="I196" s="5">
        <v>14119</v>
      </c>
      <c r="J196" s="5">
        <v>3072</v>
      </c>
      <c r="K196" s="5">
        <v>7961</v>
      </c>
      <c r="L196" s="5"/>
      <c r="M196" s="5">
        <v>31675</v>
      </c>
      <c r="N196" s="5">
        <v>2870</v>
      </c>
      <c r="O196" s="5"/>
      <c r="P196" s="5">
        <v>1774</v>
      </c>
      <c r="Q196" s="5">
        <v>8722</v>
      </c>
      <c r="R196" s="5">
        <v>566</v>
      </c>
      <c r="S196" s="5">
        <v>7521</v>
      </c>
      <c r="T196" s="5">
        <v>9842</v>
      </c>
      <c r="U196" s="5"/>
      <c r="V196" s="5"/>
      <c r="W196" s="5">
        <v>410</v>
      </c>
      <c r="X196" s="5">
        <v>8969</v>
      </c>
      <c r="Y196" s="5">
        <v>463</v>
      </c>
      <c r="Z196" s="5">
        <v>21</v>
      </c>
      <c r="AA196" s="155"/>
      <c r="AB196" s="5">
        <v>10</v>
      </c>
      <c r="AC196" s="5">
        <v>55</v>
      </c>
      <c r="AD196" s="5">
        <v>15</v>
      </c>
      <c r="AE196" s="5">
        <v>27</v>
      </c>
      <c r="AF196" s="5">
        <v>30</v>
      </c>
      <c r="AG196" s="5">
        <v>54</v>
      </c>
      <c r="AH196" s="5"/>
      <c r="AI196" s="5"/>
      <c r="AJ196" s="5">
        <v>5</v>
      </c>
      <c r="AK196" s="5">
        <v>7165</v>
      </c>
      <c r="AL196" s="5">
        <v>85647</v>
      </c>
      <c r="AM196" s="5">
        <v>3368</v>
      </c>
      <c r="AN196" s="5">
        <v>11519</v>
      </c>
      <c r="AO196" s="5">
        <v>45</v>
      </c>
      <c r="AP196" s="5">
        <v>9</v>
      </c>
      <c r="AQ196" s="5">
        <v>3597</v>
      </c>
      <c r="AR196" s="5">
        <v>0</v>
      </c>
      <c r="AS196" s="5">
        <v>1357</v>
      </c>
      <c r="AT196" s="5" t="s">
        <v>82</v>
      </c>
      <c r="AU196" s="5">
        <v>2962</v>
      </c>
      <c r="AV196" s="5">
        <v>2007</v>
      </c>
      <c r="AW196" s="5">
        <v>2891</v>
      </c>
      <c r="AX196" s="5">
        <v>8025</v>
      </c>
      <c r="AY196" s="155"/>
      <c r="AZ196" s="155"/>
      <c r="BA196" s="155">
        <v>191</v>
      </c>
      <c r="BB196" s="155"/>
      <c r="BC196" s="5">
        <v>431</v>
      </c>
      <c r="BD196" s="5"/>
      <c r="BE196" s="5">
        <v>25</v>
      </c>
      <c r="BF196" s="5">
        <v>96</v>
      </c>
      <c r="BG196" s="5">
        <v>513</v>
      </c>
      <c r="BH196" s="5">
        <v>3</v>
      </c>
      <c r="BI196" s="5">
        <v>1</v>
      </c>
      <c r="BJ196" s="5">
        <v>7596</v>
      </c>
      <c r="BK196" s="5">
        <v>32</v>
      </c>
      <c r="BL196" s="5">
        <v>3271</v>
      </c>
      <c r="BM196" s="5"/>
      <c r="BN196" s="5">
        <v>412</v>
      </c>
      <c r="BO196" s="5">
        <v>77</v>
      </c>
      <c r="BP196" s="5">
        <v>792</v>
      </c>
      <c r="BQ196" s="5">
        <v>37278</v>
      </c>
      <c r="BR196" s="5">
        <v>4983</v>
      </c>
      <c r="BS196" s="5">
        <v>96</v>
      </c>
      <c r="BT196" s="5">
        <v>2779</v>
      </c>
      <c r="BU196" s="5">
        <v>85</v>
      </c>
      <c r="BV196" s="5"/>
      <c r="BW196" s="5">
        <v>11</v>
      </c>
      <c r="BX196" s="5">
        <v>111</v>
      </c>
      <c r="BY196" s="5"/>
      <c r="BZ196" s="5">
        <v>56</v>
      </c>
      <c r="CA196" s="5">
        <v>0</v>
      </c>
      <c r="CB196" s="5">
        <v>12115</v>
      </c>
      <c r="CC196" s="5">
        <v>15332</v>
      </c>
      <c r="CD196" s="5">
        <v>100833</v>
      </c>
      <c r="CE196" s="5">
        <v>158442</v>
      </c>
      <c r="CF196" s="5">
        <v>16905</v>
      </c>
      <c r="CG196" s="5">
        <v>20668</v>
      </c>
      <c r="CH196" s="5">
        <v>0</v>
      </c>
      <c r="CI196" s="5">
        <v>20</v>
      </c>
      <c r="CJ196" s="5">
        <v>21</v>
      </c>
      <c r="CK196" s="5">
        <v>82</v>
      </c>
      <c r="CL196" s="5"/>
      <c r="CM196" s="5"/>
      <c r="CN196" s="5"/>
      <c r="CO196" s="5"/>
      <c r="CP196" s="5"/>
      <c r="CQ196" s="5"/>
      <c r="CR196" s="5"/>
      <c r="CS196" s="5"/>
      <c r="CT196" s="5" t="s">
        <v>82</v>
      </c>
      <c r="CU196" s="5" t="s">
        <v>82</v>
      </c>
      <c r="CV196" s="5" t="s">
        <v>82</v>
      </c>
      <c r="CW196" s="5">
        <v>37</v>
      </c>
      <c r="CX196" s="5">
        <v>0</v>
      </c>
      <c r="CY196" s="5">
        <v>45</v>
      </c>
      <c r="DA196" s="6"/>
      <c r="DC196" s="6"/>
      <c r="DD196" s="6">
        <f t="shared" si="35"/>
        <v>382635</v>
      </c>
      <c r="DE196" s="6">
        <f t="shared" si="36"/>
        <v>202052</v>
      </c>
      <c r="DF196" s="16">
        <f t="shared" si="37"/>
        <v>584687</v>
      </c>
      <c r="DK196" s="6">
        <f t="shared" si="38"/>
        <v>62507</v>
      </c>
      <c r="DL196" s="6">
        <f t="shared" si="39"/>
        <v>106690</v>
      </c>
      <c r="DM196" s="6">
        <f t="shared" si="49"/>
        <v>9842</v>
      </c>
      <c r="DN196" s="6">
        <f t="shared" si="50"/>
        <v>23204</v>
      </c>
      <c r="DO196" s="6">
        <f t="shared" si="51"/>
        <v>293835</v>
      </c>
      <c r="DP196" s="6">
        <f t="shared" si="48"/>
        <v>40497</v>
      </c>
      <c r="DQ196" s="6"/>
      <c r="DR196" s="6">
        <f t="shared" si="52"/>
        <v>15352</v>
      </c>
      <c r="DS196" s="6">
        <f t="shared" si="53"/>
        <v>792</v>
      </c>
      <c r="DT196" s="6">
        <f t="shared" si="54"/>
        <v>11491</v>
      </c>
      <c r="DU196" s="6"/>
      <c r="DV196" s="6"/>
      <c r="DW196" s="6">
        <f t="shared" si="55"/>
        <v>564210</v>
      </c>
      <c r="DY196" s="6">
        <f t="shared" si="45"/>
        <v>359355</v>
      </c>
      <c r="DZ196" s="6">
        <f t="shared" si="46"/>
        <v>33361</v>
      </c>
      <c r="EB196" s="6">
        <f t="shared" si="47"/>
        <v>618048</v>
      </c>
      <c r="EC196" s="6"/>
      <c r="ED196" s="6"/>
      <c r="EF196" s="6"/>
      <c r="EG196" s="6"/>
    </row>
    <row r="197" spans="2:138" ht="14">
      <c r="B197" s="4">
        <v>37956</v>
      </c>
      <c r="C197" s="5">
        <v>1</v>
      </c>
      <c r="D197" s="5">
        <v>29</v>
      </c>
      <c r="E197" s="5">
        <v>6425</v>
      </c>
      <c r="F197" s="5" t="s">
        <v>82</v>
      </c>
      <c r="G197" s="5" t="s">
        <v>82</v>
      </c>
      <c r="H197" s="5">
        <v>8340</v>
      </c>
      <c r="I197" s="5">
        <v>14511</v>
      </c>
      <c r="J197" s="5">
        <v>3104</v>
      </c>
      <c r="K197" s="5">
        <v>8043</v>
      </c>
      <c r="L197" s="5"/>
      <c r="M197" s="5">
        <v>31740</v>
      </c>
      <c r="N197" s="5">
        <v>2852</v>
      </c>
      <c r="O197" s="5"/>
      <c r="P197" s="5">
        <v>1761</v>
      </c>
      <c r="Q197" s="5">
        <v>8800</v>
      </c>
      <c r="R197" s="5">
        <v>572</v>
      </c>
      <c r="S197" s="5">
        <v>7982</v>
      </c>
      <c r="T197" s="5">
        <v>9883</v>
      </c>
      <c r="U197" s="5"/>
      <c r="V197" s="5"/>
      <c r="W197" s="5">
        <v>415</v>
      </c>
      <c r="X197" s="5">
        <v>8601</v>
      </c>
      <c r="Y197" s="5">
        <v>463</v>
      </c>
      <c r="Z197" s="5">
        <v>21</v>
      </c>
      <c r="AA197" s="155"/>
      <c r="AB197" s="5">
        <v>8</v>
      </c>
      <c r="AC197" s="5">
        <v>52</v>
      </c>
      <c r="AD197" s="5">
        <v>15</v>
      </c>
      <c r="AE197" s="5">
        <v>27</v>
      </c>
      <c r="AF197" s="5">
        <v>30</v>
      </c>
      <c r="AG197" s="5">
        <v>52</v>
      </c>
      <c r="AH197" s="5"/>
      <c r="AI197" s="5"/>
      <c r="AJ197" s="5">
        <v>5</v>
      </c>
      <c r="AK197" s="5">
        <v>7121</v>
      </c>
      <c r="AL197" s="5">
        <v>85796</v>
      </c>
      <c r="AM197" s="5">
        <v>3359</v>
      </c>
      <c r="AN197" s="5">
        <v>11600</v>
      </c>
      <c r="AO197" s="5">
        <v>47</v>
      </c>
      <c r="AP197" s="5">
        <v>8</v>
      </c>
      <c r="AQ197" s="5">
        <v>3699</v>
      </c>
      <c r="AR197" s="5">
        <v>0</v>
      </c>
      <c r="AS197" s="5">
        <v>1366</v>
      </c>
      <c r="AT197" s="5" t="s">
        <v>82</v>
      </c>
      <c r="AU197" s="5">
        <v>3018</v>
      </c>
      <c r="AV197" s="5">
        <v>2001</v>
      </c>
      <c r="AW197" s="5">
        <v>3017</v>
      </c>
      <c r="AX197" s="5">
        <v>8067</v>
      </c>
      <c r="AY197" s="155"/>
      <c r="AZ197" s="155"/>
      <c r="BA197" s="155">
        <v>190</v>
      </c>
      <c r="BB197" s="155"/>
      <c r="BC197" s="5">
        <v>457</v>
      </c>
      <c r="BD197" s="5"/>
      <c r="BE197" s="5">
        <v>20</v>
      </c>
      <c r="BF197" s="5">
        <v>82</v>
      </c>
      <c r="BG197" s="5">
        <v>515</v>
      </c>
      <c r="BH197" s="5">
        <v>3</v>
      </c>
      <c r="BI197" s="5">
        <v>1</v>
      </c>
      <c r="BJ197" s="5">
        <v>7627</v>
      </c>
      <c r="BK197" s="5">
        <v>35</v>
      </c>
      <c r="BL197" s="5">
        <v>3274</v>
      </c>
      <c r="BM197" s="5"/>
      <c r="BN197" s="5">
        <v>370</v>
      </c>
      <c r="BO197" s="5">
        <v>78</v>
      </c>
      <c r="BP197" s="5">
        <v>904</v>
      </c>
      <c r="BQ197" s="5">
        <v>37794</v>
      </c>
      <c r="BR197" s="5">
        <v>4592</v>
      </c>
      <c r="BS197" s="5">
        <v>93</v>
      </c>
      <c r="BT197" s="5">
        <v>2957</v>
      </c>
      <c r="BU197" s="5">
        <v>90</v>
      </c>
      <c r="BV197" s="5"/>
      <c r="BW197" s="5">
        <v>11</v>
      </c>
      <c r="BX197" s="5">
        <v>114</v>
      </c>
      <c r="BY197" s="5"/>
      <c r="BZ197" s="5">
        <v>51</v>
      </c>
      <c r="CA197" s="5">
        <v>0</v>
      </c>
      <c r="CB197" s="5">
        <v>12400</v>
      </c>
      <c r="CC197" s="5">
        <v>14982</v>
      </c>
      <c r="CD197" s="5">
        <v>101617</v>
      </c>
      <c r="CE197" s="5">
        <v>160796</v>
      </c>
      <c r="CF197" s="5">
        <v>16650</v>
      </c>
      <c r="CG197" s="5">
        <v>21038</v>
      </c>
      <c r="CH197" s="5">
        <v>0</v>
      </c>
      <c r="CI197" s="5">
        <v>28</v>
      </c>
      <c r="CJ197" s="5">
        <v>20</v>
      </c>
      <c r="CK197" s="5">
        <v>73</v>
      </c>
      <c r="CL197" s="5"/>
      <c r="CM197" s="5"/>
      <c r="CN197" s="5"/>
      <c r="CO197" s="5"/>
      <c r="CP197" s="5"/>
      <c r="CQ197" s="5"/>
      <c r="CR197" s="5"/>
      <c r="CS197" s="5"/>
      <c r="CT197" s="5" t="s">
        <v>82</v>
      </c>
      <c r="CU197" s="5" t="s">
        <v>82</v>
      </c>
      <c r="CV197" s="5" t="s">
        <v>82</v>
      </c>
      <c r="CW197" s="5">
        <v>37</v>
      </c>
      <c r="CX197" s="5">
        <v>0</v>
      </c>
      <c r="CY197" s="5">
        <v>51</v>
      </c>
      <c r="DA197" s="6"/>
      <c r="DC197" s="6"/>
      <c r="DD197" s="6">
        <f t="shared" si="35"/>
        <v>386215</v>
      </c>
      <c r="DE197" s="6">
        <f t="shared" si="36"/>
        <v>202835</v>
      </c>
      <c r="DF197" s="16">
        <f t="shared" si="37"/>
        <v>589050</v>
      </c>
      <c r="DK197" s="6">
        <f t="shared" si="38"/>
        <v>62723</v>
      </c>
      <c r="DL197" s="6">
        <f t="shared" si="39"/>
        <v>106993</v>
      </c>
      <c r="DM197" s="6">
        <f t="shared" si="49"/>
        <v>9883</v>
      </c>
      <c r="DN197" s="6">
        <f t="shared" si="50"/>
        <v>23426</v>
      </c>
      <c r="DO197" s="6">
        <f t="shared" si="51"/>
        <v>296589</v>
      </c>
      <c r="DP197" s="6">
        <f t="shared" si="48"/>
        <v>41144</v>
      </c>
      <c r="DQ197" s="6"/>
      <c r="DR197" s="6">
        <f t="shared" si="52"/>
        <v>15010</v>
      </c>
      <c r="DS197" s="6">
        <f t="shared" si="53"/>
        <v>904</v>
      </c>
      <c r="DT197" s="6">
        <f t="shared" si="54"/>
        <v>11530</v>
      </c>
      <c r="DU197" s="6"/>
      <c r="DV197" s="6"/>
      <c r="DW197" s="6">
        <f t="shared" si="55"/>
        <v>568202</v>
      </c>
      <c r="DY197" s="6">
        <f t="shared" si="45"/>
        <v>363155</v>
      </c>
      <c r="DZ197" s="6">
        <f t="shared" si="46"/>
        <v>33998</v>
      </c>
      <c r="EB197" s="6">
        <f t="shared" si="47"/>
        <v>623048</v>
      </c>
      <c r="EC197" s="6"/>
      <c r="ED197" s="6"/>
      <c r="EF197" s="6"/>
      <c r="EG197" s="6"/>
    </row>
    <row r="198" spans="2:138" ht="14">
      <c r="B198" s="4">
        <v>37987</v>
      </c>
      <c r="C198" s="5">
        <v>2</v>
      </c>
      <c r="D198" s="5">
        <v>37</v>
      </c>
      <c r="E198" s="5">
        <v>6193</v>
      </c>
      <c r="F198" s="5" t="s">
        <v>82</v>
      </c>
      <c r="G198" s="5" t="s">
        <v>82</v>
      </c>
      <c r="H198" s="5">
        <v>8650</v>
      </c>
      <c r="I198" s="5">
        <v>15197</v>
      </c>
      <c r="J198" s="5">
        <v>3139</v>
      </c>
      <c r="K198" s="5">
        <v>8040</v>
      </c>
      <c r="L198" s="5"/>
      <c r="M198" s="5">
        <v>31672</v>
      </c>
      <c r="N198" s="5">
        <v>2824</v>
      </c>
      <c r="O198" s="5"/>
      <c r="P198" s="5">
        <v>1951</v>
      </c>
      <c r="Q198" s="5">
        <v>8719</v>
      </c>
      <c r="R198" s="5">
        <v>604</v>
      </c>
      <c r="S198" s="5">
        <v>8667</v>
      </c>
      <c r="T198" s="5">
        <v>9870</v>
      </c>
      <c r="U198" s="5"/>
      <c r="V198" s="5"/>
      <c r="W198" s="5">
        <v>463</v>
      </c>
      <c r="X198" s="5">
        <v>7377</v>
      </c>
      <c r="Y198" s="5">
        <v>465</v>
      </c>
      <c r="Z198" s="5">
        <v>20</v>
      </c>
      <c r="AA198" s="155"/>
      <c r="AB198" s="5">
        <v>9</v>
      </c>
      <c r="AC198" s="5">
        <v>50</v>
      </c>
      <c r="AD198" s="5">
        <v>14</v>
      </c>
      <c r="AE198" s="5">
        <v>28</v>
      </c>
      <c r="AF198" s="5">
        <v>36</v>
      </c>
      <c r="AG198" s="5">
        <v>51</v>
      </c>
      <c r="AH198" s="5"/>
      <c r="AI198" s="5"/>
      <c r="AJ198" s="5">
        <v>6</v>
      </c>
      <c r="AK198" s="5">
        <v>6818</v>
      </c>
      <c r="AL198" s="5">
        <v>85888</v>
      </c>
      <c r="AM198" s="5">
        <v>3333</v>
      </c>
      <c r="AN198" s="5">
        <v>11629</v>
      </c>
      <c r="AO198" s="5">
        <v>48</v>
      </c>
      <c r="AP198" s="5">
        <v>7</v>
      </c>
      <c r="AQ198" s="5">
        <v>98</v>
      </c>
      <c r="AR198" s="5">
        <v>0</v>
      </c>
      <c r="AS198" s="5">
        <v>1439</v>
      </c>
      <c r="AT198" s="5" t="s">
        <v>82</v>
      </c>
      <c r="AU198" s="5">
        <v>3040</v>
      </c>
      <c r="AV198" s="5">
        <v>2022</v>
      </c>
      <c r="AW198" s="5">
        <v>3176</v>
      </c>
      <c r="AX198" s="5">
        <v>8143</v>
      </c>
      <c r="AY198" s="155"/>
      <c r="AZ198" s="155"/>
      <c r="BA198" s="155">
        <v>190</v>
      </c>
      <c r="BB198" s="155"/>
      <c r="BC198" s="5">
        <v>477</v>
      </c>
      <c r="BD198" s="5"/>
      <c r="BE198" s="5">
        <v>17</v>
      </c>
      <c r="BF198" s="5">
        <v>81</v>
      </c>
      <c r="BG198" s="5">
        <v>518</v>
      </c>
      <c r="BH198" s="5">
        <v>5</v>
      </c>
      <c r="BI198" s="5">
        <v>4</v>
      </c>
      <c r="BJ198" s="5">
        <v>7688</v>
      </c>
      <c r="BK198" s="5">
        <v>38</v>
      </c>
      <c r="BL198" s="5">
        <v>3288</v>
      </c>
      <c r="BM198" s="5"/>
      <c r="BN198" s="5">
        <v>351</v>
      </c>
      <c r="BO198" s="5">
        <v>63</v>
      </c>
      <c r="BP198" s="5">
        <v>1056</v>
      </c>
      <c r="BQ198" s="5">
        <v>38796</v>
      </c>
      <c r="BR198" s="5">
        <v>4217</v>
      </c>
      <c r="BS198" s="5">
        <v>100</v>
      </c>
      <c r="BT198" s="5">
        <v>3263</v>
      </c>
      <c r="BU198" s="5">
        <v>79</v>
      </c>
      <c r="BV198" s="5"/>
      <c r="BW198" s="5">
        <v>10</v>
      </c>
      <c r="BX198" s="5">
        <v>114</v>
      </c>
      <c r="BY198" s="5"/>
      <c r="BZ198" s="5">
        <v>48</v>
      </c>
      <c r="CA198" s="5">
        <v>0</v>
      </c>
      <c r="CB198" s="5">
        <v>12818</v>
      </c>
      <c r="CC198" s="5">
        <v>15042</v>
      </c>
      <c r="CD198" s="5">
        <v>103205</v>
      </c>
      <c r="CE198" s="5">
        <v>163279</v>
      </c>
      <c r="CF198" s="5">
        <v>17088</v>
      </c>
      <c r="CG198" s="5">
        <v>21228</v>
      </c>
      <c r="CH198" s="5">
        <v>0</v>
      </c>
      <c r="CI198" s="5">
        <v>29</v>
      </c>
      <c r="CJ198" s="5">
        <v>20</v>
      </c>
      <c r="CK198" s="5">
        <v>70</v>
      </c>
      <c r="CL198" s="5"/>
      <c r="CM198" s="5"/>
      <c r="CN198" s="5"/>
      <c r="CO198" s="5"/>
      <c r="CP198" s="5"/>
      <c r="CQ198" s="5"/>
      <c r="CR198" s="5"/>
      <c r="CS198" s="5"/>
      <c r="CT198" s="5" t="s">
        <v>82</v>
      </c>
      <c r="CU198" s="5" t="s">
        <v>82</v>
      </c>
      <c r="CV198" s="5" t="s">
        <v>82</v>
      </c>
      <c r="CW198" s="5">
        <v>37</v>
      </c>
      <c r="CX198" s="5">
        <v>0</v>
      </c>
      <c r="CY198" s="5">
        <v>51</v>
      </c>
      <c r="DA198" s="6"/>
      <c r="DC198" s="6"/>
      <c r="DD198" s="6">
        <f t="shared" si="35"/>
        <v>392515</v>
      </c>
      <c r="DE198" s="6">
        <f t="shared" si="36"/>
        <v>198944</v>
      </c>
      <c r="DF198" s="16">
        <f t="shared" si="37"/>
        <v>591459</v>
      </c>
      <c r="DK198" s="6">
        <f t="shared" si="38"/>
        <v>62277</v>
      </c>
      <c r="DL198" s="6">
        <f t="shared" si="39"/>
        <v>107059</v>
      </c>
      <c r="DM198" s="6">
        <f t="shared" si="49"/>
        <v>9870</v>
      </c>
      <c r="DN198" s="6">
        <f t="shared" si="50"/>
        <v>19928</v>
      </c>
      <c r="DO198" s="6">
        <f t="shared" si="51"/>
        <v>301120</v>
      </c>
      <c r="DP198" s="6">
        <f t="shared" si="48"/>
        <v>42432</v>
      </c>
      <c r="DQ198" s="6"/>
      <c r="DR198" s="6">
        <f t="shared" si="52"/>
        <v>15071</v>
      </c>
      <c r="DS198" s="6">
        <f t="shared" si="53"/>
        <v>1056</v>
      </c>
      <c r="DT198" s="6">
        <f t="shared" si="54"/>
        <v>11608</v>
      </c>
      <c r="DU198" s="6"/>
      <c r="DV198" s="6"/>
      <c r="DW198" s="6">
        <f t="shared" si="55"/>
        <v>570421</v>
      </c>
      <c r="DY198" s="6">
        <f t="shared" si="45"/>
        <v>368982</v>
      </c>
      <c r="DZ198" s="6">
        <f t="shared" si="46"/>
        <v>35026</v>
      </c>
      <c r="EB198" s="6">
        <f t="shared" si="47"/>
        <v>626485</v>
      </c>
      <c r="EC198" s="6"/>
      <c r="ED198" s="6"/>
      <c r="EF198" s="6"/>
      <c r="EG198" s="6"/>
    </row>
    <row r="199" spans="2:138" ht="14">
      <c r="B199" s="4">
        <v>38018</v>
      </c>
      <c r="C199" s="5">
        <v>2</v>
      </c>
      <c r="D199" s="5">
        <v>31</v>
      </c>
      <c r="E199" s="5">
        <v>6098</v>
      </c>
      <c r="F199" s="5" t="s">
        <v>82</v>
      </c>
      <c r="G199" s="5" t="s">
        <v>82</v>
      </c>
      <c r="H199" s="5">
        <v>8673</v>
      </c>
      <c r="I199" s="5">
        <v>15406</v>
      </c>
      <c r="J199" s="5">
        <v>3088</v>
      </c>
      <c r="K199" s="5">
        <v>7989</v>
      </c>
      <c r="L199" s="5"/>
      <c r="M199" s="5">
        <v>31566</v>
      </c>
      <c r="N199" s="5">
        <v>2820</v>
      </c>
      <c r="O199" s="5"/>
      <c r="P199" s="5">
        <v>1934</v>
      </c>
      <c r="Q199" s="5">
        <v>8614</v>
      </c>
      <c r="R199" s="5">
        <v>607</v>
      </c>
      <c r="S199" s="5">
        <v>8632</v>
      </c>
      <c r="T199" s="5">
        <v>9876</v>
      </c>
      <c r="U199" s="5"/>
      <c r="V199" s="5"/>
      <c r="W199" s="5">
        <v>461</v>
      </c>
      <c r="X199" s="5">
        <v>7322</v>
      </c>
      <c r="Y199" s="5">
        <v>460</v>
      </c>
      <c r="Z199" s="5">
        <v>20</v>
      </c>
      <c r="AA199" s="155"/>
      <c r="AB199" s="5">
        <v>10</v>
      </c>
      <c r="AC199" s="5">
        <v>49</v>
      </c>
      <c r="AD199" s="5">
        <v>14</v>
      </c>
      <c r="AE199" s="5">
        <v>28</v>
      </c>
      <c r="AF199" s="5">
        <v>35</v>
      </c>
      <c r="AG199" s="5">
        <v>53</v>
      </c>
      <c r="AH199" s="5"/>
      <c r="AI199" s="5"/>
      <c r="AJ199" s="5">
        <v>7</v>
      </c>
      <c r="AK199" s="5">
        <v>6823</v>
      </c>
      <c r="AL199" s="5">
        <v>85679</v>
      </c>
      <c r="AM199" s="5">
        <v>3329</v>
      </c>
      <c r="AN199" s="5">
        <v>11722</v>
      </c>
      <c r="AO199" s="5">
        <v>40</v>
      </c>
      <c r="AP199" s="5">
        <v>7</v>
      </c>
      <c r="AQ199" s="5">
        <v>1205</v>
      </c>
      <c r="AR199" s="5">
        <v>0</v>
      </c>
      <c r="AS199" s="5">
        <v>1438</v>
      </c>
      <c r="AT199" s="5" t="s">
        <v>82</v>
      </c>
      <c r="AU199" s="5">
        <v>3062</v>
      </c>
      <c r="AV199" s="5">
        <v>2003</v>
      </c>
      <c r="AW199" s="5">
        <v>3174</v>
      </c>
      <c r="AX199" s="5">
        <v>8217</v>
      </c>
      <c r="AY199" s="155"/>
      <c r="AZ199" s="155"/>
      <c r="BA199" s="155">
        <v>203</v>
      </c>
      <c r="BB199" s="155"/>
      <c r="BC199" s="5">
        <v>483</v>
      </c>
      <c r="BD199" s="5"/>
      <c r="BE199" s="5">
        <v>16</v>
      </c>
      <c r="BF199" s="5">
        <v>81</v>
      </c>
      <c r="BG199" s="5">
        <v>526</v>
      </c>
      <c r="BH199" s="5">
        <v>5</v>
      </c>
      <c r="BI199" s="5">
        <v>4</v>
      </c>
      <c r="BJ199" s="5">
        <v>7695</v>
      </c>
      <c r="BK199" s="5">
        <v>44</v>
      </c>
      <c r="BL199" s="5">
        <v>3279</v>
      </c>
      <c r="BM199" s="5"/>
      <c r="BN199" s="5">
        <v>337</v>
      </c>
      <c r="BO199" s="5">
        <v>62</v>
      </c>
      <c r="BP199" s="5">
        <v>1445</v>
      </c>
      <c r="BQ199" s="5">
        <v>39345</v>
      </c>
      <c r="BR199" s="5">
        <v>3927</v>
      </c>
      <c r="BS199" s="5">
        <v>101</v>
      </c>
      <c r="BT199" s="5">
        <v>3485</v>
      </c>
      <c r="BU199" s="5">
        <v>90</v>
      </c>
      <c r="BV199" s="5"/>
      <c r="BW199" s="5">
        <v>14</v>
      </c>
      <c r="BX199" s="5">
        <v>115</v>
      </c>
      <c r="BY199" s="5"/>
      <c r="BZ199" s="5">
        <v>44</v>
      </c>
      <c r="CA199" s="5">
        <v>0</v>
      </c>
      <c r="CB199" s="5">
        <v>12788</v>
      </c>
      <c r="CC199" s="5">
        <v>14633</v>
      </c>
      <c r="CD199" s="5">
        <v>104057</v>
      </c>
      <c r="CE199" s="5">
        <v>164759</v>
      </c>
      <c r="CF199" s="5">
        <v>17215</v>
      </c>
      <c r="CG199" s="5">
        <v>21080</v>
      </c>
      <c r="CH199" s="5">
        <v>0</v>
      </c>
      <c r="CI199" s="5">
        <v>26</v>
      </c>
      <c r="CJ199" s="5">
        <v>19</v>
      </c>
      <c r="CK199" s="5">
        <v>66</v>
      </c>
      <c r="CL199" s="5"/>
      <c r="CM199" s="5"/>
      <c r="CN199" s="5"/>
      <c r="CO199" s="5"/>
      <c r="CP199" s="5"/>
      <c r="CQ199" s="5"/>
      <c r="CR199" s="5"/>
      <c r="CS199" s="5"/>
      <c r="CT199" s="5" t="s">
        <v>82</v>
      </c>
      <c r="CU199" s="5" t="s">
        <v>82</v>
      </c>
      <c r="CV199" s="5" t="s">
        <v>82</v>
      </c>
      <c r="CW199" s="5">
        <v>37</v>
      </c>
      <c r="CX199" s="5">
        <v>0</v>
      </c>
      <c r="CY199" s="5">
        <v>51</v>
      </c>
      <c r="DA199" s="6"/>
      <c r="DC199" s="6"/>
      <c r="DD199" s="6">
        <f t="shared" si="35"/>
        <v>395258</v>
      </c>
      <c r="DE199" s="6">
        <f t="shared" si="36"/>
        <v>199690</v>
      </c>
      <c r="DF199" s="16">
        <f t="shared" si="37"/>
        <v>594948</v>
      </c>
      <c r="DK199" s="6">
        <f t="shared" si="38"/>
        <v>61956</v>
      </c>
      <c r="DL199" s="6">
        <f t="shared" si="39"/>
        <v>106857</v>
      </c>
      <c r="DM199" s="6">
        <f t="shared" si="49"/>
        <v>9876</v>
      </c>
      <c r="DN199" s="6">
        <f t="shared" si="50"/>
        <v>21204</v>
      </c>
      <c r="DO199" s="6">
        <f t="shared" si="51"/>
        <v>303271</v>
      </c>
      <c r="DP199" s="6">
        <f t="shared" si="48"/>
        <v>43188</v>
      </c>
      <c r="DQ199" s="6"/>
      <c r="DR199" s="6">
        <f t="shared" si="52"/>
        <v>14659</v>
      </c>
      <c r="DS199" s="6">
        <f t="shared" si="53"/>
        <v>1445</v>
      </c>
      <c r="DT199" s="6">
        <f t="shared" si="54"/>
        <v>11615</v>
      </c>
      <c r="DU199" s="6"/>
      <c r="DV199" s="6"/>
      <c r="DW199" s="6">
        <f t="shared" si="55"/>
        <v>574071</v>
      </c>
      <c r="DY199" s="6">
        <f t="shared" si="45"/>
        <v>371122</v>
      </c>
      <c r="DZ199" s="6">
        <f t="shared" si="46"/>
        <v>35156</v>
      </c>
      <c r="EB199" s="6">
        <f t="shared" si="47"/>
        <v>630104</v>
      </c>
      <c r="EC199" s="6"/>
      <c r="ED199" s="6"/>
      <c r="EF199" s="6"/>
      <c r="EG199" s="6"/>
    </row>
    <row r="200" spans="2:138" ht="14">
      <c r="B200" s="4">
        <v>38047</v>
      </c>
      <c r="C200" s="5">
        <v>2</v>
      </c>
      <c r="D200" s="5">
        <v>29</v>
      </c>
      <c r="E200" s="5">
        <v>6347</v>
      </c>
      <c r="F200" s="5" t="s">
        <v>82</v>
      </c>
      <c r="G200" s="5" t="s">
        <v>82</v>
      </c>
      <c r="H200" s="5">
        <v>8846</v>
      </c>
      <c r="I200" s="5">
        <v>15714</v>
      </c>
      <c r="J200" s="5">
        <v>3096</v>
      </c>
      <c r="K200" s="5">
        <v>7962</v>
      </c>
      <c r="L200" s="5"/>
      <c r="M200" s="5">
        <v>31553</v>
      </c>
      <c r="N200" s="5">
        <v>2803</v>
      </c>
      <c r="O200" s="5"/>
      <c r="P200" s="5">
        <v>1936</v>
      </c>
      <c r="Q200" s="5">
        <v>8657</v>
      </c>
      <c r="R200" s="5">
        <v>608</v>
      </c>
      <c r="S200" s="5">
        <v>8720</v>
      </c>
      <c r="T200" s="5">
        <v>9933</v>
      </c>
      <c r="U200" s="5"/>
      <c r="V200" s="5"/>
      <c r="W200" s="5">
        <v>453</v>
      </c>
      <c r="X200" s="5">
        <v>7302</v>
      </c>
      <c r="Y200" s="5">
        <v>457</v>
      </c>
      <c r="Z200" s="5">
        <v>20</v>
      </c>
      <c r="AA200" s="155"/>
      <c r="AB200" s="5">
        <v>10</v>
      </c>
      <c r="AC200" s="5">
        <v>50</v>
      </c>
      <c r="AD200" s="5">
        <v>12</v>
      </c>
      <c r="AE200" s="5">
        <v>29</v>
      </c>
      <c r="AF200" s="5">
        <v>34</v>
      </c>
      <c r="AG200" s="5">
        <v>54</v>
      </c>
      <c r="AH200" s="5"/>
      <c r="AI200" s="5"/>
      <c r="AJ200" s="5">
        <v>7</v>
      </c>
      <c r="AK200" s="5">
        <v>6853</v>
      </c>
      <c r="AL200" s="5">
        <v>85906</v>
      </c>
      <c r="AM200" s="5">
        <v>3296</v>
      </c>
      <c r="AN200" s="5">
        <v>11827</v>
      </c>
      <c r="AO200" s="5">
        <v>36</v>
      </c>
      <c r="AP200" s="5">
        <v>9</v>
      </c>
      <c r="AQ200" s="5">
        <v>2260</v>
      </c>
      <c r="AR200" s="5">
        <v>0</v>
      </c>
      <c r="AS200" s="5">
        <v>1412</v>
      </c>
      <c r="AT200" s="5" t="s">
        <v>82</v>
      </c>
      <c r="AU200" s="5">
        <v>3109</v>
      </c>
      <c r="AV200" s="5">
        <v>2006</v>
      </c>
      <c r="AW200" s="5">
        <v>3227</v>
      </c>
      <c r="AX200" s="5">
        <v>8279</v>
      </c>
      <c r="AY200" s="155"/>
      <c r="AZ200" s="155"/>
      <c r="BA200" s="155">
        <v>210</v>
      </c>
      <c r="BB200" s="155"/>
      <c r="BC200" s="5">
        <v>480</v>
      </c>
      <c r="BD200" s="5"/>
      <c r="BE200" s="5">
        <v>16</v>
      </c>
      <c r="BF200" s="5">
        <v>76</v>
      </c>
      <c r="BG200" s="5">
        <v>528</v>
      </c>
      <c r="BH200" s="5">
        <v>5</v>
      </c>
      <c r="BI200" s="5">
        <v>4</v>
      </c>
      <c r="BJ200" s="5">
        <v>7764</v>
      </c>
      <c r="BK200" s="5">
        <v>40</v>
      </c>
      <c r="BL200" s="5">
        <v>3263</v>
      </c>
      <c r="BM200" s="5"/>
      <c r="BN200" s="5">
        <v>351</v>
      </c>
      <c r="BO200" s="5">
        <v>61</v>
      </c>
      <c r="BP200" s="5">
        <v>1950</v>
      </c>
      <c r="BQ200" s="5">
        <v>40029</v>
      </c>
      <c r="BR200" s="5">
        <v>3592</v>
      </c>
      <c r="BS200" s="5">
        <v>94</v>
      </c>
      <c r="BT200" s="5">
        <v>3751</v>
      </c>
      <c r="BU200" s="5">
        <v>70</v>
      </c>
      <c r="BV200" s="5"/>
      <c r="BW200" s="5">
        <v>6</v>
      </c>
      <c r="BX200" s="5">
        <v>115</v>
      </c>
      <c r="BY200" s="5"/>
      <c r="BZ200" s="5">
        <v>44</v>
      </c>
      <c r="CA200" s="5">
        <v>0</v>
      </c>
      <c r="CB200" s="5">
        <v>13044</v>
      </c>
      <c r="CC200" s="5">
        <v>14800</v>
      </c>
      <c r="CD200" s="5">
        <v>105076</v>
      </c>
      <c r="CE200" s="5">
        <v>166431</v>
      </c>
      <c r="CF200" s="5">
        <v>17365</v>
      </c>
      <c r="CG200" s="5">
        <v>21091</v>
      </c>
      <c r="CH200" s="5">
        <v>0</v>
      </c>
      <c r="CI200" s="5">
        <v>26</v>
      </c>
      <c r="CJ200" s="5">
        <v>18</v>
      </c>
      <c r="CK200" s="5">
        <v>68</v>
      </c>
      <c r="CL200" s="5"/>
      <c r="CM200" s="5"/>
      <c r="CN200" s="5"/>
      <c r="CO200" s="5"/>
      <c r="CP200" s="5"/>
      <c r="CQ200" s="5"/>
      <c r="CR200" s="5"/>
      <c r="CS200" s="5"/>
      <c r="CT200" s="5" t="s">
        <v>82</v>
      </c>
      <c r="CU200" s="5" t="s">
        <v>82</v>
      </c>
      <c r="CV200" s="5" t="s">
        <v>82</v>
      </c>
      <c r="CW200" s="5">
        <v>37</v>
      </c>
      <c r="CX200" s="5">
        <v>0</v>
      </c>
      <c r="CY200" s="5">
        <v>51</v>
      </c>
      <c r="DA200" s="6"/>
      <c r="DC200" s="6"/>
      <c r="DD200" s="6">
        <f t="shared" si="35"/>
        <v>399678</v>
      </c>
      <c r="DE200" s="6">
        <f t="shared" si="36"/>
        <v>201338</v>
      </c>
      <c r="DF200" s="16">
        <f t="shared" si="37"/>
        <v>601016</v>
      </c>
      <c r="DK200" s="6">
        <f t="shared" si="38"/>
        <v>62032</v>
      </c>
      <c r="DL200" s="6">
        <f t="shared" si="39"/>
        <v>107154</v>
      </c>
      <c r="DM200" s="6">
        <f t="shared" si="49"/>
        <v>9933</v>
      </c>
      <c r="DN200" s="6">
        <f t="shared" si="50"/>
        <v>22429</v>
      </c>
      <c r="DO200" s="6">
        <f t="shared" si="51"/>
        <v>305989</v>
      </c>
      <c r="DP200" s="6">
        <f t="shared" si="48"/>
        <v>44152</v>
      </c>
      <c r="DQ200" s="6"/>
      <c r="DR200" s="6">
        <f t="shared" si="52"/>
        <v>14826</v>
      </c>
      <c r="DS200" s="6">
        <f t="shared" si="53"/>
        <v>1950</v>
      </c>
      <c r="DT200" s="6">
        <f t="shared" si="54"/>
        <v>11670</v>
      </c>
      <c r="DU200" s="6"/>
      <c r="DV200" s="6"/>
      <c r="DW200" s="6">
        <f t="shared" si="55"/>
        <v>580135</v>
      </c>
      <c r="DY200" s="6">
        <f t="shared" si="45"/>
        <v>374368</v>
      </c>
      <c r="DZ200" s="6">
        <f t="shared" si="46"/>
        <v>35618</v>
      </c>
      <c r="EB200" s="6">
        <f t="shared" si="47"/>
        <v>636634</v>
      </c>
      <c r="EC200" s="6"/>
      <c r="ED200" s="6"/>
      <c r="EF200" s="6"/>
      <c r="EG200" s="6"/>
    </row>
    <row r="201" spans="2:138" ht="14">
      <c r="B201" s="4">
        <v>38078</v>
      </c>
      <c r="C201" s="5">
        <v>1</v>
      </c>
      <c r="D201" s="5">
        <v>25</v>
      </c>
      <c r="E201" s="5">
        <v>6012</v>
      </c>
      <c r="F201" s="5" t="s">
        <v>82</v>
      </c>
      <c r="G201" s="5" t="s">
        <v>82</v>
      </c>
      <c r="H201" s="5">
        <v>8873</v>
      </c>
      <c r="I201" s="5">
        <v>15887</v>
      </c>
      <c r="J201" s="5">
        <v>3074</v>
      </c>
      <c r="K201" s="5">
        <v>7839</v>
      </c>
      <c r="L201" s="5"/>
      <c r="M201" s="5">
        <v>31469</v>
      </c>
      <c r="N201" s="5">
        <v>2823</v>
      </c>
      <c r="O201" s="5"/>
      <c r="P201" s="5">
        <v>1930</v>
      </c>
      <c r="Q201" s="5">
        <v>8721</v>
      </c>
      <c r="R201" s="5">
        <v>604</v>
      </c>
      <c r="S201" s="5">
        <v>8829</v>
      </c>
      <c r="T201" s="5">
        <v>9912</v>
      </c>
      <c r="U201" s="5"/>
      <c r="V201" s="5"/>
      <c r="W201" s="5">
        <v>463</v>
      </c>
      <c r="X201" s="5">
        <v>7276</v>
      </c>
      <c r="Y201" s="5">
        <v>447</v>
      </c>
      <c r="Z201" s="5">
        <v>20</v>
      </c>
      <c r="AA201" s="155"/>
      <c r="AB201" s="5">
        <v>9</v>
      </c>
      <c r="AC201" s="5">
        <v>52</v>
      </c>
      <c r="AD201" s="5">
        <v>12</v>
      </c>
      <c r="AE201" s="5">
        <v>28</v>
      </c>
      <c r="AF201" s="5">
        <v>34</v>
      </c>
      <c r="AG201" s="5">
        <v>55</v>
      </c>
      <c r="AH201" s="5"/>
      <c r="AI201" s="5"/>
      <c r="AJ201" s="5">
        <v>7</v>
      </c>
      <c r="AK201" s="5">
        <v>6924</v>
      </c>
      <c r="AL201" s="5">
        <v>85654</v>
      </c>
      <c r="AM201" s="5">
        <v>3289</v>
      </c>
      <c r="AN201" s="5">
        <v>11917</v>
      </c>
      <c r="AO201" s="5">
        <v>40</v>
      </c>
      <c r="AP201" s="5">
        <v>9</v>
      </c>
      <c r="AQ201" s="5">
        <v>2747</v>
      </c>
      <c r="AR201" s="5">
        <v>0</v>
      </c>
      <c r="AS201" s="5">
        <v>1420</v>
      </c>
      <c r="AT201" s="5" t="s">
        <v>82</v>
      </c>
      <c r="AU201" s="5">
        <v>3151</v>
      </c>
      <c r="AV201" s="5">
        <v>2010</v>
      </c>
      <c r="AW201" s="5">
        <v>3234</v>
      </c>
      <c r="AX201" s="5">
        <v>8284</v>
      </c>
      <c r="AY201" s="155"/>
      <c r="AZ201" s="155"/>
      <c r="BA201" s="155">
        <v>216</v>
      </c>
      <c r="BB201" s="155"/>
      <c r="BC201" s="5">
        <v>489</v>
      </c>
      <c r="BD201" s="5"/>
      <c r="BE201" s="5">
        <v>5</v>
      </c>
      <c r="BF201" s="5">
        <v>11</v>
      </c>
      <c r="BG201" s="5">
        <v>539</v>
      </c>
      <c r="BH201" s="5">
        <v>2</v>
      </c>
      <c r="BI201" s="5">
        <v>0</v>
      </c>
      <c r="BJ201" s="5">
        <v>7813</v>
      </c>
      <c r="BK201" s="5">
        <v>38</v>
      </c>
      <c r="BL201" s="5">
        <v>3266</v>
      </c>
      <c r="BM201" s="5"/>
      <c r="BN201" s="5">
        <v>364</v>
      </c>
      <c r="BO201" s="5">
        <v>62</v>
      </c>
      <c r="BP201" s="5">
        <v>2531</v>
      </c>
      <c r="BQ201" s="5">
        <v>40463</v>
      </c>
      <c r="BR201" s="5">
        <v>3200</v>
      </c>
      <c r="BS201" s="5">
        <v>98</v>
      </c>
      <c r="BT201" s="5">
        <v>4023</v>
      </c>
      <c r="BU201" s="5">
        <v>67</v>
      </c>
      <c r="BV201" s="5"/>
      <c r="BW201" s="5">
        <v>6</v>
      </c>
      <c r="BX201" s="5">
        <v>112</v>
      </c>
      <c r="BY201" s="5"/>
      <c r="BZ201" s="5">
        <v>42</v>
      </c>
      <c r="CA201" s="5">
        <v>0</v>
      </c>
      <c r="CB201" s="5">
        <v>13282</v>
      </c>
      <c r="CC201" s="5">
        <v>14851</v>
      </c>
      <c r="CD201" s="5">
        <v>105920</v>
      </c>
      <c r="CE201" s="5">
        <v>167633</v>
      </c>
      <c r="CF201" s="5">
        <v>17336</v>
      </c>
      <c r="CG201" s="5">
        <v>21006</v>
      </c>
      <c r="CH201" s="5">
        <v>0</v>
      </c>
      <c r="CI201" s="5">
        <v>21</v>
      </c>
      <c r="CJ201" s="5">
        <v>17</v>
      </c>
      <c r="CK201" s="5">
        <v>65</v>
      </c>
      <c r="CL201" s="5"/>
      <c r="CM201" s="5"/>
      <c r="CN201" s="5"/>
      <c r="CO201" s="5"/>
      <c r="CP201" s="5"/>
      <c r="CQ201" s="5"/>
      <c r="CR201" s="5"/>
      <c r="CS201" s="5"/>
      <c r="CT201" s="5" t="s">
        <v>82</v>
      </c>
      <c r="CU201" s="5" t="s">
        <v>82</v>
      </c>
      <c r="CV201" s="5" t="s">
        <v>82</v>
      </c>
      <c r="CW201" s="5">
        <v>36</v>
      </c>
      <c r="CX201" s="5">
        <v>0</v>
      </c>
      <c r="CY201" s="5">
        <v>51</v>
      </c>
      <c r="DA201" s="6"/>
      <c r="DC201" s="6"/>
      <c r="DD201" s="6">
        <f t="shared" si="35"/>
        <v>402773</v>
      </c>
      <c r="DE201" s="6">
        <f t="shared" si="36"/>
        <v>201859</v>
      </c>
      <c r="DF201" s="16">
        <f t="shared" si="37"/>
        <v>604632</v>
      </c>
      <c r="DK201" s="6">
        <f t="shared" si="38"/>
        <v>62115</v>
      </c>
      <c r="DL201" s="6">
        <f t="shared" si="39"/>
        <v>107036</v>
      </c>
      <c r="DM201" s="6">
        <f t="shared" si="49"/>
        <v>9912</v>
      </c>
      <c r="DN201" s="6">
        <f t="shared" si="50"/>
        <v>23012</v>
      </c>
      <c r="DO201" s="6">
        <f t="shared" si="51"/>
        <v>307777</v>
      </c>
      <c r="DP201" s="6">
        <f t="shared" si="48"/>
        <v>44857</v>
      </c>
      <c r="DQ201" s="6"/>
      <c r="DR201" s="6">
        <f t="shared" si="52"/>
        <v>14872</v>
      </c>
      <c r="DS201" s="6">
        <f t="shared" si="53"/>
        <v>2531</v>
      </c>
      <c r="DT201" s="6">
        <f t="shared" si="54"/>
        <v>11730</v>
      </c>
      <c r="DU201" s="6"/>
      <c r="DV201" s="6"/>
      <c r="DW201" s="6">
        <f t="shared" si="55"/>
        <v>583842</v>
      </c>
      <c r="DY201" s="6">
        <f t="shared" si="45"/>
        <v>376186</v>
      </c>
      <c r="DZ201" s="6">
        <f t="shared" si="46"/>
        <v>35673</v>
      </c>
      <c r="EB201" s="6">
        <f t="shared" si="47"/>
        <v>640305</v>
      </c>
      <c r="EC201" s="6"/>
      <c r="ED201" s="6"/>
      <c r="EF201" s="6"/>
      <c r="EG201" s="6"/>
    </row>
    <row r="202" spans="2:138" ht="14">
      <c r="B202" s="4">
        <v>38108</v>
      </c>
      <c r="C202" s="5">
        <v>1</v>
      </c>
      <c r="D202" s="5">
        <v>19</v>
      </c>
      <c r="E202" s="5">
        <v>4853</v>
      </c>
      <c r="F202" s="5" t="s">
        <v>82</v>
      </c>
      <c r="G202" s="5" t="s">
        <v>82</v>
      </c>
      <c r="H202" s="5">
        <v>9136</v>
      </c>
      <c r="I202" s="5">
        <v>16353</v>
      </c>
      <c r="J202" s="5">
        <v>3083</v>
      </c>
      <c r="K202" s="5">
        <v>7876</v>
      </c>
      <c r="L202" s="5"/>
      <c r="M202" s="5">
        <v>31281</v>
      </c>
      <c r="N202" s="5">
        <v>2762</v>
      </c>
      <c r="O202" s="5"/>
      <c r="P202" s="5">
        <v>1951</v>
      </c>
      <c r="Q202" s="5">
        <v>8722</v>
      </c>
      <c r="R202" s="5">
        <v>603</v>
      </c>
      <c r="S202" s="5">
        <v>8909</v>
      </c>
      <c r="T202" s="5">
        <v>9899</v>
      </c>
      <c r="U202" s="5"/>
      <c r="V202" s="5"/>
      <c r="W202" s="5">
        <v>465</v>
      </c>
      <c r="X202" s="5">
        <v>7352</v>
      </c>
      <c r="Y202" s="5">
        <v>449</v>
      </c>
      <c r="Z202" s="5">
        <v>19</v>
      </c>
      <c r="AA202" s="155"/>
      <c r="AB202" s="5">
        <v>12</v>
      </c>
      <c r="AC202" s="5">
        <v>49</v>
      </c>
      <c r="AD202" s="5">
        <v>12</v>
      </c>
      <c r="AE202" s="5">
        <v>26</v>
      </c>
      <c r="AF202" s="5">
        <v>34</v>
      </c>
      <c r="AG202" s="5">
        <v>52</v>
      </c>
      <c r="AH202" s="5"/>
      <c r="AI202" s="5"/>
      <c r="AJ202" s="5">
        <v>7</v>
      </c>
      <c r="AK202" s="5">
        <v>7060</v>
      </c>
      <c r="AL202" s="5">
        <v>85499</v>
      </c>
      <c r="AM202" s="5">
        <v>3260</v>
      </c>
      <c r="AN202" s="5">
        <v>11961</v>
      </c>
      <c r="AO202" s="5">
        <v>47</v>
      </c>
      <c r="AP202" s="5">
        <v>11</v>
      </c>
      <c r="AQ202" s="5">
        <v>3068</v>
      </c>
      <c r="AR202" s="5">
        <v>0</v>
      </c>
      <c r="AS202" s="5">
        <v>1468</v>
      </c>
      <c r="AT202" s="5" t="s">
        <v>82</v>
      </c>
      <c r="AU202" s="5">
        <v>3197</v>
      </c>
      <c r="AV202" s="5">
        <v>2006</v>
      </c>
      <c r="AW202" s="5">
        <v>3267</v>
      </c>
      <c r="AX202" s="5">
        <v>8307</v>
      </c>
      <c r="AY202" s="155"/>
      <c r="AZ202" s="155"/>
      <c r="BA202" s="155">
        <v>219</v>
      </c>
      <c r="BB202" s="155"/>
      <c r="BC202" s="5">
        <v>493</v>
      </c>
      <c r="BD202" s="5"/>
      <c r="BE202" s="5">
        <v>6</v>
      </c>
      <c r="BF202" s="5">
        <v>9</v>
      </c>
      <c r="BG202" s="5">
        <v>586</v>
      </c>
      <c r="BH202" s="5">
        <v>1</v>
      </c>
      <c r="BI202" s="5">
        <v>0</v>
      </c>
      <c r="BJ202" s="5">
        <v>7795</v>
      </c>
      <c r="BK202" s="5">
        <v>47</v>
      </c>
      <c r="BL202" s="5">
        <v>3324</v>
      </c>
      <c r="BM202" s="5"/>
      <c r="BN202" s="5">
        <v>351</v>
      </c>
      <c r="BO202" s="5">
        <v>61</v>
      </c>
      <c r="BP202" s="5">
        <v>3142</v>
      </c>
      <c r="BQ202" s="5">
        <v>41075</v>
      </c>
      <c r="BR202" s="5">
        <v>2844</v>
      </c>
      <c r="BS202" s="5">
        <v>101</v>
      </c>
      <c r="BT202" s="5">
        <v>4265</v>
      </c>
      <c r="BU202" s="5">
        <v>71</v>
      </c>
      <c r="BV202" s="5"/>
      <c r="BW202" s="5">
        <v>6</v>
      </c>
      <c r="BX202" s="5">
        <v>112</v>
      </c>
      <c r="BY202" s="5"/>
      <c r="BZ202" s="5">
        <v>35</v>
      </c>
      <c r="CA202" s="5">
        <v>0</v>
      </c>
      <c r="CB202" s="5">
        <v>13574</v>
      </c>
      <c r="CC202" s="5">
        <v>15243</v>
      </c>
      <c r="CD202" s="5">
        <v>107181</v>
      </c>
      <c r="CE202" s="5">
        <v>169318</v>
      </c>
      <c r="CF202" s="5">
        <v>17488</v>
      </c>
      <c r="CG202" s="5">
        <v>20937</v>
      </c>
      <c r="CH202" s="5">
        <v>0</v>
      </c>
      <c r="CI202" s="5">
        <v>24</v>
      </c>
      <c r="CJ202" s="5">
        <v>19</v>
      </c>
      <c r="CK202" s="5">
        <v>66</v>
      </c>
      <c r="CL202" s="5"/>
      <c r="CM202" s="5"/>
      <c r="CN202" s="5"/>
      <c r="CO202" s="5"/>
      <c r="CP202" s="5"/>
      <c r="CQ202" s="5"/>
      <c r="CR202" s="5"/>
      <c r="CS202" s="5"/>
      <c r="CT202" s="5" t="s">
        <v>82</v>
      </c>
      <c r="CU202" s="5" t="s">
        <v>82</v>
      </c>
      <c r="CV202" s="5" t="s">
        <v>82</v>
      </c>
      <c r="CW202" s="5">
        <v>36</v>
      </c>
      <c r="CX202" s="5">
        <v>0</v>
      </c>
      <c r="CY202" s="5">
        <v>51</v>
      </c>
      <c r="DA202" s="6"/>
      <c r="DC202" s="6"/>
      <c r="DD202" s="6">
        <f t="shared" si="35"/>
        <v>407681</v>
      </c>
      <c r="DE202" s="6">
        <f t="shared" si="36"/>
        <v>202248</v>
      </c>
      <c r="DF202" s="16">
        <f t="shared" si="37"/>
        <v>609929</v>
      </c>
      <c r="DK202" s="6">
        <f t="shared" si="38"/>
        <v>62045</v>
      </c>
      <c r="DL202" s="6">
        <f t="shared" si="39"/>
        <v>107124</v>
      </c>
      <c r="DM202" s="6">
        <f t="shared" si="49"/>
        <v>9899</v>
      </c>
      <c r="DN202" s="6">
        <f t="shared" si="50"/>
        <v>23399</v>
      </c>
      <c r="DO202" s="6">
        <f t="shared" si="51"/>
        <v>310820</v>
      </c>
      <c r="DP202" s="6">
        <f t="shared" si="48"/>
        <v>45698</v>
      </c>
      <c r="DQ202" s="6"/>
      <c r="DR202" s="6">
        <f t="shared" si="52"/>
        <v>15267</v>
      </c>
      <c r="DS202" s="6">
        <f t="shared" si="53"/>
        <v>3142</v>
      </c>
      <c r="DT202" s="6">
        <f t="shared" si="54"/>
        <v>11817</v>
      </c>
      <c r="DU202" s="6"/>
      <c r="DV202" s="6"/>
      <c r="DW202" s="6">
        <f t="shared" si="55"/>
        <v>589211</v>
      </c>
      <c r="DY202" s="6">
        <f t="shared" si="45"/>
        <v>380022</v>
      </c>
      <c r="DZ202" s="6">
        <f t="shared" si="46"/>
        <v>36448</v>
      </c>
      <c r="EB202" s="6">
        <f t="shared" si="47"/>
        <v>646377</v>
      </c>
      <c r="EC202" s="6"/>
      <c r="ED202" s="6"/>
      <c r="EF202" s="6"/>
      <c r="EG202" s="6"/>
    </row>
    <row r="203" spans="2:138" s="17" customFormat="1" ht="14">
      <c r="B203" s="11">
        <v>38139</v>
      </c>
      <c r="C203" s="12">
        <v>2</v>
      </c>
      <c r="D203" s="12">
        <v>10</v>
      </c>
      <c r="E203" s="12">
        <v>4120</v>
      </c>
      <c r="F203" s="12" t="s">
        <v>82</v>
      </c>
      <c r="G203" s="12" t="s">
        <v>82</v>
      </c>
      <c r="H203" s="12">
        <v>9424</v>
      </c>
      <c r="I203" s="12">
        <v>16786</v>
      </c>
      <c r="J203" s="12">
        <v>3123</v>
      </c>
      <c r="K203" s="12">
        <v>7927</v>
      </c>
      <c r="L203" s="12"/>
      <c r="M203" s="12">
        <v>31266</v>
      </c>
      <c r="N203" s="12">
        <v>2775</v>
      </c>
      <c r="O203" s="12"/>
      <c r="P203" s="12">
        <v>1985</v>
      </c>
      <c r="Q203" s="12">
        <v>8865</v>
      </c>
      <c r="R203" s="12">
        <v>598</v>
      </c>
      <c r="S203" s="12">
        <v>9122</v>
      </c>
      <c r="T203" s="12">
        <v>9844</v>
      </c>
      <c r="U203" s="12"/>
      <c r="V203" s="12"/>
      <c r="W203" s="12">
        <v>471</v>
      </c>
      <c r="X203" s="12">
        <v>7450</v>
      </c>
      <c r="Y203" s="12">
        <v>446</v>
      </c>
      <c r="Z203" s="12">
        <v>19</v>
      </c>
      <c r="AA203" s="156"/>
      <c r="AB203" s="12">
        <v>9</v>
      </c>
      <c r="AC203" s="12">
        <v>50</v>
      </c>
      <c r="AD203" s="12">
        <v>12</v>
      </c>
      <c r="AE203" s="12">
        <v>27</v>
      </c>
      <c r="AF203" s="12">
        <v>38</v>
      </c>
      <c r="AG203" s="12">
        <v>52</v>
      </c>
      <c r="AH203" s="12"/>
      <c r="AI203" s="12"/>
      <c r="AJ203" s="12">
        <v>7</v>
      </c>
      <c r="AK203" s="12">
        <v>7272</v>
      </c>
      <c r="AL203" s="12">
        <v>86335</v>
      </c>
      <c r="AM203" s="12">
        <v>3263</v>
      </c>
      <c r="AN203" s="12">
        <v>12110</v>
      </c>
      <c r="AO203" s="12">
        <v>48</v>
      </c>
      <c r="AP203" s="12">
        <v>13</v>
      </c>
      <c r="AQ203" s="12">
        <v>3341</v>
      </c>
      <c r="AR203" s="12">
        <v>0</v>
      </c>
      <c r="AS203" s="12">
        <v>1560</v>
      </c>
      <c r="AT203" s="12" t="s">
        <v>82</v>
      </c>
      <c r="AU203" s="12">
        <v>3246</v>
      </c>
      <c r="AV203" s="12">
        <v>2027</v>
      </c>
      <c r="AW203" s="12">
        <v>3288</v>
      </c>
      <c r="AX203" s="12">
        <v>8339</v>
      </c>
      <c r="AY203" s="156"/>
      <c r="AZ203" s="156"/>
      <c r="BA203" s="156">
        <v>227</v>
      </c>
      <c r="BB203" s="156"/>
      <c r="BC203" s="12">
        <v>519</v>
      </c>
      <c r="BD203" s="12"/>
      <c r="BE203" s="12">
        <v>4</v>
      </c>
      <c r="BF203" s="12">
        <v>6</v>
      </c>
      <c r="BG203" s="12">
        <v>609</v>
      </c>
      <c r="BH203" s="12">
        <v>1</v>
      </c>
      <c r="BI203" s="12">
        <v>0</v>
      </c>
      <c r="BJ203" s="12">
        <v>7922</v>
      </c>
      <c r="BK203" s="12">
        <v>39</v>
      </c>
      <c r="BL203" s="12">
        <v>3404</v>
      </c>
      <c r="BM203" s="12"/>
      <c r="BN203" s="12">
        <v>433</v>
      </c>
      <c r="BO203" s="12">
        <v>60</v>
      </c>
      <c r="BP203" s="12">
        <v>4152</v>
      </c>
      <c r="BQ203" s="12">
        <v>42194</v>
      </c>
      <c r="BR203" s="12">
        <v>2503</v>
      </c>
      <c r="BS203" s="12">
        <v>106</v>
      </c>
      <c r="BT203" s="12">
        <v>4541</v>
      </c>
      <c r="BU203" s="12">
        <v>85</v>
      </c>
      <c r="BV203" s="12"/>
      <c r="BW203" s="12">
        <v>3</v>
      </c>
      <c r="BX203" s="12">
        <v>118</v>
      </c>
      <c r="BY203" s="12"/>
      <c r="BZ203" s="12">
        <v>25</v>
      </c>
      <c r="CA203" s="12">
        <v>0</v>
      </c>
      <c r="CB203" s="12">
        <v>14205</v>
      </c>
      <c r="CC203" s="12">
        <v>15711</v>
      </c>
      <c r="CD203" s="12">
        <v>109287</v>
      </c>
      <c r="CE203" s="12">
        <v>172577</v>
      </c>
      <c r="CF203" s="12">
        <v>17708</v>
      </c>
      <c r="CG203" s="12">
        <v>21526</v>
      </c>
      <c r="CH203" s="12">
        <v>0</v>
      </c>
      <c r="CI203" s="12">
        <v>30</v>
      </c>
      <c r="CJ203" s="12">
        <v>16</v>
      </c>
      <c r="CK203" s="12">
        <v>57</v>
      </c>
      <c r="CL203" s="12"/>
      <c r="CM203" s="12"/>
      <c r="CN203" s="12"/>
      <c r="CO203" s="12"/>
      <c r="CP203" s="12"/>
      <c r="CQ203" s="12"/>
      <c r="CR203" s="12"/>
      <c r="CS203" s="12"/>
      <c r="CT203" s="12" t="s">
        <v>82</v>
      </c>
      <c r="CU203" s="12" t="s">
        <v>82</v>
      </c>
      <c r="CV203" s="12" t="s">
        <v>82</v>
      </c>
      <c r="CW203" s="12">
        <v>36</v>
      </c>
      <c r="CX203" s="12">
        <v>0</v>
      </c>
      <c r="CY203" s="12">
        <v>51</v>
      </c>
      <c r="CZ203"/>
      <c r="DA203" s="6"/>
      <c r="DB203"/>
      <c r="DC203" s="6"/>
      <c r="DD203" s="6">
        <f t="shared" si="35"/>
        <v>417322</v>
      </c>
      <c r="DE203" s="6">
        <f t="shared" si="36"/>
        <v>204397</v>
      </c>
      <c r="DF203" s="16">
        <f t="shared" si="37"/>
        <v>621719</v>
      </c>
      <c r="DG203"/>
      <c r="DH203" s="191"/>
      <c r="DI203" s="191"/>
      <c r="DJ203" s="191"/>
      <c r="DK203" s="6">
        <f t="shared" si="38"/>
        <v>62532</v>
      </c>
      <c r="DL203" s="6">
        <f t="shared" si="39"/>
        <v>108393</v>
      </c>
      <c r="DM203" s="6">
        <f t="shared" si="49"/>
        <v>9844</v>
      </c>
      <c r="DN203" s="6">
        <f t="shared" si="50"/>
        <v>23855</v>
      </c>
      <c r="DO203" s="6">
        <f t="shared" si="51"/>
        <v>316677</v>
      </c>
      <c r="DP203" s="6">
        <f t="shared" si="48"/>
        <v>47173</v>
      </c>
      <c r="DQ203" s="6"/>
      <c r="DR203" s="6">
        <f t="shared" si="52"/>
        <v>15741</v>
      </c>
      <c r="DS203" s="6">
        <f t="shared" si="53"/>
        <v>4152</v>
      </c>
      <c r="DT203" s="6">
        <f t="shared" si="54"/>
        <v>12053</v>
      </c>
      <c r="DU203" s="6"/>
      <c r="DV203" s="6"/>
      <c r="DW203" s="6">
        <f t="shared" si="55"/>
        <v>600420</v>
      </c>
      <c r="DX203"/>
      <c r="DY203" s="6">
        <f t="shared" si="45"/>
        <v>387516</v>
      </c>
      <c r="DZ203" s="6">
        <f t="shared" si="46"/>
        <v>37260</v>
      </c>
      <c r="EA203"/>
      <c r="EB203" s="6">
        <f t="shared" si="47"/>
        <v>658979</v>
      </c>
      <c r="EC203" s="6"/>
      <c r="ED203" s="6"/>
      <c r="EE203"/>
      <c r="EF203" s="23"/>
      <c r="EG203" s="23"/>
      <c r="EH203" s="23"/>
    </row>
    <row r="204" spans="2:138" s="17" customFormat="1" ht="14">
      <c r="B204" s="13">
        <v>38169</v>
      </c>
      <c r="C204" s="14">
        <v>2</v>
      </c>
      <c r="D204" s="14">
        <v>10</v>
      </c>
      <c r="E204" s="14">
        <v>4353</v>
      </c>
      <c r="F204" s="14" t="s">
        <v>82</v>
      </c>
      <c r="G204" s="14" t="s">
        <v>82</v>
      </c>
      <c r="H204" s="14">
        <v>9469</v>
      </c>
      <c r="I204" s="14">
        <v>17128</v>
      </c>
      <c r="J204" s="14">
        <v>3081</v>
      </c>
      <c r="K204" s="14">
        <v>7888</v>
      </c>
      <c r="L204" s="14"/>
      <c r="M204" s="14">
        <v>31174</v>
      </c>
      <c r="N204" s="14">
        <v>2742</v>
      </c>
      <c r="O204" s="14"/>
      <c r="P204" s="14">
        <v>1982</v>
      </c>
      <c r="Q204" s="14">
        <v>8917</v>
      </c>
      <c r="R204" s="14">
        <v>592</v>
      </c>
      <c r="S204" s="14">
        <v>9199</v>
      </c>
      <c r="T204" s="14">
        <v>9815</v>
      </c>
      <c r="U204" s="14"/>
      <c r="V204" s="14"/>
      <c r="W204" s="14">
        <v>470</v>
      </c>
      <c r="X204" s="14">
        <v>7488</v>
      </c>
      <c r="Y204" s="14">
        <v>445</v>
      </c>
      <c r="Z204" s="14">
        <v>19</v>
      </c>
      <c r="AA204" s="157"/>
      <c r="AB204" s="14">
        <v>9</v>
      </c>
      <c r="AC204" s="14">
        <v>50</v>
      </c>
      <c r="AD204" s="14">
        <v>12</v>
      </c>
      <c r="AE204" s="14">
        <v>27</v>
      </c>
      <c r="AF204" s="14">
        <v>38</v>
      </c>
      <c r="AG204" s="14">
        <v>52</v>
      </c>
      <c r="AH204" s="14"/>
      <c r="AI204" s="14"/>
      <c r="AJ204" s="14">
        <v>7</v>
      </c>
      <c r="AK204" s="14">
        <v>7330</v>
      </c>
      <c r="AL204" s="14">
        <v>86015</v>
      </c>
      <c r="AM204" s="14">
        <v>3261</v>
      </c>
      <c r="AN204" s="14">
        <v>12085</v>
      </c>
      <c r="AO204" s="14">
        <v>45</v>
      </c>
      <c r="AP204" s="14">
        <v>14</v>
      </c>
      <c r="AQ204" s="14">
        <v>3527</v>
      </c>
      <c r="AR204" s="14">
        <v>0</v>
      </c>
      <c r="AS204" s="14">
        <v>1578</v>
      </c>
      <c r="AT204" s="14" t="s">
        <v>82</v>
      </c>
      <c r="AU204" s="14">
        <v>3283</v>
      </c>
      <c r="AV204" s="14">
        <v>2026</v>
      </c>
      <c r="AW204" s="14">
        <v>3312</v>
      </c>
      <c r="AX204" s="14">
        <v>8338</v>
      </c>
      <c r="AY204" s="157"/>
      <c r="AZ204" s="157"/>
      <c r="BA204" s="157">
        <v>233</v>
      </c>
      <c r="BB204" s="157"/>
      <c r="BC204" s="14">
        <v>515</v>
      </c>
      <c r="BD204" s="14"/>
      <c r="BE204" s="14">
        <v>5</v>
      </c>
      <c r="BF204" s="14">
        <v>5</v>
      </c>
      <c r="BG204" s="14">
        <v>619</v>
      </c>
      <c r="BH204" s="14">
        <v>1</v>
      </c>
      <c r="BI204" s="14">
        <v>0</v>
      </c>
      <c r="BJ204" s="14">
        <v>7912</v>
      </c>
      <c r="BK204" s="14">
        <v>42</v>
      </c>
      <c r="BL204" s="14">
        <v>3423</v>
      </c>
      <c r="BM204" s="14"/>
      <c r="BN204" s="14">
        <v>462</v>
      </c>
      <c r="BO204" s="14">
        <v>58</v>
      </c>
      <c r="BP204" s="14">
        <v>4774</v>
      </c>
      <c r="BQ204" s="14">
        <v>42072</v>
      </c>
      <c r="BR204" s="14">
        <v>2207</v>
      </c>
      <c r="BS204" s="14">
        <v>104</v>
      </c>
      <c r="BT204" s="14">
        <v>4581</v>
      </c>
      <c r="BU204" s="14">
        <v>74</v>
      </c>
      <c r="BV204" s="14"/>
      <c r="BW204" s="14">
        <v>4</v>
      </c>
      <c r="BX204" s="14">
        <v>125</v>
      </c>
      <c r="BY204" s="14"/>
      <c r="BZ204" s="14">
        <v>21</v>
      </c>
      <c r="CA204" s="14">
        <v>0</v>
      </c>
      <c r="CB204" s="14">
        <v>14334</v>
      </c>
      <c r="CC204" s="14">
        <v>15603</v>
      </c>
      <c r="CD204" s="14">
        <v>107991</v>
      </c>
      <c r="CE204" s="14">
        <v>171409</v>
      </c>
      <c r="CF204" s="14">
        <v>17578</v>
      </c>
      <c r="CG204" s="14">
        <v>21310</v>
      </c>
      <c r="CH204" s="14">
        <v>0</v>
      </c>
      <c r="CI204" s="14">
        <v>26</v>
      </c>
      <c r="CJ204" s="14">
        <v>15</v>
      </c>
      <c r="CK204" s="14">
        <v>55</v>
      </c>
      <c r="CL204" s="14"/>
      <c r="CM204" s="14"/>
      <c r="CN204" s="14"/>
      <c r="CO204" s="14"/>
      <c r="CP204" s="14"/>
      <c r="CQ204" s="14"/>
      <c r="CR204" s="14"/>
      <c r="CS204" s="14"/>
      <c r="CT204" s="14" t="s">
        <v>82</v>
      </c>
      <c r="CU204" s="14" t="s">
        <v>82</v>
      </c>
      <c r="CV204" s="14" t="s">
        <v>82</v>
      </c>
      <c r="CW204" s="14">
        <v>35</v>
      </c>
      <c r="CX204" s="14">
        <v>0</v>
      </c>
      <c r="CY204" s="14">
        <v>52</v>
      </c>
      <c r="CZ204" s="15"/>
      <c r="DA204" s="6"/>
      <c r="DB204" s="15"/>
      <c r="DC204" s="6"/>
      <c r="DD204" s="16">
        <f t="shared" ref="DD204:DD250" si="56">SUM(BE204:CK204)</f>
        <v>414810</v>
      </c>
      <c r="DE204" s="6">
        <f t="shared" ref="DE204:DE267" si="57">SUM(M204:N204,P204:AX204,BB204:BC204)+CR204+CS204</f>
        <v>204367</v>
      </c>
      <c r="DF204" s="16">
        <f t="shared" ref="DF204:DF227" si="58">SUM(DD204:DE204)</f>
        <v>619177</v>
      </c>
      <c r="DG204" s="15"/>
      <c r="DK204" s="6">
        <f t="shared" ref="DK204:DK267" si="59">SUM(M204:N204,P204:S204,U204:X204)</f>
        <v>62564</v>
      </c>
      <c r="DL204" s="6">
        <f t="shared" ref="DL204:DL267" si="60">SUM(Y204:AF204,AH204:AM204,AO204,AS204:AW204,BA204:BC204)</f>
        <v>108205</v>
      </c>
      <c r="DM204" s="6">
        <f t="shared" si="49"/>
        <v>9815</v>
      </c>
      <c r="DN204" s="6">
        <f t="shared" si="50"/>
        <v>24016</v>
      </c>
      <c r="DO204" s="6">
        <f t="shared" si="51"/>
        <v>313897</v>
      </c>
      <c r="DP204" s="6">
        <f t="shared" si="48"/>
        <v>47121</v>
      </c>
      <c r="DQ204" s="6"/>
      <c r="DR204" s="6">
        <f t="shared" si="52"/>
        <v>15629</v>
      </c>
      <c r="DS204" s="6">
        <f t="shared" si="53"/>
        <v>4774</v>
      </c>
      <c r="DT204" s="6">
        <f t="shared" si="54"/>
        <v>12079</v>
      </c>
      <c r="DU204" s="6"/>
      <c r="DV204" s="6"/>
      <c r="DW204" s="6">
        <f t="shared" si="55"/>
        <v>598100</v>
      </c>
      <c r="DX204" s="15"/>
      <c r="DY204" s="6">
        <f t="shared" ref="DY204:DY267" si="61">DO204+DT204+H204+I204+J204+K204+CG204</f>
        <v>384852</v>
      </c>
      <c r="DZ204" s="6">
        <f t="shared" ref="DZ204:DZ267" si="62">SUM(G204:L204,O204)</f>
        <v>37566</v>
      </c>
      <c r="EA204" s="15"/>
      <c r="EB204" s="6">
        <f t="shared" ref="EB204:EB267" si="63">DZ204+DF204</f>
        <v>656743</v>
      </c>
      <c r="EC204" s="6"/>
      <c r="ED204" s="6"/>
      <c r="EE204" s="15"/>
      <c r="EF204" s="16"/>
      <c r="EG204" s="16"/>
      <c r="EH204" s="16"/>
    </row>
    <row r="205" spans="2:138" ht="14">
      <c r="B205" s="4">
        <v>38200</v>
      </c>
      <c r="C205" s="5">
        <v>2</v>
      </c>
      <c r="D205" s="5">
        <v>9</v>
      </c>
      <c r="E205" s="5">
        <v>4830</v>
      </c>
      <c r="F205" s="5">
        <v>0</v>
      </c>
      <c r="G205" s="5" t="s">
        <v>82</v>
      </c>
      <c r="H205" s="5">
        <v>9816</v>
      </c>
      <c r="I205" s="5">
        <v>17361</v>
      </c>
      <c r="J205" s="5">
        <v>3029</v>
      </c>
      <c r="K205" s="5">
        <v>7812</v>
      </c>
      <c r="L205" s="5"/>
      <c r="M205" s="5">
        <v>31034</v>
      </c>
      <c r="N205" s="5">
        <v>2727</v>
      </c>
      <c r="O205" s="5"/>
      <c r="P205" s="5">
        <v>1988</v>
      </c>
      <c r="Q205" s="5">
        <v>8953</v>
      </c>
      <c r="R205" s="5">
        <v>577</v>
      </c>
      <c r="S205" s="5">
        <v>9210</v>
      </c>
      <c r="T205" s="5">
        <v>9775</v>
      </c>
      <c r="U205" s="5"/>
      <c r="V205" s="5"/>
      <c r="W205" s="5">
        <v>462</v>
      </c>
      <c r="X205" s="5">
        <v>7526</v>
      </c>
      <c r="Y205" s="5">
        <v>443</v>
      </c>
      <c r="Z205" s="5">
        <v>17</v>
      </c>
      <c r="AA205" s="155"/>
      <c r="AB205" s="5">
        <v>9</v>
      </c>
      <c r="AC205" s="5">
        <v>52</v>
      </c>
      <c r="AD205" s="5">
        <v>13</v>
      </c>
      <c r="AE205" s="5">
        <v>26</v>
      </c>
      <c r="AF205" s="5">
        <v>36</v>
      </c>
      <c r="AG205" s="5">
        <v>49</v>
      </c>
      <c r="AH205" s="5"/>
      <c r="AI205" s="5"/>
      <c r="AJ205" s="5">
        <v>7</v>
      </c>
      <c r="AK205" s="5">
        <v>7418</v>
      </c>
      <c r="AL205" s="5">
        <v>85968</v>
      </c>
      <c r="AM205" s="5">
        <v>3264</v>
      </c>
      <c r="AN205" s="5">
        <v>11995</v>
      </c>
      <c r="AO205" s="5">
        <v>46</v>
      </c>
      <c r="AP205" s="5">
        <v>15</v>
      </c>
      <c r="AQ205" s="5">
        <v>3649</v>
      </c>
      <c r="AR205" s="5">
        <v>0</v>
      </c>
      <c r="AS205" s="5">
        <v>1579</v>
      </c>
      <c r="AT205" s="5" t="s">
        <v>82</v>
      </c>
      <c r="AU205" s="5">
        <v>3283</v>
      </c>
      <c r="AV205" s="5">
        <v>2014</v>
      </c>
      <c r="AW205" s="5">
        <v>3306</v>
      </c>
      <c r="AX205" s="5">
        <v>8321</v>
      </c>
      <c r="AY205" s="155"/>
      <c r="AZ205" s="155"/>
      <c r="BA205" s="155">
        <v>235</v>
      </c>
      <c r="BB205" s="155"/>
      <c r="BC205" s="5">
        <v>521</v>
      </c>
      <c r="BD205" s="5"/>
      <c r="BE205" s="5">
        <v>4</v>
      </c>
      <c r="BF205" s="5">
        <v>4</v>
      </c>
      <c r="BG205" s="5">
        <v>660</v>
      </c>
      <c r="BH205" s="5">
        <v>1</v>
      </c>
      <c r="BI205" s="5">
        <v>0</v>
      </c>
      <c r="BJ205" s="5">
        <v>7809</v>
      </c>
      <c r="BK205" s="5">
        <v>26</v>
      </c>
      <c r="BL205" s="5">
        <v>3373</v>
      </c>
      <c r="BM205" s="5"/>
      <c r="BN205" s="5">
        <v>472</v>
      </c>
      <c r="BO205" s="5">
        <v>58</v>
      </c>
      <c r="BP205" s="5">
        <v>5009</v>
      </c>
      <c r="BQ205" s="5">
        <v>42604</v>
      </c>
      <c r="BR205" s="5">
        <v>1998</v>
      </c>
      <c r="BS205" s="5">
        <v>103</v>
      </c>
      <c r="BT205" s="5">
        <v>4591</v>
      </c>
      <c r="BU205" s="5">
        <v>83</v>
      </c>
      <c r="BV205" s="5"/>
      <c r="BW205" s="5">
        <v>3</v>
      </c>
      <c r="BX205" s="5">
        <v>128</v>
      </c>
      <c r="BY205" s="5"/>
      <c r="BZ205" s="5">
        <v>22</v>
      </c>
      <c r="CA205" s="5">
        <v>0</v>
      </c>
      <c r="CB205" s="5">
        <v>14560</v>
      </c>
      <c r="CC205" s="5">
        <v>15366</v>
      </c>
      <c r="CD205" s="5">
        <v>106852</v>
      </c>
      <c r="CE205" s="5">
        <v>170600</v>
      </c>
      <c r="CF205" s="5">
        <v>17427</v>
      </c>
      <c r="CG205" s="5">
        <v>20950</v>
      </c>
      <c r="CH205" s="5">
        <v>0</v>
      </c>
      <c r="CI205" s="5">
        <v>26</v>
      </c>
      <c r="CJ205" s="5">
        <v>16</v>
      </c>
      <c r="CK205" s="5">
        <v>51</v>
      </c>
      <c r="CL205" s="5"/>
      <c r="CM205" s="5"/>
      <c r="CN205" s="5"/>
      <c r="CO205" s="5"/>
      <c r="CP205" s="5"/>
      <c r="CQ205" s="5"/>
      <c r="CR205" s="5"/>
      <c r="CS205" s="5"/>
      <c r="CT205" s="5" t="s">
        <v>82</v>
      </c>
      <c r="CU205" s="5" t="s">
        <v>82</v>
      </c>
      <c r="CV205" s="5" t="s">
        <v>82</v>
      </c>
      <c r="CW205" s="5">
        <v>35</v>
      </c>
      <c r="CX205" s="5">
        <v>0</v>
      </c>
      <c r="CY205" s="5">
        <v>52</v>
      </c>
      <c r="DA205" s="6"/>
      <c r="DC205" s="6"/>
      <c r="DD205" s="6">
        <f t="shared" si="56"/>
        <v>412796</v>
      </c>
      <c r="DE205" s="6">
        <f t="shared" si="57"/>
        <v>204283</v>
      </c>
      <c r="DF205" s="16">
        <f t="shared" si="58"/>
        <v>617079</v>
      </c>
      <c r="DK205" s="6">
        <f t="shared" si="59"/>
        <v>62477</v>
      </c>
      <c r="DL205" s="6">
        <f t="shared" si="60"/>
        <v>108237</v>
      </c>
      <c r="DM205" s="6">
        <f t="shared" si="49"/>
        <v>9775</v>
      </c>
      <c r="DN205" s="6">
        <f t="shared" si="50"/>
        <v>24029</v>
      </c>
      <c r="DO205" s="6">
        <f t="shared" si="51"/>
        <v>311803</v>
      </c>
      <c r="DP205" s="6">
        <f t="shared" ref="DP205:DP268" si="64">SUM(BD205:BE205,BH205,BN205,BQ205,BT205)</f>
        <v>47672</v>
      </c>
      <c r="DQ205" s="6"/>
      <c r="DR205" s="6">
        <f t="shared" si="52"/>
        <v>15392</v>
      </c>
      <c r="DS205" s="6">
        <f t="shared" si="53"/>
        <v>5009</v>
      </c>
      <c r="DT205" s="6">
        <f t="shared" si="54"/>
        <v>11970</v>
      </c>
      <c r="DU205" s="6"/>
      <c r="DV205" s="6"/>
      <c r="DW205" s="6">
        <f t="shared" si="55"/>
        <v>596364</v>
      </c>
      <c r="DY205" s="6">
        <f t="shared" si="61"/>
        <v>382741</v>
      </c>
      <c r="DZ205" s="6">
        <f t="shared" si="62"/>
        <v>38018</v>
      </c>
      <c r="EB205" s="6">
        <f t="shared" si="63"/>
        <v>655097</v>
      </c>
      <c r="EC205" s="6"/>
      <c r="ED205" s="6"/>
      <c r="EF205" s="6"/>
      <c r="EG205" s="6"/>
    </row>
    <row r="206" spans="2:138" ht="14">
      <c r="B206" s="4">
        <v>38231</v>
      </c>
      <c r="C206" s="5">
        <v>2</v>
      </c>
      <c r="D206" s="5">
        <v>12</v>
      </c>
      <c r="E206" s="5">
        <v>5497</v>
      </c>
      <c r="F206" s="5">
        <v>0</v>
      </c>
      <c r="G206" s="5" t="s">
        <v>82</v>
      </c>
      <c r="H206" s="5">
        <v>10093</v>
      </c>
      <c r="I206" s="5">
        <v>17798</v>
      </c>
      <c r="J206" s="5">
        <v>3034</v>
      </c>
      <c r="K206" s="5">
        <v>7798</v>
      </c>
      <c r="L206" s="5"/>
      <c r="M206" s="5">
        <v>31017</v>
      </c>
      <c r="N206" s="5">
        <v>2710</v>
      </c>
      <c r="O206" s="5"/>
      <c r="P206" s="5">
        <v>2005</v>
      </c>
      <c r="Q206" s="5">
        <v>9023</v>
      </c>
      <c r="R206" s="5">
        <v>563</v>
      </c>
      <c r="S206" s="5">
        <v>9258</v>
      </c>
      <c r="T206" s="5">
        <v>9788</v>
      </c>
      <c r="U206" s="5"/>
      <c r="V206" s="5"/>
      <c r="W206" s="5">
        <v>467</v>
      </c>
      <c r="X206" s="5">
        <v>7583</v>
      </c>
      <c r="Y206" s="5">
        <v>442</v>
      </c>
      <c r="Z206" s="5">
        <v>16</v>
      </c>
      <c r="AA206" s="155"/>
      <c r="AB206" s="5">
        <v>8</v>
      </c>
      <c r="AC206" s="5">
        <v>51</v>
      </c>
      <c r="AD206" s="5">
        <v>14</v>
      </c>
      <c r="AE206" s="5">
        <v>26</v>
      </c>
      <c r="AF206" s="5">
        <v>39</v>
      </c>
      <c r="AG206" s="5">
        <v>51</v>
      </c>
      <c r="AH206" s="5"/>
      <c r="AI206" s="5"/>
      <c r="AJ206" s="5">
        <v>6</v>
      </c>
      <c r="AK206" s="5">
        <v>7576</v>
      </c>
      <c r="AL206" s="5">
        <v>86420</v>
      </c>
      <c r="AM206" s="5">
        <v>3290</v>
      </c>
      <c r="AN206" s="5">
        <v>12134</v>
      </c>
      <c r="AO206" s="5">
        <v>55</v>
      </c>
      <c r="AP206" s="5">
        <v>15</v>
      </c>
      <c r="AQ206" s="5">
        <v>3850</v>
      </c>
      <c r="AR206" s="5">
        <v>0</v>
      </c>
      <c r="AS206" s="5">
        <v>1604</v>
      </c>
      <c r="AT206" s="5" t="s">
        <v>82</v>
      </c>
      <c r="AU206" s="5">
        <v>3324</v>
      </c>
      <c r="AV206" s="5">
        <v>2036</v>
      </c>
      <c r="AW206" s="5">
        <v>3382</v>
      </c>
      <c r="AX206" s="5">
        <v>8406</v>
      </c>
      <c r="AY206" s="155"/>
      <c r="AZ206" s="155"/>
      <c r="BA206" s="155">
        <v>247</v>
      </c>
      <c r="BB206" s="155"/>
      <c r="BC206" s="5">
        <v>496</v>
      </c>
      <c r="BD206" s="5"/>
      <c r="BE206" s="5">
        <v>4</v>
      </c>
      <c r="BF206" s="5">
        <v>2</v>
      </c>
      <c r="BG206" s="5">
        <v>698</v>
      </c>
      <c r="BH206" s="5">
        <v>1</v>
      </c>
      <c r="BI206" s="5">
        <v>0</v>
      </c>
      <c r="BJ206" s="5">
        <v>7857</v>
      </c>
      <c r="BK206" s="5">
        <v>28</v>
      </c>
      <c r="BL206" s="5">
        <v>3440</v>
      </c>
      <c r="BM206" s="5"/>
      <c r="BN206" s="5">
        <v>465</v>
      </c>
      <c r="BO206" s="5">
        <v>58</v>
      </c>
      <c r="BP206" s="5">
        <v>6058</v>
      </c>
      <c r="BQ206" s="5">
        <v>44212</v>
      </c>
      <c r="BR206" s="5">
        <v>1782</v>
      </c>
      <c r="BS206" s="5">
        <v>104</v>
      </c>
      <c r="BT206" s="5">
        <v>4825</v>
      </c>
      <c r="BU206" s="5">
        <v>82</v>
      </c>
      <c r="BV206" s="5"/>
      <c r="BW206" s="5">
        <v>2</v>
      </c>
      <c r="BX206" s="5">
        <v>128</v>
      </c>
      <c r="BY206" s="5"/>
      <c r="BZ206" s="5">
        <v>21</v>
      </c>
      <c r="CA206" s="5">
        <v>0</v>
      </c>
      <c r="CB206" s="5">
        <v>15263</v>
      </c>
      <c r="CC206" s="5">
        <v>15385</v>
      </c>
      <c r="CD206" s="5">
        <v>107913</v>
      </c>
      <c r="CE206" s="5">
        <v>171663</v>
      </c>
      <c r="CF206" s="5">
        <v>17328</v>
      </c>
      <c r="CG206" s="5">
        <v>23692</v>
      </c>
      <c r="CH206" s="5">
        <v>0</v>
      </c>
      <c r="CI206" s="5">
        <v>26</v>
      </c>
      <c r="CJ206" s="5">
        <v>13</v>
      </c>
      <c r="CK206" s="5">
        <v>43</v>
      </c>
      <c r="CL206" s="5"/>
      <c r="CM206" s="5"/>
      <c r="CN206" s="5"/>
      <c r="CO206" s="5"/>
      <c r="CP206" s="5"/>
      <c r="CQ206" s="5"/>
      <c r="CR206" s="5"/>
      <c r="CS206" s="5"/>
      <c r="CT206" s="5" t="s">
        <v>82</v>
      </c>
      <c r="CU206" s="5" t="s">
        <v>82</v>
      </c>
      <c r="CV206" s="5" t="s">
        <v>82</v>
      </c>
      <c r="CW206" s="5">
        <v>35</v>
      </c>
      <c r="CX206" s="5">
        <v>0</v>
      </c>
      <c r="CY206" s="5">
        <v>52</v>
      </c>
      <c r="DA206" s="6"/>
      <c r="DC206" s="6"/>
      <c r="DD206" s="6">
        <f t="shared" si="56"/>
        <v>421093</v>
      </c>
      <c r="DE206" s="6">
        <f t="shared" si="57"/>
        <v>205655</v>
      </c>
      <c r="DF206" s="16">
        <f t="shared" si="58"/>
        <v>626748</v>
      </c>
      <c r="DK206" s="6">
        <f t="shared" si="59"/>
        <v>62626</v>
      </c>
      <c r="DL206" s="6">
        <f t="shared" si="60"/>
        <v>109032</v>
      </c>
      <c r="DM206" s="6">
        <f t="shared" si="49"/>
        <v>9788</v>
      </c>
      <c r="DN206" s="6">
        <f t="shared" si="50"/>
        <v>24456</v>
      </c>
      <c r="DO206" s="6">
        <f t="shared" si="51"/>
        <v>314302</v>
      </c>
      <c r="DP206" s="6">
        <f t="shared" si="64"/>
        <v>49507</v>
      </c>
      <c r="DQ206" s="6"/>
      <c r="DR206" s="6">
        <f t="shared" si="52"/>
        <v>15411</v>
      </c>
      <c r="DS206" s="6">
        <f t="shared" si="53"/>
        <v>6058</v>
      </c>
      <c r="DT206" s="6">
        <f t="shared" si="54"/>
        <v>12123</v>
      </c>
      <c r="DU206" s="6"/>
      <c r="DV206" s="6"/>
      <c r="DW206" s="6">
        <f t="shared" si="55"/>
        <v>603303</v>
      </c>
      <c r="DY206" s="6">
        <f t="shared" si="61"/>
        <v>388840</v>
      </c>
      <c r="DZ206" s="6">
        <f t="shared" si="62"/>
        <v>38723</v>
      </c>
      <c r="EB206" s="6">
        <f t="shared" si="63"/>
        <v>665471</v>
      </c>
      <c r="EC206" s="6"/>
      <c r="ED206" s="6"/>
      <c r="EF206" s="6"/>
      <c r="EG206" s="6"/>
    </row>
    <row r="207" spans="2:138" ht="14">
      <c r="B207" s="4">
        <v>38261</v>
      </c>
      <c r="C207" s="5">
        <v>1</v>
      </c>
      <c r="D207" s="5">
        <v>21</v>
      </c>
      <c r="E207" s="5">
        <v>6673</v>
      </c>
      <c r="F207" s="5">
        <v>1</v>
      </c>
      <c r="G207" s="5" t="s">
        <v>82</v>
      </c>
      <c r="H207" s="5">
        <v>10312</v>
      </c>
      <c r="I207" s="5">
        <v>18011</v>
      </c>
      <c r="J207" s="5">
        <v>3032</v>
      </c>
      <c r="K207" s="5">
        <v>7678</v>
      </c>
      <c r="L207" s="5"/>
      <c r="M207" s="5">
        <v>31041</v>
      </c>
      <c r="N207" s="5">
        <v>2709</v>
      </c>
      <c r="O207" s="5"/>
      <c r="P207" s="5">
        <v>2003</v>
      </c>
      <c r="Q207" s="5">
        <v>9062</v>
      </c>
      <c r="R207" s="5">
        <v>559</v>
      </c>
      <c r="S207" s="5">
        <v>9268</v>
      </c>
      <c r="T207" s="5">
        <v>9826</v>
      </c>
      <c r="U207" s="5"/>
      <c r="V207" s="5"/>
      <c r="W207" s="5">
        <v>470</v>
      </c>
      <c r="X207" s="5">
        <v>7654</v>
      </c>
      <c r="Y207" s="5">
        <v>439</v>
      </c>
      <c r="Z207" s="5">
        <v>15</v>
      </c>
      <c r="AA207" s="155"/>
      <c r="AB207" s="5">
        <v>7</v>
      </c>
      <c r="AC207" s="5">
        <v>50</v>
      </c>
      <c r="AD207" s="5">
        <v>13</v>
      </c>
      <c r="AE207" s="5">
        <v>26</v>
      </c>
      <c r="AF207" s="5">
        <v>38</v>
      </c>
      <c r="AG207" s="5">
        <v>54</v>
      </c>
      <c r="AH207" s="5"/>
      <c r="AI207" s="5"/>
      <c r="AJ207" s="5">
        <v>6</v>
      </c>
      <c r="AK207" s="5">
        <v>7737</v>
      </c>
      <c r="AL207" s="5">
        <v>86849</v>
      </c>
      <c r="AM207" s="5">
        <v>3266</v>
      </c>
      <c r="AN207" s="5">
        <v>12156</v>
      </c>
      <c r="AO207" s="5">
        <v>54</v>
      </c>
      <c r="AP207" s="5">
        <v>17</v>
      </c>
      <c r="AQ207" s="5">
        <v>4032</v>
      </c>
      <c r="AR207" s="5">
        <v>0</v>
      </c>
      <c r="AS207" s="5">
        <v>1615</v>
      </c>
      <c r="AT207" s="5" t="s">
        <v>82</v>
      </c>
      <c r="AU207" s="5">
        <v>3353</v>
      </c>
      <c r="AV207" s="5">
        <v>2046</v>
      </c>
      <c r="AW207" s="5">
        <v>3394</v>
      </c>
      <c r="AX207" s="5">
        <v>8507</v>
      </c>
      <c r="AY207" s="155"/>
      <c r="AZ207" s="155"/>
      <c r="BA207" s="155">
        <v>261</v>
      </c>
      <c r="BB207" s="155"/>
      <c r="BC207" s="5">
        <v>494</v>
      </c>
      <c r="BD207" s="5"/>
      <c r="BE207" s="5">
        <v>6</v>
      </c>
      <c r="BF207" s="5">
        <v>2</v>
      </c>
      <c r="BG207" s="5">
        <v>717</v>
      </c>
      <c r="BH207" s="5">
        <v>1</v>
      </c>
      <c r="BI207" s="5">
        <v>0</v>
      </c>
      <c r="BJ207" s="5">
        <v>7890</v>
      </c>
      <c r="BK207" s="5">
        <v>23</v>
      </c>
      <c r="BL207" s="5">
        <v>3435</v>
      </c>
      <c r="BM207" s="5"/>
      <c r="BN207" s="5">
        <v>457</v>
      </c>
      <c r="BO207" s="5">
        <v>60</v>
      </c>
      <c r="BP207" s="5">
        <v>6921</v>
      </c>
      <c r="BQ207" s="5">
        <v>45548</v>
      </c>
      <c r="BR207" s="5">
        <v>1539</v>
      </c>
      <c r="BS207" s="5">
        <v>112</v>
      </c>
      <c r="BT207" s="5">
        <v>4863</v>
      </c>
      <c r="BU207" s="5">
        <v>59</v>
      </c>
      <c r="BV207" s="5"/>
      <c r="BW207" s="5">
        <v>4</v>
      </c>
      <c r="BX207" s="5">
        <v>125</v>
      </c>
      <c r="BY207" s="5"/>
      <c r="BZ207" s="5">
        <v>18</v>
      </c>
      <c r="CA207" s="5">
        <v>0</v>
      </c>
      <c r="CB207" s="5">
        <v>15832</v>
      </c>
      <c r="CC207" s="5">
        <v>15478</v>
      </c>
      <c r="CD207" s="5">
        <v>108706</v>
      </c>
      <c r="CE207" s="5">
        <v>172409</v>
      </c>
      <c r="CF207" s="5">
        <v>17386</v>
      </c>
      <c r="CG207" s="5">
        <v>25115</v>
      </c>
      <c r="CH207" s="5">
        <v>0</v>
      </c>
      <c r="CI207" s="5">
        <v>25</v>
      </c>
      <c r="CJ207" s="5">
        <v>13</v>
      </c>
      <c r="CK207" s="5">
        <v>40</v>
      </c>
      <c r="CL207" s="5"/>
      <c r="CM207" s="5"/>
      <c r="CN207" s="5"/>
      <c r="CO207" s="5"/>
      <c r="CP207" s="5"/>
      <c r="CQ207" s="5"/>
      <c r="CR207" s="5"/>
      <c r="CS207" s="5"/>
      <c r="CT207" s="5" t="s">
        <v>82</v>
      </c>
      <c r="CU207" s="5" t="s">
        <v>82</v>
      </c>
      <c r="CV207" s="5" t="s">
        <v>82</v>
      </c>
      <c r="CW207" s="5">
        <v>35</v>
      </c>
      <c r="CX207" s="5">
        <v>0</v>
      </c>
      <c r="CY207" s="5">
        <v>52</v>
      </c>
      <c r="DA207" s="6"/>
      <c r="DC207" s="6"/>
      <c r="DD207" s="6">
        <f t="shared" si="56"/>
        <v>426784</v>
      </c>
      <c r="DE207" s="6">
        <f t="shared" si="57"/>
        <v>206760</v>
      </c>
      <c r="DF207" s="16">
        <f t="shared" si="58"/>
        <v>633544</v>
      </c>
      <c r="DK207" s="6">
        <f t="shared" si="59"/>
        <v>62766</v>
      </c>
      <c r="DL207" s="6">
        <f t="shared" si="60"/>
        <v>109663</v>
      </c>
      <c r="DM207" s="6">
        <f t="shared" si="49"/>
        <v>9826</v>
      </c>
      <c r="DN207" s="6">
        <f t="shared" si="50"/>
        <v>24766</v>
      </c>
      <c r="DO207" s="6">
        <f t="shared" si="51"/>
        <v>316203</v>
      </c>
      <c r="DP207" s="6">
        <f t="shared" si="64"/>
        <v>50875</v>
      </c>
      <c r="DQ207" s="6"/>
      <c r="DR207" s="6">
        <f t="shared" si="52"/>
        <v>15503</v>
      </c>
      <c r="DS207" s="6">
        <f t="shared" si="53"/>
        <v>6921</v>
      </c>
      <c r="DT207" s="6">
        <f t="shared" si="54"/>
        <v>12167</v>
      </c>
      <c r="DU207" s="6"/>
      <c r="DV207" s="6"/>
      <c r="DW207" s="6">
        <f t="shared" si="55"/>
        <v>608690</v>
      </c>
      <c r="DY207" s="6">
        <f t="shared" si="61"/>
        <v>392518</v>
      </c>
      <c r="DZ207" s="6">
        <f t="shared" si="62"/>
        <v>39033</v>
      </c>
      <c r="EB207" s="6">
        <f t="shared" si="63"/>
        <v>672577</v>
      </c>
      <c r="EC207" s="6"/>
      <c r="ED207" s="6"/>
      <c r="EF207" s="6"/>
      <c r="EG207" s="6"/>
    </row>
    <row r="208" spans="2:138" ht="14">
      <c r="B208" s="4">
        <v>38292</v>
      </c>
      <c r="C208" s="5">
        <v>0</v>
      </c>
      <c r="D208" s="5">
        <v>27</v>
      </c>
      <c r="E208" s="5">
        <v>7140</v>
      </c>
      <c r="F208" s="5">
        <v>1</v>
      </c>
      <c r="G208" s="5" t="s">
        <v>82</v>
      </c>
      <c r="H208" s="5">
        <v>10486</v>
      </c>
      <c r="I208" s="5">
        <v>18425</v>
      </c>
      <c r="J208" s="5">
        <v>2994</v>
      </c>
      <c r="K208" s="5">
        <v>7609</v>
      </c>
      <c r="L208" s="5"/>
      <c r="M208" s="5">
        <v>31067</v>
      </c>
      <c r="N208" s="5">
        <v>2707</v>
      </c>
      <c r="O208" s="5"/>
      <c r="P208" s="5">
        <v>2021</v>
      </c>
      <c r="Q208" s="5">
        <v>9038</v>
      </c>
      <c r="R208" s="5">
        <v>557</v>
      </c>
      <c r="S208" s="5">
        <v>9272</v>
      </c>
      <c r="T208" s="5">
        <v>9896</v>
      </c>
      <c r="U208" s="5"/>
      <c r="V208" s="5"/>
      <c r="W208" s="5">
        <v>474</v>
      </c>
      <c r="X208" s="5">
        <v>7720</v>
      </c>
      <c r="Y208" s="5">
        <v>438</v>
      </c>
      <c r="Z208" s="5">
        <v>14</v>
      </c>
      <c r="AA208" s="155"/>
      <c r="AB208" s="5">
        <v>8</v>
      </c>
      <c r="AC208" s="5">
        <v>51</v>
      </c>
      <c r="AD208" s="5">
        <v>13</v>
      </c>
      <c r="AE208" s="5">
        <v>26</v>
      </c>
      <c r="AF208" s="5">
        <v>38</v>
      </c>
      <c r="AG208" s="5">
        <v>54</v>
      </c>
      <c r="AH208" s="5"/>
      <c r="AI208" s="5"/>
      <c r="AJ208" s="5">
        <v>6</v>
      </c>
      <c r="AK208" s="5">
        <v>7863</v>
      </c>
      <c r="AL208" s="5">
        <v>87130</v>
      </c>
      <c r="AM208" s="5">
        <v>3264</v>
      </c>
      <c r="AN208" s="5">
        <v>12228</v>
      </c>
      <c r="AO208" s="5">
        <v>57</v>
      </c>
      <c r="AP208" s="5">
        <v>18</v>
      </c>
      <c r="AQ208" s="5">
        <v>4182</v>
      </c>
      <c r="AR208" s="5">
        <v>0</v>
      </c>
      <c r="AS208" s="5">
        <v>1628</v>
      </c>
      <c r="AT208" s="5" t="s">
        <v>82</v>
      </c>
      <c r="AU208" s="5">
        <v>3407</v>
      </c>
      <c r="AV208" s="5">
        <v>2038</v>
      </c>
      <c r="AW208" s="5">
        <v>3423</v>
      </c>
      <c r="AX208" s="5">
        <v>8517</v>
      </c>
      <c r="AY208" s="155"/>
      <c r="AZ208" s="155"/>
      <c r="BA208" s="155">
        <v>265</v>
      </c>
      <c r="BB208" s="155"/>
      <c r="BC208" s="5">
        <v>500</v>
      </c>
      <c r="BD208" s="5"/>
      <c r="BE208" s="5">
        <v>6</v>
      </c>
      <c r="BF208" s="5">
        <v>1</v>
      </c>
      <c r="BG208" s="5">
        <v>724</v>
      </c>
      <c r="BH208" s="5">
        <v>1</v>
      </c>
      <c r="BI208" s="5">
        <v>0</v>
      </c>
      <c r="BJ208" s="5">
        <v>7898</v>
      </c>
      <c r="BK208" s="5">
        <v>23</v>
      </c>
      <c r="BL208" s="5">
        <v>3423</v>
      </c>
      <c r="BM208" s="5"/>
      <c r="BN208" s="5">
        <v>441</v>
      </c>
      <c r="BO208" s="5">
        <v>60</v>
      </c>
      <c r="BP208" s="5">
        <v>7454</v>
      </c>
      <c r="BQ208" s="5">
        <v>46252</v>
      </c>
      <c r="BR208" s="5">
        <v>1418</v>
      </c>
      <c r="BS208" s="5">
        <v>122</v>
      </c>
      <c r="BT208" s="5">
        <v>4955</v>
      </c>
      <c r="BU208" s="5">
        <v>60</v>
      </c>
      <c r="BV208" s="5"/>
      <c r="BW208" s="5">
        <v>4</v>
      </c>
      <c r="BX208" s="5">
        <v>124</v>
      </c>
      <c r="BY208" s="5"/>
      <c r="BZ208" s="5">
        <v>16</v>
      </c>
      <c r="CA208" s="5">
        <v>0</v>
      </c>
      <c r="CB208" s="5">
        <v>16403</v>
      </c>
      <c r="CC208" s="5">
        <v>15382</v>
      </c>
      <c r="CD208" s="5">
        <v>109036</v>
      </c>
      <c r="CE208" s="5">
        <v>173455</v>
      </c>
      <c r="CF208" s="5">
        <v>17520</v>
      </c>
      <c r="CG208" s="5">
        <v>26522</v>
      </c>
      <c r="CH208" s="5">
        <v>0</v>
      </c>
      <c r="CI208" s="5">
        <v>23</v>
      </c>
      <c r="CJ208" s="5">
        <v>13</v>
      </c>
      <c r="CK208" s="5">
        <v>34</v>
      </c>
      <c r="CL208" s="5"/>
      <c r="CM208" s="5"/>
      <c r="CN208" s="5"/>
      <c r="CO208" s="5"/>
      <c r="CP208" s="5"/>
      <c r="CQ208" s="5"/>
      <c r="CR208" s="5"/>
      <c r="CS208" s="5"/>
      <c r="CT208" s="5" t="s">
        <v>82</v>
      </c>
      <c r="CU208" s="5" t="s">
        <v>82</v>
      </c>
      <c r="CV208" s="5" t="s">
        <v>82</v>
      </c>
      <c r="CW208" s="5">
        <v>35</v>
      </c>
      <c r="CX208" s="5">
        <v>0</v>
      </c>
      <c r="CY208" s="5">
        <v>52</v>
      </c>
      <c r="DA208" s="6"/>
      <c r="DC208" s="6"/>
      <c r="DD208" s="6">
        <f t="shared" si="56"/>
        <v>431370</v>
      </c>
      <c r="DE208" s="6">
        <f t="shared" si="57"/>
        <v>207655</v>
      </c>
      <c r="DF208" s="16">
        <f t="shared" si="58"/>
        <v>639025</v>
      </c>
      <c r="DK208" s="6">
        <f t="shared" si="59"/>
        <v>62856</v>
      </c>
      <c r="DL208" s="6">
        <f t="shared" si="60"/>
        <v>110169</v>
      </c>
      <c r="DM208" s="6">
        <f t="shared" si="49"/>
        <v>9896</v>
      </c>
      <c r="DN208" s="6">
        <f t="shared" si="50"/>
        <v>24999</v>
      </c>
      <c r="DO208" s="6">
        <f t="shared" si="51"/>
        <v>318165</v>
      </c>
      <c r="DP208" s="6">
        <f t="shared" si="64"/>
        <v>51655</v>
      </c>
      <c r="DQ208" s="6"/>
      <c r="DR208" s="6">
        <f t="shared" si="52"/>
        <v>15405</v>
      </c>
      <c r="DS208" s="6">
        <f t="shared" si="53"/>
        <v>7454</v>
      </c>
      <c r="DT208" s="6">
        <f t="shared" si="54"/>
        <v>12169</v>
      </c>
      <c r="DU208" s="6"/>
      <c r="DV208" s="6"/>
      <c r="DW208" s="6">
        <f t="shared" si="55"/>
        <v>612768</v>
      </c>
      <c r="DY208" s="6">
        <f t="shared" si="61"/>
        <v>396370</v>
      </c>
      <c r="DZ208" s="6">
        <f t="shared" si="62"/>
        <v>39514</v>
      </c>
      <c r="EB208" s="6">
        <f t="shared" si="63"/>
        <v>678539</v>
      </c>
      <c r="EC208" s="6"/>
      <c r="ED208" s="6"/>
      <c r="EF208" s="6"/>
      <c r="EG208" s="6"/>
    </row>
    <row r="209" spans="1:138" ht="14">
      <c r="B209" s="4">
        <v>38322</v>
      </c>
      <c r="C209" s="5">
        <v>0</v>
      </c>
      <c r="D209" s="5">
        <v>27</v>
      </c>
      <c r="E209" s="5">
        <v>6559</v>
      </c>
      <c r="F209" s="5">
        <v>1</v>
      </c>
      <c r="G209" s="5" t="s">
        <v>82</v>
      </c>
      <c r="H209" s="5">
        <v>10623</v>
      </c>
      <c r="I209" s="5">
        <v>18748</v>
      </c>
      <c r="J209" s="5">
        <v>2984</v>
      </c>
      <c r="K209" s="5">
        <v>7543</v>
      </c>
      <c r="L209" s="5"/>
      <c r="M209" s="5">
        <v>31028</v>
      </c>
      <c r="N209" s="5">
        <v>2692</v>
      </c>
      <c r="O209" s="5"/>
      <c r="P209" s="5">
        <v>2035</v>
      </c>
      <c r="Q209" s="5">
        <v>9037</v>
      </c>
      <c r="R209" s="5">
        <v>550</v>
      </c>
      <c r="S209" s="5">
        <v>9223</v>
      </c>
      <c r="T209" s="5">
        <v>9909</v>
      </c>
      <c r="U209" s="5"/>
      <c r="V209" s="5"/>
      <c r="W209" s="5">
        <v>473</v>
      </c>
      <c r="X209" s="5">
        <v>7793</v>
      </c>
      <c r="Y209" s="5">
        <v>433</v>
      </c>
      <c r="Z209" s="5">
        <v>13</v>
      </c>
      <c r="AA209" s="155"/>
      <c r="AB209" s="5">
        <v>7</v>
      </c>
      <c r="AC209" s="5">
        <v>54</v>
      </c>
      <c r="AD209" s="5">
        <v>12</v>
      </c>
      <c r="AE209" s="5">
        <v>26</v>
      </c>
      <c r="AF209" s="5">
        <v>37</v>
      </c>
      <c r="AG209" s="5">
        <v>52</v>
      </c>
      <c r="AH209" s="5"/>
      <c r="AI209" s="5"/>
      <c r="AJ209" s="5">
        <v>7</v>
      </c>
      <c r="AK209" s="5">
        <v>7982</v>
      </c>
      <c r="AL209" s="5">
        <v>87566</v>
      </c>
      <c r="AM209" s="5">
        <v>3268</v>
      </c>
      <c r="AN209" s="5">
        <v>12406</v>
      </c>
      <c r="AO209" s="5">
        <v>62</v>
      </c>
      <c r="AP209" s="5">
        <v>18</v>
      </c>
      <c r="AQ209" s="5">
        <v>4317</v>
      </c>
      <c r="AR209" s="5">
        <v>0</v>
      </c>
      <c r="AS209" s="5">
        <v>1682</v>
      </c>
      <c r="AT209" s="5" t="s">
        <v>82</v>
      </c>
      <c r="AU209" s="5">
        <v>3430</v>
      </c>
      <c r="AV209" s="5">
        <v>2034</v>
      </c>
      <c r="AW209" s="5">
        <v>3419</v>
      </c>
      <c r="AX209" s="5">
        <v>8591</v>
      </c>
      <c r="AY209" s="155"/>
      <c r="AZ209" s="155"/>
      <c r="BA209" s="155">
        <v>271</v>
      </c>
      <c r="BB209" s="155"/>
      <c r="BC209" s="5">
        <v>503</v>
      </c>
      <c r="BD209" s="5"/>
      <c r="BE209" s="5">
        <v>7</v>
      </c>
      <c r="BF209" s="5">
        <v>0</v>
      </c>
      <c r="BG209" s="5">
        <v>752</v>
      </c>
      <c r="BH209" s="5">
        <v>1</v>
      </c>
      <c r="BI209" s="5">
        <v>0</v>
      </c>
      <c r="BJ209" s="5">
        <v>7877</v>
      </c>
      <c r="BK209" s="5">
        <v>27</v>
      </c>
      <c r="BL209" s="5">
        <v>3420</v>
      </c>
      <c r="BM209" s="5"/>
      <c r="BN209" s="5">
        <v>437</v>
      </c>
      <c r="BO209" s="5">
        <v>61</v>
      </c>
      <c r="BP209" s="5">
        <v>8063</v>
      </c>
      <c r="BQ209" s="5">
        <v>47119</v>
      </c>
      <c r="BR209" s="5">
        <v>1290</v>
      </c>
      <c r="BS209" s="5">
        <v>123</v>
      </c>
      <c r="BT209" s="5">
        <v>5013</v>
      </c>
      <c r="BU209" s="5">
        <v>60</v>
      </c>
      <c r="BV209" s="5"/>
      <c r="BW209" s="5">
        <v>2</v>
      </c>
      <c r="BX209" s="5">
        <v>125</v>
      </c>
      <c r="BY209" s="5"/>
      <c r="BZ209" s="5">
        <v>16</v>
      </c>
      <c r="CA209" s="5">
        <v>0</v>
      </c>
      <c r="CB209" s="5">
        <v>16689</v>
      </c>
      <c r="CC209" s="5">
        <v>15281</v>
      </c>
      <c r="CD209" s="5">
        <v>109663</v>
      </c>
      <c r="CE209" s="5">
        <v>174674</v>
      </c>
      <c r="CF209" s="5">
        <v>18055</v>
      </c>
      <c r="CG209" s="5">
        <v>27713</v>
      </c>
      <c r="CH209" s="5">
        <v>0</v>
      </c>
      <c r="CI209" s="5">
        <v>27</v>
      </c>
      <c r="CJ209" s="5">
        <v>9</v>
      </c>
      <c r="CK209" s="5">
        <v>37</v>
      </c>
      <c r="CL209" s="5"/>
      <c r="CM209" s="5"/>
      <c r="CN209" s="5"/>
      <c r="CO209" s="5"/>
      <c r="CP209" s="5"/>
      <c r="CQ209" s="5"/>
      <c r="CR209" s="5"/>
      <c r="CS209" s="5"/>
      <c r="CT209" s="5" t="s">
        <v>82</v>
      </c>
      <c r="CU209" s="5" t="s">
        <v>82</v>
      </c>
      <c r="CV209" s="5" t="s">
        <v>82</v>
      </c>
      <c r="CW209" s="5">
        <v>34</v>
      </c>
      <c r="CX209" s="5">
        <v>0</v>
      </c>
      <c r="CY209" s="5">
        <v>52</v>
      </c>
      <c r="DA209" s="6"/>
      <c r="DC209" s="6"/>
      <c r="DD209" s="6">
        <f t="shared" si="56"/>
        <v>436541</v>
      </c>
      <c r="DE209" s="6">
        <f t="shared" si="57"/>
        <v>208659</v>
      </c>
      <c r="DF209" s="16">
        <f t="shared" si="58"/>
        <v>645200</v>
      </c>
      <c r="DK209" s="6">
        <f t="shared" si="59"/>
        <v>62831</v>
      </c>
      <c r="DL209" s="6">
        <f t="shared" si="60"/>
        <v>110806</v>
      </c>
      <c r="DM209" s="6">
        <f t="shared" si="49"/>
        <v>9909</v>
      </c>
      <c r="DN209" s="6">
        <f t="shared" si="50"/>
        <v>25384</v>
      </c>
      <c r="DO209" s="6">
        <f t="shared" si="51"/>
        <v>320706</v>
      </c>
      <c r="DP209" s="6">
        <f t="shared" si="64"/>
        <v>52577</v>
      </c>
      <c r="DQ209" s="6"/>
      <c r="DR209" s="6">
        <f t="shared" si="52"/>
        <v>15308</v>
      </c>
      <c r="DS209" s="6">
        <f t="shared" si="53"/>
        <v>8063</v>
      </c>
      <c r="DT209" s="6">
        <f t="shared" si="54"/>
        <v>12174</v>
      </c>
      <c r="DU209" s="6"/>
      <c r="DV209" s="6"/>
      <c r="DW209" s="6">
        <f t="shared" si="55"/>
        <v>617758</v>
      </c>
      <c r="DY209" s="6">
        <f t="shared" si="61"/>
        <v>400491</v>
      </c>
      <c r="DZ209" s="6">
        <f t="shared" si="62"/>
        <v>39898</v>
      </c>
      <c r="EB209" s="6">
        <f t="shared" si="63"/>
        <v>685098</v>
      </c>
      <c r="EC209" s="6"/>
      <c r="ED209" s="6"/>
      <c r="EF209" s="6"/>
      <c r="EG209" s="6"/>
    </row>
    <row r="210" spans="1:138" ht="14">
      <c r="B210" s="4">
        <v>38353</v>
      </c>
      <c r="C210" s="5">
        <v>1</v>
      </c>
      <c r="D210" s="5">
        <v>26</v>
      </c>
      <c r="E210" s="5">
        <v>5499</v>
      </c>
      <c r="F210" s="5">
        <v>1</v>
      </c>
      <c r="G210" s="5" t="s">
        <v>82</v>
      </c>
      <c r="H210" s="5">
        <v>10658</v>
      </c>
      <c r="I210" s="5">
        <v>18941</v>
      </c>
      <c r="J210" s="5">
        <v>2956</v>
      </c>
      <c r="K210" s="5">
        <v>7413</v>
      </c>
      <c r="L210" s="5"/>
      <c r="M210" s="5">
        <v>31012</v>
      </c>
      <c r="N210" s="5">
        <v>2674</v>
      </c>
      <c r="O210" s="5"/>
      <c r="P210" s="5">
        <v>2028</v>
      </c>
      <c r="Q210" s="5">
        <v>8955</v>
      </c>
      <c r="R210" s="5">
        <v>539</v>
      </c>
      <c r="S210" s="5">
        <v>9149</v>
      </c>
      <c r="T210" s="5">
        <v>9916</v>
      </c>
      <c r="U210" s="5"/>
      <c r="V210" s="5"/>
      <c r="W210" s="5">
        <v>456</v>
      </c>
      <c r="X210" s="5">
        <v>7844</v>
      </c>
      <c r="Y210" s="5">
        <v>432</v>
      </c>
      <c r="Z210" s="5">
        <v>13</v>
      </c>
      <c r="AA210" s="155"/>
      <c r="AB210" s="5">
        <v>5</v>
      </c>
      <c r="AC210" s="5">
        <v>54</v>
      </c>
      <c r="AD210" s="5">
        <v>13</v>
      </c>
      <c r="AE210" s="5">
        <v>26</v>
      </c>
      <c r="AF210" s="5">
        <v>38</v>
      </c>
      <c r="AG210" s="5">
        <v>52</v>
      </c>
      <c r="AH210" s="5"/>
      <c r="AI210" s="5"/>
      <c r="AJ210" s="5">
        <v>7</v>
      </c>
      <c r="AK210" s="5">
        <v>8075</v>
      </c>
      <c r="AL210" s="5">
        <v>88119</v>
      </c>
      <c r="AM210" s="5">
        <v>3263</v>
      </c>
      <c r="AN210" s="5">
        <v>12415</v>
      </c>
      <c r="AO210" s="5">
        <v>61</v>
      </c>
      <c r="AP210" s="5">
        <v>17</v>
      </c>
      <c r="AQ210" s="5">
        <v>230</v>
      </c>
      <c r="AR210" s="5">
        <v>0</v>
      </c>
      <c r="AS210" s="5">
        <v>1634</v>
      </c>
      <c r="AT210" s="5" t="s">
        <v>82</v>
      </c>
      <c r="AU210" s="5">
        <v>3435</v>
      </c>
      <c r="AV210" s="5">
        <v>2047</v>
      </c>
      <c r="AW210" s="5">
        <v>3434</v>
      </c>
      <c r="AX210" s="5">
        <v>8605</v>
      </c>
      <c r="AY210" s="155"/>
      <c r="AZ210" s="155"/>
      <c r="BA210" s="155">
        <v>277</v>
      </c>
      <c r="BB210" s="155"/>
      <c r="BC210" s="5">
        <v>491</v>
      </c>
      <c r="BD210" s="5"/>
      <c r="BE210" s="5">
        <v>6</v>
      </c>
      <c r="BF210" s="5">
        <v>0</v>
      </c>
      <c r="BG210" s="5">
        <v>771</v>
      </c>
      <c r="BH210" s="5">
        <v>1</v>
      </c>
      <c r="BI210" s="5">
        <v>0</v>
      </c>
      <c r="BJ210" s="5">
        <v>7880</v>
      </c>
      <c r="BK210" s="5">
        <v>33</v>
      </c>
      <c r="BL210" s="5">
        <v>3464</v>
      </c>
      <c r="BM210" s="5"/>
      <c r="BN210" s="5">
        <v>394</v>
      </c>
      <c r="BO210" s="5">
        <v>55</v>
      </c>
      <c r="BP210" s="5">
        <v>8623</v>
      </c>
      <c r="BQ210" s="5">
        <v>47718</v>
      </c>
      <c r="BR210" s="5">
        <v>1195</v>
      </c>
      <c r="BS210" s="5">
        <v>127</v>
      </c>
      <c r="BT210" s="5">
        <v>5044</v>
      </c>
      <c r="BU210" s="5">
        <v>59</v>
      </c>
      <c r="BV210" s="5"/>
      <c r="BW210" s="5">
        <v>3</v>
      </c>
      <c r="BX210" s="5">
        <v>120</v>
      </c>
      <c r="BY210" s="5"/>
      <c r="BZ210" s="5">
        <v>11</v>
      </c>
      <c r="CA210" s="5">
        <v>0</v>
      </c>
      <c r="CB210" s="5">
        <v>17008</v>
      </c>
      <c r="CC210" s="5">
        <v>15151</v>
      </c>
      <c r="CD210" s="5">
        <v>109983</v>
      </c>
      <c r="CE210" s="5">
        <v>175323</v>
      </c>
      <c r="CF210" s="5">
        <v>18431</v>
      </c>
      <c r="CG210" s="5">
        <v>28554</v>
      </c>
      <c r="CH210" s="5">
        <v>0</v>
      </c>
      <c r="CI210" s="5">
        <v>23</v>
      </c>
      <c r="CJ210" s="5">
        <v>9</v>
      </c>
      <c r="CK210" s="5">
        <v>26</v>
      </c>
      <c r="CL210" s="5"/>
      <c r="CM210" s="5"/>
      <c r="CN210" s="5"/>
      <c r="CO210" s="5"/>
      <c r="CP210" s="5"/>
      <c r="CQ210" s="5"/>
      <c r="CR210" s="5"/>
      <c r="CS210" s="5"/>
      <c r="CT210" s="5" t="s">
        <v>82</v>
      </c>
      <c r="CU210" s="5" t="s">
        <v>82</v>
      </c>
      <c r="CV210" s="5" t="s">
        <v>82</v>
      </c>
      <c r="CW210" s="5">
        <v>33</v>
      </c>
      <c r="CX210" s="5">
        <v>0</v>
      </c>
      <c r="CY210" s="5">
        <v>53</v>
      </c>
      <c r="DA210" s="6"/>
      <c r="DC210" s="6"/>
      <c r="DD210" s="6">
        <f t="shared" si="56"/>
        <v>440012</v>
      </c>
      <c r="DE210" s="6">
        <f t="shared" si="57"/>
        <v>205039</v>
      </c>
      <c r="DF210" s="16">
        <f t="shared" si="58"/>
        <v>645051</v>
      </c>
      <c r="DK210" s="6">
        <f t="shared" si="59"/>
        <v>62657</v>
      </c>
      <c r="DL210" s="6">
        <f t="shared" si="60"/>
        <v>111424</v>
      </c>
      <c r="DM210" s="6">
        <f t="shared" si="49"/>
        <v>9916</v>
      </c>
      <c r="DN210" s="6">
        <f t="shared" si="50"/>
        <v>21319</v>
      </c>
      <c r="DO210" s="6">
        <f t="shared" si="51"/>
        <v>322263</v>
      </c>
      <c r="DP210" s="6">
        <f t="shared" si="64"/>
        <v>53163</v>
      </c>
      <c r="DQ210" s="6"/>
      <c r="DR210" s="6">
        <f t="shared" si="52"/>
        <v>15174</v>
      </c>
      <c r="DS210" s="6">
        <f t="shared" si="53"/>
        <v>8623</v>
      </c>
      <c r="DT210" s="6">
        <f t="shared" si="54"/>
        <v>12235</v>
      </c>
      <c r="DU210" s="6"/>
      <c r="DV210" s="6"/>
      <c r="DW210" s="6">
        <f t="shared" si="55"/>
        <v>616774</v>
      </c>
      <c r="DY210" s="6">
        <f t="shared" si="61"/>
        <v>403020</v>
      </c>
      <c r="DZ210" s="6">
        <f t="shared" si="62"/>
        <v>39968</v>
      </c>
      <c r="EB210" s="6">
        <f t="shared" si="63"/>
        <v>685019</v>
      </c>
      <c r="EC210" s="6"/>
      <c r="ED210" s="6"/>
      <c r="EF210" s="6"/>
      <c r="EG210" s="6"/>
    </row>
    <row r="211" spans="1:138" ht="14">
      <c r="B211" s="4">
        <v>38384</v>
      </c>
      <c r="C211" s="5">
        <v>1</v>
      </c>
      <c r="D211" s="5">
        <v>22</v>
      </c>
      <c r="E211" s="5">
        <v>4521</v>
      </c>
      <c r="F211" s="5">
        <v>0</v>
      </c>
      <c r="G211" s="5" t="s">
        <v>82</v>
      </c>
      <c r="H211" s="5">
        <v>10830</v>
      </c>
      <c r="I211" s="5">
        <v>19178</v>
      </c>
      <c r="J211" s="5">
        <v>2965</v>
      </c>
      <c r="K211" s="5">
        <v>7356</v>
      </c>
      <c r="L211" s="5"/>
      <c r="M211" s="5">
        <v>30968</v>
      </c>
      <c r="N211" s="5">
        <v>2658</v>
      </c>
      <c r="O211" s="5"/>
      <c r="P211" s="5">
        <v>1997</v>
      </c>
      <c r="Q211" s="5">
        <v>8888</v>
      </c>
      <c r="R211" s="5">
        <v>537</v>
      </c>
      <c r="S211" s="5">
        <v>9075</v>
      </c>
      <c r="T211" s="5">
        <v>9920</v>
      </c>
      <c r="U211" s="5"/>
      <c r="V211" s="5"/>
      <c r="W211" s="5">
        <v>458</v>
      </c>
      <c r="X211" s="5">
        <v>7918</v>
      </c>
      <c r="Y211" s="5">
        <v>431</v>
      </c>
      <c r="Z211" s="5">
        <v>13</v>
      </c>
      <c r="AA211" s="155"/>
      <c r="AB211" s="5">
        <v>5</v>
      </c>
      <c r="AC211" s="5">
        <v>52</v>
      </c>
      <c r="AD211" s="5">
        <v>13</v>
      </c>
      <c r="AE211" s="5">
        <v>27</v>
      </c>
      <c r="AF211" s="5">
        <v>41</v>
      </c>
      <c r="AG211" s="5">
        <v>52</v>
      </c>
      <c r="AH211" s="5"/>
      <c r="AI211" s="5"/>
      <c r="AJ211" s="5">
        <v>7</v>
      </c>
      <c r="AK211" s="5">
        <v>8180</v>
      </c>
      <c r="AL211" s="5">
        <v>88800</v>
      </c>
      <c r="AM211" s="5">
        <v>3259</v>
      </c>
      <c r="AN211" s="5">
        <v>12523</v>
      </c>
      <c r="AO211" s="5">
        <v>65</v>
      </c>
      <c r="AP211" s="5">
        <v>21</v>
      </c>
      <c r="AQ211" s="5">
        <v>1669</v>
      </c>
      <c r="AR211" s="5">
        <v>0</v>
      </c>
      <c r="AS211" s="5">
        <v>1695</v>
      </c>
      <c r="AT211" s="5" t="s">
        <v>82</v>
      </c>
      <c r="AU211" s="5">
        <v>3431</v>
      </c>
      <c r="AV211" s="5">
        <v>2057</v>
      </c>
      <c r="AW211" s="5">
        <v>3411</v>
      </c>
      <c r="AX211" s="5">
        <v>8700</v>
      </c>
      <c r="AY211" s="155"/>
      <c r="AZ211" s="155"/>
      <c r="BA211" s="155">
        <v>284</v>
      </c>
      <c r="BB211" s="155"/>
      <c r="BC211" s="5">
        <v>490</v>
      </c>
      <c r="BD211" s="5"/>
      <c r="BE211" s="5">
        <v>5</v>
      </c>
      <c r="BF211" s="5">
        <v>0</v>
      </c>
      <c r="BG211" s="5">
        <v>819</v>
      </c>
      <c r="BH211" s="5">
        <v>1</v>
      </c>
      <c r="BI211" s="5">
        <v>0</v>
      </c>
      <c r="BJ211" s="5">
        <v>7909</v>
      </c>
      <c r="BK211" s="5">
        <v>34</v>
      </c>
      <c r="BL211" s="5">
        <v>3486</v>
      </c>
      <c r="BM211" s="5"/>
      <c r="BN211" s="5">
        <v>390</v>
      </c>
      <c r="BO211" s="5">
        <v>56</v>
      </c>
      <c r="BP211" s="5">
        <v>9207</v>
      </c>
      <c r="BQ211" s="5">
        <v>48934</v>
      </c>
      <c r="BR211" s="5">
        <v>1112</v>
      </c>
      <c r="BS211" s="5">
        <v>129</v>
      </c>
      <c r="BT211" s="5">
        <v>5265</v>
      </c>
      <c r="BU211" s="5">
        <v>58</v>
      </c>
      <c r="BV211" s="5"/>
      <c r="BW211" s="5">
        <v>3</v>
      </c>
      <c r="BX211" s="5">
        <v>116</v>
      </c>
      <c r="BY211" s="5"/>
      <c r="BZ211" s="5">
        <v>10</v>
      </c>
      <c r="CA211" s="5">
        <v>0</v>
      </c>
      <c r="CB211" s="5">
        <v>17329</v>
      </c>
      <c r="CC211" s="5">
        <v>15121</v>
      </c>
      <c r="CD211" s="5">
        <v>110850</v>
      </c>
      <c r="CE211" s="5">
        <v>177133</v>
      </c>
      <c r="CF211" s="5">
        <v>19242</v>
      </c>
      <c r="CG211" s="5">
        <v>29446</v>
      </c>
      <c r="CH211" s="5">
        <v>0</v>
      </c>
      <c r="CI211" s="5">
        <v>24</v>
      </c>
      <c r="CJ211" s="5">
        <v>8</v>
      </c>
      <c r="CK211" s="5">
        <v>47</v>
      </c>
      <c r="CL211" s="5"/>
      <c r="CM211" s="5"/>
      <c r="CN211" s="5"/>
      <c r="CO211" s="5"/>
      <c r="CP211" s="5"/>
      <c r="CQ211" s="5"/>
      <c r="CR211" s="5"/>
      <c r="CS211" s="5"/>
      <c r="CT211" s="5" t="s">
        <v>82</v>
      </c>
      <c r="CU211" s="5" t="s">
        <v>82</v>
      </c>
      <c r="CV211" s="5" t="s">
        <v>82</v>
      </c>
      <c r="CW211" s="5">
        <v>33</v>
      </c>
      <c r="CX211" s="5">
        <v>0</v>
      </c>
      <c r="CY211" s="5">
        <v>51</v>
      </c>
      <c r="DA211" s="6"/>
      <c r="DC211" s="6"/>
      <c r="DD211" s="6">
        <f t="shared" si="56"/>
        <v>446734</v>
      </c>
      <c r="DE211" s="6">
        <f t="shared" si="57"/>
        <v>207361</v>
      </c>
      <c r="DF211" s="16">
        <f t="shared" si="58"/>
        <v>654095</v>
      </c>
      <c r="DK211" s="6">
        <f t="shared" si="59"/>
        <v>62499</v>
      </c>
      <c r="DL211" s="6">
        <f t="shared" si="60"/>
        <v>112261</v>
      </c>
      <c r="DM211" s="6">
        <f t="shared" si="49"/>
        <v>9920</v>
      </c>
      <c r="DN211" s="6">
        <f t="shared" si="50"/>
        <v>22965</v>
      </c>
      <c r="DO211" s="6">
        <f t="shared" si="51"/>
        <v>326011</v>
      </c>
      <c r="DP211" s="6">
        <f t="shared" si="64"/>
        <v>54595</v>
      </c>
      <c r="DQ211" s="6"/>
      <c r="DR211" s="6">
        <f t="shared" si="52"/>
        <v>15145</v>
      </c>
      <c r="DS211" s="6">
        <f t="shared" si="53"/>
        <v>9207</v>
      </c>
      <c r="DT211" s="6">
        <f t="shared" si="54"/>
        <v>12330</v>
      </c>
      <c r="DU211" s="6"/>
      <c r="DV211" s="6"/>
      <c r="DW211" s="6">
        <f t="shared" si="55"/>
        <v>624933</v>
      </c>
      <c r="DY211" s="6">
        <f t="shared" si="61"/>
        <v>408116</v>
      </c>
      <c r="DZ211" s="6">
        <f t="shared" si="62"/>
        <v>40329</v>
      </c>
      <c r="EB211" s="6">
        <f t="shared" si="63"/>
        <v>694424</v>
      </c>
      <c r="EC211" s="6"/>
      <c r="ED211" s="6"/>
      <c r="EF211" s="6"/>
      <c r="EG211" s="6"/>
    </row>
    <row r="212" spans="1:138" ht="14">
      <c r="B212" s="4">
        <v>38412</v>
      </c>
      <c r="C212" s="5">
        <v>1</v>
      </c>
      <c r="D212" s="5">
        <v>15</v>
      </c>
      <c r="E212" s="5">
        <v>3584</v>
      </c>
      <c r="F212" s="5">
        <v>0</v>
      </c>
      <c r="G212" s="5" t="s">
        <v>82</v>
      </c>
      <c r="H212" s="5">
        <v>10698</v>
      </c>
      <c r="I212" s="5">
        <v>19093</v>
      </c>
      <c r="J212" s="5">
        <v>2877</v>
      </c>
      <c r="K212" s="5">
        <v>7234</v>
      </c>
      <c r="L212" s="5"/>
      <c r="M212" s="5">
        <v>30883</v>
      </c>
      <c r="N212" s="5">
        <v>2626</v>
      </c>
      <c r="O212" s="5"/>
      <c r="P212" s="5">
        <v>1973</v>
      </c>
      <c r="Q212" s="5">
        <v>8823</v>
      </c>
      <c r="R212" s="5">
        <v>527</v>
      </c>
      <c r="S212" s="5">
        <v>9005</v>
      </c>
      <c r="T212" s="5">
        <v>9855</v>
      </c>
      <c r="U212" s="5"/>
      <c r="V212" s="5"/>
      <c r="W212" s="5">
        <v>453</v>
      </c>
      <c r="X212" s="5">
        <v>7908</v>
      </c>
      <c r="Y212" s="5">
        <v>428</v>
      </c>
      <c r="Z212" s="5">
        <v>12</v>
      </c>
      <c r="AA212" s="155"/>
      <c r="AB212" s="5">
        <v>6</v>
      </c>
      <c r="AC212" s="5">
        <v>51</v>
      </c>
      <c r="AD212" s="5">
        <v>13</v>
      </c>
      <c r="AE212" s="5">
        <v>27</v>
      </c>
      <c r="AF212" s="5">
        <v>41</v>
      </c>
      <c r="AG212" s="5">
        <v>52</v>
      </c>
      <c r="AH212" s="5"/>
      <c r="AI212" s="5"/>
      <c r="AJ212" s="5">
        <v>7</v>
      </c>
      <c r="AK212" s="5">
        <v>8204</v>
      </c>
      <c r="AL212" s="5">
        <v>88767</v>
      </c>
      <c r="AM212" s="5">
        <v>3263</v>
      </c>
      <c r="AN212" s="5">
        <v>12615</v>
      </c>
      <c r="AO212" s="5">
        <v>62</v>
      </c>
      <c r="AP212" s="5">
        <v>26</v>
      </c>
      <c r="AQ212" s="5">
        <v>2683</v>
      </c>
      <c r="AR212" s="5">
        <v>0</v>
      </c>
      <c r="AS212" s="5">
        <v>1688</v>
      </c>
      <c r="AT212" s="5" t="s">
        <v>82</v>
      </c>
      <c r="AU212" s="5">
        <v>3428</v>
      </c>
      <c r="AV212" s="5">
        <v>2051</v>
      </c>
      <c r="AW212" s="5">
        <v>3431</v>
      </c>
      <c r="AX212" s="5">
        <v>8728</v>
      </c>
      <c r="AY212" s="155"/>
      <c r="AZ212" s="155"/>
      <c r="BA212" s="155">
        <v>286</v>
      </c>
      <c r="BB212" s="155"/>
      <c r="BC212" s="5">
        <v>474</v>
      </c>
      <c r="BD212" s="5"/>
      <c r="BE212" s="5">
        <v>6</v>
      </c>
      <c r="BF212" s="5">
        <v>0</v>
      </c>
      <c r="BG212" s="5">
        <v>816</v>
      </c>
      <c r="BH212" s="5">
        <v>0</v>
      </c>
      <c r="BI212" s="5">
        <v>0</v>
      </c>
      <c r="BJ212" s="5">
        <v>7864</v>
      </c>
      <c r="BK212" s="5">
        <v>38</v>
      </c>
      <c r="BL212" s="5">
        <v>3474</v>
      </c>
      <c r="BM212" s="5"/>
      <c r="BN212" s="5">
        <v>365</v>
      </c>
      <c r="BO212" s="5">
        <v>48</v>
      </c>
      <c r="BP212" s="5">
        <v>9519</v>
      </c>
      <c r="BQ212" s="5">
        <v>48691</v>
      </c>
      <c r="BR212" s="5">
        <v>1040</v>
      </c>
      <c r="BS212" s="5">
        <v>127</v>
      </c>
      <c r="BT212" s="5">
        <v>5191</v>
      </c>
      <c r="BU212" s="5">
        <v>51</v>
      </c>
      <c r="BV212" s="5"/>
      <c r="BW212" s="5">
        <v>5</v>
      </c>
      <c r="BX212" s="5">
        <v>117</v>
      </c>
      <c r="BY212" s="5"/>
      <c r="BZ212" s="5">
        <v>12</v>
      </c>
      <c r="CA212" s="5">
        <v>0</v>
      </c>
      <c r="CB212" s="5">
        <v>17296</v>
      </c>
      <c r="CC212" s="5">
        <v>14920</v>
      </c>
      <c r="CD212" s="5">
        <v>109870</v>
      </c>
      <c r="CE212" s="5">
        <v>175756</v>
      </c>
      <c r="CF212" s="5">
        <v>19402</v>
      </c>
      <c r="CG212" s="5">
        <v>29653</v>
      </c>
      <c r="CH212" s="5">
        <v>0</v>
      </c>
      <c r="CI212" s="5">
        <v>23</v>
      </c>
      <c r="CJ212" s="5">
        <v>8</v>
      </c>
      <c r="CK212" s="5">
        <v>55</v>
      </c>
      <c r="CL212" s="5"/>
      <c r="CM212" s="5"/>
      <c r="CN212" s="5"/>
      <c r="CO212" s="5"/>
      <c r="CP212" s="5"/>
      <c r="CQ212" s="5"/>
      <c r="CR212" s="5"/>
      <c r="CS212" s="5"/>
      <c r="CT212" s="5" t="s">
        <v>82</v>
      </c>
      <c r="CU212" s="5" t="s">
        <v>82</v>
      </c>
      <c r="CV212" s="5" t="s">
        <v>82</v>
      </c>
      <c r="CW212" s="5">
        <v>33</v>
      </c>
      <c r="CX212" s="5">
        <v>0</v>
      </c>
      <c r="CY212" s="5">
        <v>50</v>
      </c>
      <c r="DA212" s="6"/>
      <c r="DC212" s="6"/>
      <c r="DD212" s="6">
        <f t="shared" si="56"/>
        <v>444347</v>
      </c>
      <c r="DE212" s="6">
        <f t="shared" si="57"/>
        <v>208110</v>
      </c>
      <c r="DF212" s="16">
        <f t="shared" si="58"/>
        <v>652457</v>
      </c>
      <c r="DK212" s="6">
        <f t="shared" si="59"/>
        <v>62198</v>
      </c>
      <c r="DL212" s="6">
        <f t="shared" si="60"/>
        <v>112239</v>
      </c>
      <c r="DM212" s="6">
        <f t="shared" si="49"/>
        <v>9855</v>
      </c>
      <c r="DN212" s="6">
        <f t="shared" si="50"/>
        <v>24104</v>
      </c>
      <c r="DO212" s="6">
        <f t="shared" si="51"/>
        <v>323708</v>
      </c>
      <c r="DP212" s="6">
        <f t="shared" si="64"/>
        <v>54253</v>
      </c>
      <c r="DQ212" s="6"/>
      <c r="DR212" s="6">
        <f t="shared" si="52"/>
        <v>14943</v>
      </c>
      <c r="DS212" s="6">
        <f t="shared" si="53"/>
        <v>9519</v>
      </c>
      <c r="DT212" s="6">
        <f t="shared" si="54"/>
        <v>12271</v>
      </c>
      <c r="DU212" s="6"/>
      <c r="DV212" s="6"/>
      <c r="DW212" s="6">
        <f t="shared" si="55"/>
        <v>623090</v>
      </c>
      <c r="DY212" s="6">
        <f t="shared" si="61"/>
        <v>405534</v>
      </c>
      <c r="DZ212" s="6">
        <f t="shared" si="62"/>
        <v>39902</v>
      </c>
      <c r="EB212" s="6">
        <f t="shared" si="63"/>
        <v>692359</v>
      </c>
      <c r="EC212" s="6"/>
      <c r="ED212" s="6"/>
      <c r="EF212" s="6"/>
      <c r="EG212" s="6"/>
    </row>
    <row r="213" spans="1:138" ht="14">
      <c r="B213" s="4">
        <v>38443</v>
      </c>
      <c r="C213" s="5">
        <v>1</v>
      </c>
      <c r="D213" s="5">
        <v>6</v>
      </c>
      <c r="E213" s="5">
        <v>2632</v>
      </c>
      <c r="F213" s="5">
        <v>0</v>
      </c>
      <c r="G213" s="5" t="s">
        <v>82</v>
      </c>
      <c r="H213" s="5">
        <v>11051</v>
      </c>
      <c r="I213" s="5">
        <v>19534</v>
      </c>
      <c r="J213" s="5">
        <v>2944</v>
      </c>
      <c r="K213" s="5">
        <v>7324</v>
      </c>
      <c r="L213" s="5"/>
      <c r="M213" s="5">
        <v>30829</v>
      </c>
      <c r="N213" s="5">
        <v>2609</v>
      </c>
      <c r="O213" s="5"/>
      <c r="P213" s="5">
        <v>1995</v>
      </c>
      <c r="Q213" s="5">
        <v>8824</v>
      </c>
      <c r="R213" s="5">
        <v>521</v>
      </c>
      <c r="S213" s="5">
        <v>9055</v>
      </c>
      <c r="T213" s="5">
        <v>9939</v>
      </c>
      <c r="U213" s="5"/>
      <c r="V213" s="5"/>
      <c r="W213" s="5">
        <v>443</v>
      </c>
      <c r="X213" s="5">
        <v>7998</v>
      </c>
      <c r="Y213" s="5">
        <v>421</v>
      </c>
      <c r="Z213" s="5">
        <v>13</v>
      </c>
      <c r="AA213" s="155"/>
      <c r="AB213" s="5">
        <v>6</v>
      </c>
      <c r="AC213" s="5">
        <v>49</v>
      </c>
      <c r="AD213" s="5">
        <v>13</v>
      </c>
      <c r="AE213" s="5">
        <v>25</v>
      </c>
      <c r="AF213" s="5">
        <v>40</v>
      </c>
      <c r="AG213" s="5">
        <v>53</v>
      </c>
      <c r="AH213" s="5"/>
      <c r="AI213" s="5"/>
      <c r="AJ213" s="5">
        <v>7</v>
      </c>
      <c r="AK213" s="5">
        <v>8357</v>
      </c>
      <c r="AL213" s="5">
        <v>89265</v>
      </c>
      <c r="AM213" s="5">
        <v>3278</v>
      </c>
      <c r="AN213" s="5">
        <v>12787</v>
      </c>
      <c r="AO213" s="5">
        <v>55</v>
      </c>
      <c r="AP213" s="5">
        <v>27</v>
      </c>
      <c r="AQ213" s="5">
        <v>3314</v>
      </c>
      <c r="AR213" s="5">
        <v>0</v>
      </c>
      <c r="AS213" s="5">
        <v>1786</v>
      </c>
      <c r="AT213" s="5" t="s">
        <v>82</v>
      </c>
      <c r="AU213" s="5">
        <v>3472</v>
      </c>
      <c r="AV213" s="5">
        <v>2087</v>
      </c>
      <c r="AW213" s="5">
        <v>3453</v>
      </c>
      <c r="AX213" s="5">
        <v>8844</v>
      </c>
      <c r="AY213" s="155"/>
      <c r="AZ213" s="155"/>
      <c r="BA213" s="155">
        <v>284</v>
      </c>
      <c r="BB213" s="155"/>
      <c r="BC213" s="5">
        <v>477</v>
      </c>
      <c r="BD213" s="5"/>
      <c r="BE213" s="5">
        <v>5</v>
      </c>
      <c r="BF213" s="5">
        <v>0</v>
      </c>
      <c r="BG213" s="5">
        <v>834</v>
      </c>
      <c r="BH213" s="5">
        <v>0</v>
      </c>
      <c r="BI213" s="5">
        <v>0</v>
      </c>
      <c r="BJ213" s="5">
        <v>7945</v>
      </c>
      <c r="BK213" s="5">
        <v>35</v>
      </c>
      <c r="BL213" s="5">
        <v>3574</v>
      </c>
      <c r="BM213" s="5"/>
      <c r="BN213" s="5">
        <v>330</v>
      </c>
      <c r="BO213" s="5">
        <v>46</v>
      </c>
      <c r="BP213" s="5">
        <v>10110</v>
      </c>
      <c r="BQ213" s="5">
        <v>49963</v>
      </c>
      <c r="BR213" s="5">
        <v>954</v>
      </c>
      <c r="BS213" s="5">
        <v>132</v>
      </c>
      <c r="BT213" s="5">
        <v>5434</v>
      </c>
      <c r="BU213" s="5">
        <v>46</v>
      </c>
      <c r="BV213" s="5"/>
      <c r="BW213" s="5">
        <v>7</v>
      </c>
      <c r="BX213" s="5">
        <v>112</v>
      </c>
      <c r="BY213" s="5"/>
      <c r="BZ213" s="5">
        <v>5</v>
      </c>
      <c r="CA213" s="5">
        <v>0</v>
      </c>
      <c r="CB213" s="5">
        <v>17679</v>
      </c>
      <c r="CC213" s="5">
        <v>15456</v>
      </c>
      <c r="CD213" s="5">
        <v>111575</v>
      </c>
      <c r="CE213" s="5">
        <v>177994</v>
      </c>
      <c r="CF213" s="5">
        <v>20019</v>
      </c>
      <c r="CG213" s="5">
        <v>30307</v>
      </c>
      <c r="CH213" s="5">
        <v>0</v>
      </c>
      <c r="CI213" s="5">
        <v>28</v>
      </c>
      <c r="CJ213" s="5">
        <v>7</v>
      </c>
      <c r="CK213" s="5">
        <v>53</v>
      </c>
      <c r="CL213" s="5"/>
      <c r="CM213" s="5"/>
      <c r="CN213" s="5"/>
      <c r="CO213" s="5"/>
      <c r="CP213" s="5"/>
      <c r="CQ213" s="5"/>
      <c r="CR213" s="5"/>
      <c r="CS213" s="5"/>
      <c r="CT213" s="5" t="s">
        <v>82</v>
      </c>
      <c r="CU213" s="5" t="s">
        <v>82</v>
      </c>
      <c r="CV213" s="5" t="s">
        <v>82</v>
      </c>
      <c r="CW213" s="5">
        <v>33</v>
      </c>
      <c r="CX213" s="5">
        <v>0</v>
      </c>
      <c r="CY213" s="5">
        <v>48</v>
      </c>
      <c r="DA213" s="6"/>
      <c r="DC213" s="6"/>
      <c r="DD213" s="6">
        <f t="shared" si="56"/>
        <v>452650</v>
      </c>
      <c r="DE213" s="6">
        <f t="shared" si="57"/>
        <v>210042</v>
      </c>
      <c r="DF213" s="16">
        <f t="shared" si="58"/>
        <v>662692</v>
      </c>
      <c r="DK213" s="6">
        <f t="shared" si="59"/>
        <v>62274</v>
      </c>
      <c r="DL213" s="6">
        <f t="shared" si="60"/>
        <v>113088</v>
      </c>
      <c r="DM213" s="6">
        <f t="shared" si="49"/>
        <v>9939</v>
      </c>
      <c r="DN213" s="6">
        <f t="shared" si="50"/>
        <v>25025</v>
      </c>
      <c r="DO213" s="6">
        <f t="shared" si="51"/>
        <v>328552</v>
      </c>
      <c r="DP213" s="6">
        <f t="shared" si="64"/>
        <v>55732</v>
      </c>
      <c r="DQ213" s="6"/>
      <c r="DR213" s="6">
        <f t="shared" si="52"/>
        <v>15484</v>
      </c>
      <c r="DS213" s="6">
        <f t="shared" si="53"/>
        <v>10110</v>
      </c>
      <c r="DT213" s="6">
        <f t="shared" si="54"/>
        <v>12465</v>
      </c>
      <c r="DU213" s="6"/>
      <c r="DV213" s="6"/>
      <c r="DW213" s="6">
        <f t="shared" si="55"/>
        <v>632669</v>
      </c>
      <c r="DY213" s="6">
        <f t="shared" si="61"/>
        <v>412177</v>
      </c>
      <c r="DZ213" s="6">
        <f t="shared" si="62"/>
        <v>40853</v>
      </c>
      <c r="EB213" s="6">
        <f t="shared" si="63"/>
        <v>703545</v>
      </c>
      <c r="EC213" s="6"/>
      <c r="ED213" s="6"/>
      <c r="EF213" s="6"/>
      <c r="EG213" s="6"/>
    </row>
    <row r="214" spans="1:138" ht="14">
      <c r="B214" s="4">
        <v>38473</v>
      </c>
      <c r="C214" s="5">
        <v>1</v>
      </c>
      <c r="D214" s="5">
        <v>1</v>
      </c>
      <c r="E214" s="5">
        <v>2261</v>
      </c>
      <c r="F214" s="5">
        <v>0</v>
      </c>
      <c r="G214" s="5" t="s">
        <v>82</v>
      </c>
      <c r="H214" s="5">
        <v>11158</v>
      </c>
      <c r="I214" s="5">
        <v>19677</v>
      </c>
      <c r="J214" s="5">
        <v>2974</v>
      </c>
      <c r="K214" s="5">
        <v>7331</v>
      </c>
      <c r="L214" s="5"/>
      <c r="M214" s="5">
        <v>30778</v>
      </c>
      <c r="N214" s="5">
        <v>2575</v>
      </c>
      <c r="O214" s="5"/>
      <c r="P214" s="5">
        <v>1958</v>
      </c>
      <c r="Q214" s="5">
        <v>8847</v>
      </c>
      <c r="R214" s="5">
        <v>518</v>
      </c>
      <c r="S214" s="5">
        <v>9071</v>
      </c>
      <c r="T214" s="5">
        <v>9892</v>
      </c>
      <c r="U214" s="5"/>
      <c r="V214" s="5"/>
      <c r="W214" s="5">
        <v>441</v>
      </c>
      <c r="X214" s="5">
        <v>8061</v>
      </c>
      <c r="Y214" s="5">
        <v>422</v>
      </c>
      <c r="Z214" s="5">
        <v>12</v>
      </c>
      <c r="AA214" s="155"/>
      <c r="AB214" s="5">
        <v>7</v>
      </c>
      <c r="AC214" s="5">
        <v>48</v>
      </c>
      <c r="AD214" s="5">
        <v>14</v>
      </c>
      <c r="AE214" s="5">
        <v>25</v>
      </c>
      <c r="AF214" s="5">
        <v>40</v>
      </c>
      <c r="AG214" s="5">
        <v>54</v>
      </c>
      <c r="AH214" s="5"/>
      <c r="AI214" s="5"/>
      <c r="AJ214" s="5">
        <v>6</v>
      </c>
      <c r="AK214" s="5">
        <v>8479</v>
      </c>
      <c r="AL214" s="5">
        <v>89523</v>
      </c>
      <c r="AM214" s="5">
        <v>3256</v>
      </c>
      <c r="AN214" s="5">
        <v>12790</v>
      </c>
      <c r="AO214" s="5">
        <v>50</v>
      </c>
      <c r="AP214" s="5">
        <v>24</v>
      </c>
      <c r="AQ214" s="5">
        <v>3591</v>
      </c>
      <c r="AR214" s="5">
        <v>0</v>
      </c>
      <c r="AS214" s="5">
        <v>1802</v>
      </c>
      <c r="AT214" s="5" t="s">
        <v>82</v>
      </c>
      <c r="AU214" s="5">
        <v>3474</v>
      </c>
      <c r="AV214" s="5">
        <v>2095</v>
      </c>
      <c r="AW214" s="5">
        <v>3452</v>
      </c>
      <c r="AX214" s="5">
        <v>8840</v>
      </c>
      <c r="AY214" s="155"/>
      <c r="AZ214" s="155"/>
      <c r="BA214" s="155">
        <v>283</v>
      </c>
      <c r="BB214" s="155"/>
      <c r="BC214" s="5">
        <v>497</v>
      </c>
      <c r="BD214" s="5"/>
      <c r="BE214" s="5">
        <v>1</v>
      </c>
      <c r="BF214" s="5">
        <v>0</v>
      </c>
      <c r="BG214" s="5">
        <v>855</v>
      </c>
      <c r="BH214" s="5">
        <v>0</v>
      </c>
      <c r="BI214" s="5">
        <v>0</v>
      </c>
      <c r="BJ214" s="5">
        <v>7948</v>
      </c>
      <c r="BK214" s="5">
        <v>35</v>
      </c>
      <c r="BL214" s="5">
        <v>3560</v>
      </c>
      <c r="BM214" s="5"/>
      <c r="BN214" s="5">
        <v>268</v>
      </c>
      <c r="BO214" s="5">
        <v>46</v>
      </c>
      <c r="BP214" s="5">
        <v>10385</v>
      </c>
      <c r="BQ214" s="5">
        <v>50255</v>
      </c>
      <c r="BR214" s="5">
        <v>847</v>
      </c>
      <c r="BS214" s="5">
        <v>134</v>
      </c>
      <c r="BT214" s="5">
        <v>5409</v>
      </c>
      <c r="BU214" s="5">
        <v>44</v>
      </c>
      <c r="BV214" s="5"/>
      <c r="BW214" s="5">
        <v>8</v>
      </c>
      <c r="BX214" s="5">
        <v>111</v>
      </c>
      <c r="BY214" s="5"/>
      <c r="BZ214" s="5">
        <v>5</v>
      </c>
      <c r="CA214" s="5">
        <v>0</v>
      </c>
      <c r="CB214" s="5">
        <v>18044</v>
      </c>
      <c r="CC214" s="5">
        <v>15523</v>
      </c>
      <c r="CD214" s="5">
        <v>111657</v>
      </c>
      <c r="CE214" s="5">
        <v>178541</v>
      </c>
      <c r="CF214" s="5">
        <v>20512</v>
      </c>
      <c r="CG214" s="5">
        <v>30832</v>
      </c>
      <c r="CH214" s="5">
        <v>0</v>
      </c>
      <c r="CI214" s="5">
        <v>25</v>
      </c>
      <c r="CJ214" s="5">
        <v>5</v>
      </c>
      <c r="CK214" s="5">
        <v>54</v>
      </c>
      <c r="CL214" s="5"/>
      <c r="CM214" s="5"/>
      <c r="CN214" s="5"/>
      <c r="CO214" s="5"/>
      <c r="CP214" s="5"/>
      <c r="CQ214" s="5"/>
      <c r="CR214" s="5"/>
      <c r="CS214" s="5"/>
      <c r="CT214" s="5" t="s">
        <v>82</v>
      </c>
      <c r="CU214" s="5" t="s">
        <v>82</v>
      </c>
      <c r="CV214" s="5" t="s">
        <v>82</v>
      </c>
      <c r="CW214" s="5">
        <v>33</v>
      </c>
      <c r="CX214" s="5">
        <v>0</v>
      </c>
      <c r="CY214" s="5">
        <v>46</v>
      </c>
      <c r="DA214" s="6"/>
      <c r="DC214" s="6"/>
      <c r="DD214" s="6">
        <f t="shared" si="56"/>
        <v>455104</v>
      </c>
      <c r="DE214" s="6">
        <f t="shared" si="57"/>
        <v>210642</v>
      </c>
      <c r="DF214" s="16">
        <f t="shared" si="58"/>
        <v>665746</v>
      </c>
      <c r="DK214" s="6">
        <f t="shared" si="59"/>
        <v>62249</v>
      </c>
      <c r="DL214" s="6">
        <f t="shared" si="60"/>
        <v>113485</v>
      </c>
      <c r="DM214" s="6">
        <f t="shared" si="49"/>
        <v>9892</v>
      </c>
      <c r="DN214" s="6">
        <f t="shared" si="50"/>
        <v>25299</v>
      </c>
      <c r="DO214" s="6">
        <f t="shared" si="51"/>
        <v>329932</v>
      </c>
      <c r="DP214" s="6">
        <f t="shared" si="64"/>
        <v>55933</v>
      </c>
      <c r="DQ214" s="6"/>
      <c r="DR214" s="6">
        <f t="shared" si="52"/>
        <v>15548</v>
      </c>
      <c r="DS214" s="6">
        <f t="shared" si="53"/>
        <v>10385</v>
      </c>
      <c r="DT214" s="6">
        <f t="shared" si="54"/>
        <v>12474</v>
      </c>
      <c r="DU214" s="6"/>
      <c r="DV214" s="6"/>
      <c r="DW214" s="6">
        <f t="shared" si="55"/>
        <v>635197</v>
      </c>
      <c r="DY214" s="6">
        <f t="shared" si="61"/>
        <v>414378</v>
      </c>
      <c r="DZ214" s="6">
        <f t="shared" si="62"/>
        <v>41140</v>
      </c>
      <c r="EB214" s="6">
        <f t="shared" si="63"/>
        <v>706886</v>
      </c>
      <c r="EC214" s="6"/>
      <c r="ED214" s="6"/>
      <c r="EF214" s="6"/>
      <c r="EG214" s="6"/>
    </row>
    <row r="215" spans="1:138" s="17" customFormat="1" ht="14">
      <c r="B215" s="11">
        <v>38504</v>
      </c>
      <c r="C215" s="12">
        <v>0</v>
      </c>
      <c r="D215" s="12">
        <v>3</v>
      </c>
      <c r="E215" s="12">
        <v>2443</v>
      </c>
      <c r="F215" s="12">
        <v>0</v>
      </c>
      <c r="G215" s="12" t="s">
        <v>82</v>
      </c>
      <c r="H215" s="12">
        <v>11072</v>
      </c>
      <c r="I215" s="12">
        <v>19831</v>
      </c>
      <c r="J215" s="12">
        <v>2973</v>
      </c>
      <c r="K215" s="12">
        <v>7269</v>
      </c>
      <c r="L215" s="12"/>
      <c r="M215" s="12">
        <v>30706</v>
      </c>
      <c r="N215" s="12">
        <v>2577</v>
      </c>
      <c r="O215" s="12"/>
      <c r="P215" s="12">
        <v>1938</v>
      </c>
      <c r="Q215" s="12">
        <v>8899</v>
      </c>
      <c r="R215" s="12">
        <v>513</v>
      </c>
      <c r="S215" s="12">
        <v>9106</v>
      </c>
      <c r="T215" s="12">
        <v>9840</v>
      </c>
      <c r="U215" s="12"/>
      <c r="V215" s="12"/>
      <c r="W215" s="12">
        <v>473</v>
      </c>
      <c r="X215" s="12">
        <v>8112</v>
      </c>
      <c r="Y215" s="12">
        <v>418</v>
      </c>
      <c r="Z215" s="12">
        <v>13</v>
      </c>
      <c r="AA215" s="156"/>
      <c r="AB215" s="12">
        <v>5</v>
      </c>
      <c r="AC215" s="12">
        <v>49</v>
      </c>
      <c r="AD215" s="12">
        <v>14</v>
      </c>
      <c r="AE215" s="12">
        <v>27</v>
      </c>
      <c r="AF215" s="12">
        <v>39</v>
      </c>
      <c r="AG215" s="12">
        <v>53</v>
      </c>
      <c r="AH215" s="12"/>
      <c r="AI215" s="12"/>
      <c r="AJ215" s="12">
        <v>8</v>
      </c>
      <c r="AK215" s="12">
        <v>8611</v>
      </c>
      <c r="AL215" s="12">
        <v>89813</v>
      </c>
      <c r="AM215" s="12">
        <v>3268</v>
      </c>
      <c r="AN215" s="12">
        <v>12861</v>
      </c>
      <c r="AO215" s="12">
        <v>50</v>
      </c>
      <c r="AP215" s="12">
        <v>21</v>
      </c>
      <c r="AQ215" s="12">
        <v>3823</v>
      </c>
      <c r="AR215" s="12">
        <v>0</v>
      </c>
      <c r="AS215" s="12">
        <v>1860</v>
      </c>
      <c r="AT215" s="12" t="s">
        <v>82</v>
      </c>
      <c r="AU215" s="12">
        <v>3503</v>
      </c>
      <c r="AV215" s="12">
        <v>2097</v>
      </c>
      <c r="AW215" s="12">
        <v>3465</v>
      </c>
      <c r="AX215" s="12">
        <v>8873</v>
      </c>
      <c r="AY215" s="156"/>
      <c r="AZ215" s="156"/>
      <c r="BA215" s="156">
        <v>282</v>
      </c>
      <c r="BB215" s="156"/>
      <c r="BC215" s="12">
        <v>491</v>
      </c>
      <c r="BD215" s="12"/>
      <c r="BE215" s="12">
        <v>0</v>
      </c>
      <c r="BF215" s="12">
        <v>0</v>
      </c>
      <c r="BG215" s="12">
        <v>867</v>
      </c>
      <c r="BH215" s="12">
        <v>0</v>
      </c>
      <c r="BI215" s="12">
        <v>0</v>
      </c>
      <c r="BJ215" s="12">
        <v>7947</v>
      </c>
      <c r="BK215" s="12">
        <v>35</v>
      </c>
      <c r="BL215" s="12">
        <v>3589</v>
      </c>
      <c r="BM215" s="12"/>
      <c r="BN215" s="12">
        <v>266</v>
      </c>
      <c r="BO215" s="12">
        <v>45</v>
      </c>
      <c r="BP215" s="12">
        <v>10542</v>
      </c>
      <c r="BQ215" s="12">
        <v>50517</v>
      </c>
      <c r="BR215" s="12">
        <v>787</v>
      </c>
      <c r="BS215" s="12">
        <v>138</v>
      </c>
      <c r="BT215" s="12">
        <v>5388</v>
      </c>
      <c r="BU215" s="12">
        <v>45</v>
      </c>
      <c r="BV215" s="12"/>
      <c r="BW215" s="12">
        <v>8</v>
      </c>
      <c r="BX215" s="12">
        <v>110</v>
      </c>
      <c r="BY215" s="12"/>
      <c r="BZ215" s="12">
        <v>8</v>
      </c>
      <c r="CA215" s="12">
        <v>0</v>
      </c>
      <c r="CB215" s="12">
        <v>18172</v>
      </c>
      <c r="CC215" s="12">
        <v>15783</v>
      </c>
      <c r="CD215" s="12">
        <v>112065</v>
      </c>
      <c r="CE215" s="12">
        <v>179610</v>
      </c>
      <c r="CF215" s="12">
        <v>20995</v>
      </c>
      <c r="CG215" s="12">
        <v>31256</v>
      </c>
      <c r="CH215" s="12">
        <v>0</v>
      </c>
      <c r="CI215" s="12">
        <v>28</v>
      </c>
      <c r="CJ215" s="12">
        <v>5</v>
      </c>
      <c r="CK215" s="12">
        <v>54</v>
      </c>
      <c r="CL215" s="12"/>
      <c r="CM215" s="12"/>
      <c r="CN215" s="12"/>
      <c r="CO215" s="12"/>
      <c r="CP215" s="12"/>
      <c r="CQ215" s="12"/>
      <c r="CR215" s="12"/>
      <c r="CS215" s="12"/>
      <c r="CT215" s="12" t="s">
        <v>82</v>
      </c>
      <c r="CU215" s="12" t="s">
        <v>82</v>
      </c>
      <c r="CV215" s="12" t="s">
        <v>82</v>
      </c>
      <c r="CW215" s="12">
        <v>32</v>
      </c>
      <c r="CX215" s="12">
        <v>0</v>
      </c>
      <c r="CY215" s="12">
        <v>44</v>
      </c>
      <c r="CZ215"/>
      <c r="DA215" s="6"/>
      <c r="DB215"/>
      <c r="DC215" s="6"/>
      <c r="DD215" s="6">
        <f t="shared" si="56"/>
        <v>458260</v>
      </c>
      <c r="DE215" s="6">
        <f t="shared" si="57"/>
        <v>211526</v>
      </c>
      <c r="DF215" s="16">
        <f t="shared" si="58"/>
        <v>669786</v>
      </c>
      <c r="DG215"/>
      <c r="DH215" s="191"/>
      <c r="DI215" s="191"/>
      <c r="DJ215" s="191"/>
      <c r="DK215" s="6">
        <f t="shared" si="59"/>
        <v>62324</v>
      </c>
      <c r="DL215" s="6">
        <f t="shared" si="60"/>
        <v>114013</v>
      </c>
      <c r="DM215" s="6">
        <f t="shared" si="49"/>
        <v>9840</v>
      </c>
      <c r="DN215" s="6">
        <f t="shared" si="50"/>
        <v>25631</v>
      </c>
      <c r="DO215" s="6">
        <f t="shared" si="51"/>
        <v>331967</v>
      </c>
      <c r="DP215" s="6">
        <f t="shared" si="64"/>
        <v>56171</v>
      </c>
      <c r="DQ215" s="6"/>
      <c r="DR215" s="6">
        <f t="shared" si="52"/>
        <v>15811</v>
      </c>
      <c r="DS215" s="6">
        <f t="shared" si="53"/>
        <v>10542</v>
      </c>
      <c r="DT215" s="6">
        <f t="shared" si="54"/>
        <v>12513</v>
      </c>
      <c r="DU215" s="6"/>
      <c r="DV215" s="6"/>
      <c r="DW215" s="6">
        <f t="shared" si="55"/>
        <v>638812</v>
      </c>
      <c r="DX215"/>
      <c r="DY215" s="6">
        <f t="shared" si="61"/>
        <v>416881</v>
      </c>
      <c r="DZ215" s="6">
        <f t="shared" si="62"/>
        <v>41145</v>
      </c>
      <c r="EA215"/>
      <c r="EB215" s="6">
        <f t="shared" si="63"/>
        <v>710931</v>
      </c>
      <c r="EC215" s="6"/>
      <c r="ED215" s="6"/>
      <c r="EE215"/>
      <c r="EF215" s="23"/>
      <c r="EG215" s="23"/>
      <c r="EH215" s="23"/>
    </row>
    <row r="216" spans="1:138" s="17" customFormat="1" ht="14">
      <c r="B216" s="13">
        <v>38534</v>
      </c>
      <c r="C216" s="14">
        <v>1</v>
      </c>
      <c r="D216" s="14">
        <v>6</v>
      </c>
      <c r="E216" s="14">
        <v>3354</v>
      </c>
      <c r="F216" s="14">
        <v>0</v>
      </c>
      <c r="G216" s="14" t="s">
        <v>82</v>
      </c>
      <c r="H216" s="14">
        <v>11093</v>
      </c>
      <c r="I216" s="14">
        <v>20124</v>
      </c>
      <c r="J216" s="14">
        <v>2938</v>
      </c>
      <c r="K216" s="14">
        <v>7289</v>
      </c>
      <c r="L216" s="14"/>
      <c r="M216" s="14">
        <v>30706</v>
      </c>
      <c r="N216" s="14">
        <v>2550</v>
      </c>
      <c r="O216" s="14"/>
      <c r="P216" s="14">
        <v>1900</v>
      </c>
      <c r="Q216" s="14">
        <v>8941</v>
      </c>
      <c r="R216" s="14">
        <v>518</v>
      </c>
      <c r="S216" s="14">
        <v>9219</v>
      </c>
      <c r="T216" s="14">
        <v>9847</v>
      </c>
      <c r="U216" s="14"/>
      <c r="V216" s="14"/>
      <c r="W216" s="14">
        <v>520</v>
      </c>
      <c r="X216" s="14">
        <v>8112</v>
      </c>
      <c r="Y216" s="14">
        <v>414</v>
      </c>
      <c r="Z216" s="14">
        <v>13</v>
      </c>
      <c r="AA216" s="157"/>
      <c r="AB216" s="14">
        <v>6</v>
      </c>
      <c r="AC216" s="14">
        <v>50</v>
      </c>
      <c r="AD216" s="14">
        <v>13</v>
      </c>
      <c r="AE216" s="14">
        <v>27</v>
      </c>
      <c r="AF216" s="14">
        <v>41</v>
      </c>
      <c r="AG216" s="14">
        <v>52</v>
      </c>
      <c r="AH216" s="14"/>
      <c r="AI216" s="14"/>
      <c r="AJ216" s="14">
        <v>7</v>
      </c>
      <c r="AK216" s="14">
        <v>8700</v>
      </c>
      <c r="AL216" s="14">
        <v>90175</v>
      </c>
      <c r="AM216" s="14">
        <v>3252</v>
      </c>
      <c r="AN216" s="14">
        <v>12904</v>
      </c>
      <c r="AO216" s="14">
        <v>47</v>
      </c>
      <c r="AP216" s="14">
        <v>14</v>
      </c>
      <c r="AQ216" s="14">
        <v>4036</v>
      </c>
      <c r="AR216" s="14">
        <v>0</v>
      </c>
      <c r="AS216" s="14">
        <v>1900</v>
      </c>
      <c r="AT216" s="14" t="s">
        <v>82</v>
      </c>
      <c r="AU216" s="14">
        <v>3559</v>
      </c>
      <c r="AV216" s="14">
        <v>2099</v>
      </c>
      <c r="AW216" s="14">
        <v>3500</v>
      </c>
      <c r="AX216" s="14">
        <v>8945</v>
      </c>
      <c r="AY216" s="157"/>
      <c r="AZ216" s="157"/>
      <c r="BA216" s="157">
        <v>289</v>
      </c>
      <c r="BB216" s="157"/>
      <c r="BC216" s="14">
        <v>488</v>
      </c>
      <c r="BD216" s="14"/>
      <c r="BE216" s="14">
        <v>0</v>
      </c>
      <c r="BF216" s="14">
        <v>0</v>
      </c>
      <c r="BG216" s="14">
        <v>885</v>
      </c>
      <c r="BH216" s="14">
        <v>0</v>
      </c>
      <c r="BI216" s="14">
        <v>0</v>
      </c>
      <c r="BJ216" s="14">
        <v>8002</v>
      </c>
      <c r="BK216" s="14">
        <v>36</v>
      </c>
      <c r="BL216" s="14">
        <v>3613</v>
      </c>
      <c r="BM216" s="14"/>
      <c r="BN216" s="14">
        <v>269</v>
      </c>
      <c r="BO216" s="14">
        <v>45</v>
      </c>
      <c r="BP216" s="14">
        <v>10927</v>
      </c>
      <c r="BQ216" s="14">
        <v>50955</v>
      </c>
      <c r="BR216" s="14">
        <v>751</v>
      </c>
      <c r="BS216" s="14">
        <v>148</v>
      </c>
      <c r="BT216" s="14">
        <v>5381</v>
      </c>
      <c r="BU216" s="14">
        <v>46</v>
      </c>
      <c r="BV216" s="14"/>
      <c r="BW216" s="14">
        <v>9</v>
      </c>
      <c r="BX216" s="14">
        <v>116</v>
      </c>
      <c r="BY216" s="14"/>
      <c r="BZ216" s="14">
        <v>7</v>
      </c>
      <c r="CA216" s="14">
        <v>0</v>
      </c>
      <c r="CB216" s="14">
        <v>18426</v>
      </c>
      <c r="CC216" s="14">
        <v>16105</v>
      </c>
      <c r="CD216" s="14">
        <v>112133</v>
      </c>
      <c r="CE216" s="14">
        <v>179980</v>
      </c>
      <c r="CF216" s="14">
        <v>21327</v>
      </c>
      <c r="CG216" s="14">
        <v>31724</v>
      </c>
      <c r="CH216" s="14">
        <v>0</v>
      </c>
      <c r="CI216" s="14">
        <v>27</v>
      </c>
      <c r="CJ216" s="14">
        <v>4</v>
      </c>
      <c r="CK216" s="14">
        <v>56</v>
      </c>
      <c r="CL216" s="14"/>
      <c r="CM216" s="14"/>
      <c r="CN216" s="14"/>
      <c r="CO216" s="14"/>
      <c r="CP216" s="14"/>
      <c r="CQ216" s="14"/>
      <c r="CR216" s="14"/>
      <c r="CS216" s="14"/>
      <c r="CT216" s="14" t="s">
        <v>82</v>
      </c>
      <c r="CU216" s="14" t="s">
        <v>82</v>
      </c>
      <c r="CV216" s="14" t="s">
        <v>82</v>
      </c>
      <c r="CW216" s="14">
        <v>32</v>
      </c>
      <c r="CX216" s="14">
        <v>0</v>
      </c>
      <c r="CY216" s="14">
        <v>50</v>
      </c>
      <c r="CZ216"/>
      <c r="DA216" s="6"/>
      <c r="DB216"/>
      <c r="DC216" s="6"/>
      <c r="DD216" s="16">
        <f t="shared" si="56"/>
        <v>460972</v>
      </c>
      <c r="DE216" s="6">
        <f t="shared" si="57"/>
        <v>212555</v>
      </c>
      <c r="DF216" s="16">
        <f t="shared" si="58"/>
        <v>673527</v>
      </c>
      <c r="DG216" s="15"/>
      <c r="DK216" s="6">
        <f t="shared" si="59"/>
        <v>62466</v>
      </c>
      <c r="DL216" s="6">
        <f t="shared" si="60"/>
        <v>114580</v>
      </c>
      <c r="DM216" s="6">
        <f t="shared" si="49"/>
        <v>9847</v>
      </c>
      <c r="DN216" s="6">
        <f t="shared" si="50"/>
        <v>25951</v>
      </c>
      <c r="DO216" s="6">
        <f t="shared" si="51"/>
        <v>332968</v>
      </c>
      <c r="DP216" s="6">
        <f t="shared" si="64"/>
        <v>56605</v>
      </c>
      <c r="DQ216" s="6"/>
      <c r="DR216" s="6">
        <f t="shared" si="52"/>
        <v>16132</v>
      </c>
      <c r="DS216" s="6">
        <f t="shared" si="53"/>
        <v>10927</v>
      </c>
      <c r="DT216" s="6">
        <f t="shared" si="54"/>
        <v>12616</v>
      </c>
      <c r="DU216" s="6"/>
      <c r="DV216" s="6"/>
      <c r="DW216" s="6">
        <f t="shared" si="55"/>
        <v>642092</v>
      </c>
      <c r="DX216" s="15"/>
      <c r="DY216" s="6">
        <f t="shared" si="61"/>
        <v>418752</v>
      </c>
      <c r="DZ216" s="6">
        <f t="shared" si="62"/>
        <v>41444</v>
      </c>
      <c r="EA216" s="15"/>
      <c r="EB216" s="6">
        <f t="shared" si="63"/>
        <v>714971</v>
      </c>
      <c r="EC216" s="6"/>
      <c r="ED216" s="6"/>
      <c r="EE216" s="15"/>
      <c r="EF216" s="16">
        <f>SUM(BE216:CK216)-CG216-BP216</f>
        <v>418321</v>
      </c>
      <c r="EG216" s="16">
        <f t="shared" ref="EG216:EG247" si="65">SUM(M216:BC216)-AQ216</f>
        <v>208808</v>
      </c>
      <c r="EH216" s="16">
        <f>SUM(EF216:EG216)</f>
        <v>627129</v>
      </c>
    </row>
    <row r="217" spans="1:138" ht="14">
      <c r="B217" s="4">
        <v>38565</v>
      </c>
      <c r="C217" s="5">
        <v>1</v>
      </c>
      <c r="D217" s="5">
        <v>9</v>
      </c>
      <c r="E217" s="5">
        <v>4201</v>
      </c>
      <c r="F217" s="5">
        <v>0</v>
      </c>
      <c r="G217" s="5" t="s">
        <v>82</v>
      </c>
      <c r="H217" s="5">
        <v>11158</v>
      </c>
      <c r="I217" s="5">
        <v>20297</v>
      </c>
      <c r="J217" s="5">
        <v>2926</v>
      </c>
      <c r="K217" s="5">
        <v>7262</v>
      </c>
      <c r="L217" s="5"/>
      <c r="M217" s="5">
        <v>30690</v>
      </c>
      <c r="N217" s="5">
        <v>2559</v>
      </c>
      <c r="O217" s="5"/>
      <c r="P217" s="5">
        <v>1798</v>
      </c>
      <c r="Q217" s="5">
        <v>8980</v>
      </c>
      <c r="R217" s="5">
        <v>518</v>
      </c>
      <c r="S217" s="5">
        <v>9270</v>
      </c>
      <c r="T217" s="5">
        <v>9860</v>
      </c>
      <c r="U217" s="5"/>
      <c r="V217" s="5"/>
      <c r="W217" s="5">
        <v>605</v>
      </c>
      <c r="X217" s="5">
        <v>8130</v>
      </c>
      <c r="Y217" s="5">
        <v>410</v>
      </c>
      <c r="Z217" s="5">
        <v>13</v>
      </c>
      <c r="AA217" s="155"/>
      <c r="AB217" s="5">
        <v>5</v>
      </c>
      <c r="AC217" s="5">
        <v>47</v>
      </c>
      <c r="AD217" s="5">
        <v>13</v>
      </c>
      <c r="AE217" s="5">
        <v>26</v>
      </c>
      <c r="AF217" s="5">
        <v>39</v>
      </c>
      <c r="AG217" s="5">
        <v>50</v>
      </c>
      <c r="AH217" s="5"/>
      <c r="AI217" s="5"/>
      <c r="AJ217" s="5">
        <v>8</v>
      </c>
      <c r="AK217" s="5">
        <v>8794</v>
      </c>
      <c r="AL217" s="5">
        <v>90569</v>
      </c>
      <c r="AM217" s="5">
        <v>3254</v>
      </c>
      <c r="AN217" s="5">
        <v>12979</v>
      </c>
      <c r="AO217" s="5">
        <v>46</v>
      </c>
      <c r="AP217" s="5">
        <v>9</v>
      </c>
      <c r="AQ217" s="5">
        <v>4212</v>
      </c>
      <c r="AR217" s="5">
        <v>0</v>
      </c>
      <c r="AS217" s="5">
        <v>1893</v>
      </c>
      <c r="AT217" s="5" t="s">
        <v>82</v>
      </c>
      <c r="AU217" s="5">
        <v>3586</v>
      </c>
      <c r="AV217" s="5">
        <v>2109</v>
      </c>
      <c r="AW217" s="5">
        <v>3533</v>
      </c>
      <c r="AX217" s="5">
        <v>8976</v>
      </c>
      <c r="AY217" s="155"/>
      <c r="AZ217" s="155"/>
      <c r="BA217" s="155">
        <v>293</v>
      </c>
      <c r="BB217" s="155"/>
      <c r="BC217" s="5">
        <v>491</v>
      </c>
      <c r="BD217" s="5"/>
      <c r="BE217" s="5">
        <v>0</v>
      </c>
      <c r="BF217" s="5">
        <v>0</v>
      </c>
      <c r="BG217" s="5">
        <v>894</v>
      </c>
      <c r="BH217" s="5">
        <v>0</v>
      </c>
      <c r="BI217" s="5">
        <v>0</v>
      </c>
      <c r="BJ217" s="5">
        <v>7913</v>
      </c>
      <c r="BK217" s="5">
        <v>35</v>
      </c>
      <c r="BL217" s="5">
        <v>3647</v>
      </c>
      <c r="BM217" s="5"/>
      <c r="BN217" s="5">
        <v>263</v>
      </c>
      <c r="BO217" s="5">
        <v>43</v>
      </c>
      <c r="BP217" s="5">
        <v>11130</v>
      </c>
      <c r="BQ217" s="5">
        <v>51333</v>
      </c>
      <c r="BR217" s="5">
        <v>714</v>
      </c>
      <c r="BS217" s="5">
        <v>151</v>
      </c>
      <c r="BT217" s="5">
        <v>5322</v>
      </c>
      <c r="BU217" s="5">
        <v>44</v>
      </c>
      <c r="BV217" s="5"/>
      <c r="BW217" s="5">
        <v>8</v>
      </c>
      <c r="BX217" s="5">
        <v>115</v>
      </c>
      <c r="BY217" s="5"/>
      <c r="BZ217" s="5">
        <v>7</v>
      </c>
      <c r="CA217" s="5">
        <v>0</v>
      </c>
      <c r="CB217" s="5">
        <v>18533</v>
      </c>
      <c r="CC217" s="5">
        <v>16424</v>
      </c>
      <c r="CD217" s="5">
        <v>111708</v>
      </c>
      <c r="CE217" s="5">
        <v>179861</v>
      </c>
      <c r="CF217" s="5">
        <v>21620</v>
      </c>
      <c r="CG217" s="5">
        <v>31779</v>
      </c>
      <c r="CH217" s="5">
        <v>0</v>
      </c>
      <c r="CI217" s="5">
        <v>30</v>
      </c>
      <c r="CJ217" s="5">
        <v>4</v>
      </c>
      <c r="CK217" s="5">
        <v>57</v>
      </c>
      <c r="CL217" s="5"/>
      <c r="CM217" s="5"/>
      <c r="CN217" s="5"/>
      <c r="CO217" s="5"/>
      <c r="CP217" s="5"/>
      <c r="CQ217" s="5"/>
      <c r="CR217" s="5"/>
      <c r="CS217" s="5"/>
      <c r="CT217" s="5" t="s">
        <v>82</v>
      </c>
      <c r="CU217" s="5" t="s">
        <v>82</v>
      </c>
      <c r="CV217" s="5" t="s">
        <v>82</v>
      </c>
      <c r="CW217" s="5">
        <v>32</v>
      </c>
      <c r="CX217" s="5">
        <v>0</v>
      </c>
      <c r="CY217" s="5">
        <v>51</v>
      </c>
      <c r="DA217" s="6"/>
      <c r="DC217" s="6"/>
      <c r="DD217" s="6">
        <f t="shared" si="56"/>
        <v>461635</v>
      </c>
      <c r="DE217" s="6">
        <f t="shared" si="57"/>
        <v>213472</v>
      </c>
      <c r="DF217" s="16">
        <f t="shared" si="58"/>
        <v>675107</v>
      </c>
      <c r="DK217" s="6">
        <f t="shared" si="59"/>
        <v>62550</v>
      </c>
      <c r="DL217" s="6">
        <f t="shared" si="60"/>
        <v>115129</v>
      </c>
      <c r="DM217" s="6">
        <f t="shared" si="49"/>
        <v>9860</v>
      </c>
      <c r="DN217" s="6">
        <f t="shared" si="50"/>
        <v>26226</v>
      </c>
      <c r="DO217" s="6">
        <f t="shared" si="51"/>
        <v>332785</v>
      </c>
      <c r="DP217" s="6">
        <f t="shared" si="64"/>
        <v>56918</v>
      </c>
      <c r="DQ217" s="6"/>
      <c r="DR217" s="6">
        <f t="shared" si="52"/>
        <v>16454</v>
      </c>
      <c r="DS217" s="6">
        <f t="shared" si="53"/>
        <v>11130</v>
      </c>
      <c r="DT217" s="6">
        <f t="shared" si="54"/>
        <v>12569</v>
      </c>
      <c r="DU217" s="6"/>
      <c r="DV217" s="6"/>
      <c r="DW217" s="6">
        <f t="shared" si="55"/>
        <v>643621</v>
      </c>
      <c r="DY217" s="6">
        <f t="shared" si="61"/>
        <v>418776</v>
      </c>
      <c r="DZ217" s="6">
        <f t="shared" si="62"/>
        <v>41643</v>
      </c>
      <c r="EB217" s="6">
        <f t="shared" si="63"/>
        <v>716750</v>
      </c>
      <c r="EC217" s="6"/>
      <c r="ED217" s="6"/>
      <c r="EF217" s="18">
        <f t="shared" ref="EF217:EF227" si="66">SUM(BE217:CK217)-CG217-BP217</f>
        <v>418726</v>
      </c>
      <c r="EG217" s="18">
        <f t="shared" si="65"/>
        <v>209553</v>
      </c>
      <c r="EH217" s="18">
        <f t="shared" ref="EH217:EH227" si="67">SUM(EF217:EG217)</f>
        <v>628279</v>
      </c>
    </row>
    <row r="218" spans="1:138" ht="14">
      <c r="B218" s="4">
        <v>38596</v>
      </c>
      <c r="C218" s="5">
        <v>1</v>
      </c>
      <c r="D218" s="5">
        <v>14</v>
      </c>
      <c r="E218" s="5">
        <v>5308</v>
      </c>
      <c r="F218" s="5">
        <v>0</v>
      </c>
      <c r="G218" s="5">
        <v>26</v>
      </c>
      <c r="H218" s="5">
        <v>11271</v>
      </c>
      <c r="I218" s="5">
        <v>20389</v>
      </c>
      <c r="J218" s="5">
        <v>2950</v>
      </c>
      <c r="K218" s="5">
        <v>7222</v>
      </c>
      <c r="L218" s="5"/>
      <c r="M218" s="5">
        <v>30626</v>
      </c>
      <c r="N218" s="5">
        <v>2565</v>
      </c>
      <c r="O218" s="5"/>
      <c r="P218" s="5">
        <v>1740</v>
      </c>
      <c r="Q218" s="5">
        <v>9010</v>
      </c>
      <c r="R218" s="5">
        <v>509</v>
      </c>
      <c r="S218" s="5">
        <v>9222</v>
      </c>
      <c r="T218" s="5">
        <v>9906</v>
      </c>
      <c r="U218" s="5"/>
      <c r="V218" s="5"/>
      <c r="W218" s="5">
        <v>622</v>
      </c>
      <c r="X218" s="5">
        <v>8176</v>
      </c>
      <c r="Y218" s="5">
        <v>411</v>
      </c>
      <c r="Z218" s="5">
        <v>12</v>
      </c>
      <c r="AA218" s="155"/>
      <c r="AB218" s="5">
        <v>6</v>
      </c>
      <c r="AC218" s="5">
        <v>45</v>
      </c>
      <c r="AD218" s="5">
        <v>13</v>
      </c>
      <c r="AE218" s="5">
        <v>25</v>
      </c>
      <c r="AF218" s="5">
        <v>39</v>
      </c>
      <c r="AG218" s="5">
        <v>52</v>
      </c>
      <c r="AH218" s="5"/>
      <c r="AI218" s="5"/>
      <c r="AJ218" s="5">
        <v>6</v>
      </c>
      <c r="AK218" s="5">
        <v>8843</v>
      </c>
      <c r="AL218" s="5">
        <v>91008</v>
      </c>
      <c r="AM218" s="5">
        <v>3249</v>
      </c>
      <c r="AN218" s="5">
        <v>13037</v>
      </c>
      <c r="AO218" s="5">
        <v>45</v>
      </c>
      <c r="AP218" s="5">
        <v>12</v>
      </c>
      <c r="AQ218" s="5">
        <v>4402</v>
      </c>
      <c r="AR218" s="5">
        <v>0</v>
      </c>
      <c r="AS218" s="5">
        <v>1879</v>
      </c>
      <c r="AT218" s="5" t="s">
        <v>82</v>
      </c>
      <c r="AU218" s="5">
        <v>3622</v>
      </c>
      <c r="AV218" s="5">
        <v>2082</v>
      </c>
      <c r="AW218" s="5">
        <v>3556</v>
      </c>
      <c r="AX218" s="5">
        <v>8957</v>
      </c>
      <c r="AY218" s="155"/>
      <c r="AZ218" s="155"/>
      <c r="BA218" s="155">
        <v>299</v>
      </c>
      <c r="BB218" s="155"/>
      <c r="BC218" s="5">
        <v>476</v>
      </c>
      <c r="BD218" s="5"/>
      <c r="BE218" s="5">
        <v>0</v>
      </c>
      <c r="BF218" s="5">
        <v>0</v>
      </c>
      <c r="BG218" s="5">
        <v>920</v>
      </c>
      <c r="BH218" s="5">
        <v>0</v>
      </c>
      <c r="BI218" s="5">
        <v>0</v>
      </c>
      <c r="BJ218" s="5">
        <v>7880</v>
      </c>
      <c r="BK218" s="5">
        <v>32</v>
      </c>
      <c r="BL218" s="5">
        <v>3646</v>
      </c>
      <c r="BM218" s="5"/>
      <c r="BN218" s="5">
        <v>271</v>
      </c>
      <c r="BO218" s="5">
        <v>39</v>
      </c>
      <c r="BP218" s="5">
        <v>11352</v>
      </c>
      <c r="BQ218" s="5">
        <v>51234</v>
      </c>
      <c r="BR218" s="5">
        <v>698</v>
      </c>
      <c r="BS218" s="5">
        <v>145</v>
      </c>
      <c r="BT218" s="5">
        <v>5256</v>
      </c>
      <c r="BU218" s="5">
        <v>38</v>
      </c>
      <c r="BV218" s="5"/>
      <c r="BW218" s="5">
        <v>11</v>
      </c>
      <c r="BX218" s="5">
        <v>111</v>
      </c>
      <c r="BY218" s="5"/>
      <c r="BZ218" s="5">
        <v>9</v>
      </c>
      <c r="CA218" s="5">
        <v>0</v>
      </c>
      <c r="CB218" s="5">
        <v>18585</v>
      </c>
      <c r="CC218" s="5">
        <v>16635</v>
      </c>
      <c r="CD218" s="5">
        <v>111546</v>
      </c>
      <c r="CE218" s="5">
        <v>179291</v>
      </c>
      <c r="CF218" s="5">
        <v>21960</v>
      </c>
      <c r="CG218" s="5">
        <v>31906</v>
      </c>
      <c r="CH218" s="5">
        <v>0</v>
      </c>
      <c r="CI218" s="5">
        <v>30</v>
      </c>
      <c r="CJ218" s="5">
        <v>8</v>
      </c>
      <c r="CK218" s="5">
        <v>37</v>
      </c>
      <c r="CL218" s="5"/>
      <c r="CM218" s="5"/>
      <c r="CN218" s="5"/>
      <c r="CO218" s="5"/>
      <c r="CP218" s="5"/>
      <c r="CQ218" s="5"/>
      <c r="CR218" s="5"/>
      <c r="CS218" s="5"/>
      <c r="CT218" s="5" t="s">
        <v>82</v>
      </c>
      <c r="CU218" s="5" t="s">
        <v>82</v>
      </c>
      <c r="CV218" s="5" t="s">
        <v>82</v>
      </c>
      <c r="CW218" s="5">
        <v>32</v>
      </c>
      <c r="CX218" s="5">
        <v>0</v>
      </c>
      <c r="CY218" s="5">
        <v>51</v>
      </c>
      <c r="DA218" s="6"/>
      <c r="DC218" s="6"/>
      <c r="DD218" s="6">
        <f t="shared" si="56"/>
        <v>461640</v>
      </c>
      <c r="DE218" s="6">
        <f t="shared" si="57"/>
        <v>214153</v>
      </c>
      <c r="DF218" s="16">
        <f t="shared" si="58"/>
        <v>675793</v>
      </c>
      <c r="DK218" s="6">
        <f t="shared" si="59"/>
        <v>62470</v>
      </c>
      <c r="DL218" s="6">
        <f t="shared" si="60"/>
        <v>115616</v>
      </c>
      <c r="DM218" s="6">
        <f t="shared" si="49"/>
        <v>9906</v>
      </c>
      <c r="DN218" s="6">
        <f t="shared" si="50"/>
        <v>26460</v>
      </c>
      <c r="DO218" s="6">
        <f t="shared" si="51"/>
        <v>332399</v>
      </c>
      <c r="DP218" s="6">
        <f t="shared" si="64"/>
        <v>56761</v>
      </c>
      <c r="DQ218" s="6"/>
      <c r="DR218" s="6">
        <f t="shared" si="52"/>
        <v>16665</v>
      </c>
      <c r="DS218" s="6">
        <f t="shared" si="53"/>
        <v>11352</v>
      </c>
      <c r="DT218" s="6">
        <f t="shared" si="54"/>
        <v>12557</v>
      </c>
      <c r="DU218" s="6"/>
      <c r="DV218" s="6"/>
      <c r="DW218" s="6">
        <f t="shared" si="55"/>
        <v>644186</v>
      </c>
      <c r="DY218" s="6">
        <f t="shared" si="61"/>
        <v>418694</v>
      </c>
      <c r="DZ218" s="6">
        <f t="shared" si="62"/>
        <v>41858</v>
      </c>
      <c r="EB218" s="6">
        <f t="shared" si="63"/>
        <v>717651</v>
      </c>
      <c r="EC218" s="6"/>
      <c r="ED218" s="6"/>
      <c r="EF218" s="18">
        <f t="shared" si="66"/>
        <v>418382</v>
      </c>
      <c r="EG218" s="18">
        <f t="shared" si="65"/>
        <v>210050</v>
      </c>
      <c r="EH218" s="18">
        <f t="shared" si="67"/>
        <v>628432</v>
      </c>
    </row>
    <row r="219" spans="1:138" ht="14">
      <c r="B219" s="4">
        <v>38626</v>
      </c>
      <c r="C219" s="5">
        <v>0</v>
      </c>
      <c r="D219" s="5">
        <v>13</v>
      </c>
      <c r="E219" s="5">
        <v>6305</v>
      </c>
      <c r="F219" s="5">
        <v>0</v>
      </c>
      <c r="G219" s="5">
        <v>79</v>
      </c>
      <c r="H219" s="5">
        <v>11219</v>
      </c>
      <c r="I219" s="5">
        <v>20249</v>
      </c>
      <c r="J219" s="5">
        <v>2940</v>
      </c>
      <c r="K219" s="5">
        <v>7111</v>
      </c>
      <c r="L219" s="5"/>
      <c r="M219" s="5">
        <v>30584</v>
      </c>
      <c r="N219" s="5">
        <v>2552</v>
      </c>
      <c r="O219" s="5"/>
      <c r="P219" s="5">
        <v>1736</v>
      </c>
      <c r="Q219" s="5">
        <v>9062</v>
      </c>
      <c r="R219" s="5">
        <v>505</v>
      </c>
      <c r="S219" s="5">
        <v>9225</v>
      </c>
      <c r="T219" s="5">
        <v>9947</v>
      </c>
      <c r="U219" s="5"/>
      <c r="V219" s="5"/>
      <c r="W219" s="5">
        <v>623</v>
      </c>
      <c r="X219" s="5">
        <v>8214</v>
      </c>
      <c r="Y219" s="5">
        <v>414</v>
      </c>
      <c r="Z219" s="5">
        <v>12</v>
      </c>
      <c r="AA219" s="155"/>
      <c r="AB219" s="5">
        <v>6</v>
      </c>
      <c r="AC219" s="5">
        <v>47</v>
      </c>
      <c r="AD219" s="5">
        <v>14</v>
      </c>
      <c r="AE219" s="5">
        <v>25</v>
      </c>
      <c r="AF219" s="5">
        <v>40</v>
      </c>
      <c r="AG219" s="5">
        <v>53</v>
      </c>
      <c r="AH219" s="5"/>
      <c r="AI219" s="5"/>
      <c r="AJ219" s="5">
        <v>6</v>
      </c>
      <c r="AK219" s="5">
        <v>8946</v>
      </c>
      <c r="AL219" s="5">
        <v>91516</v>
      </c>
      <c r="AM219" s="5">
        <v>3287</v>
      </c>
      <c r="AN219" s="5">
        <v>13090</v>
      </c>
      <c r="AO219" s="5">
        <v>48</v>
      </c>
      <c r="AP219" s="5">
        <v>12</v>
      </c>
      <c r="AQ219" s="5">
        <v>4577</v>
      </c>
      <c r="AR219" s="5">
        <v>0</v>
      </c>
      <c r="AS219" s="5">
        <v>1905</v>
      </c>
      <c r="AT219" s="5" t="s">
        <v>82</v>
      </c>
      <c r="AU219" s="5">
        <v>3682</v>
      </c>
      <c r="AV219" s="5">
        <v>2093</v>
      </c>
      <c r="AW219" s="5">
        <v>3575</v>
      </c>
      <c r="AX219" s="5">
        <v>9057</v>
      </c>
      <c r="AY219" s="155"/>
      <c r="AZ219" s="155"/>
      <c r="BA219" s="155">
        <v>301</v>
      </c>
      <c r="BB219" s="155"/>
      <c r="BC219" s="5">
        <v>467</v>
      </c>
      <c r="BD219" s="5"/>
      <c r="BE219" s="5">
        <v>0</v>
      </c>
      <c r="BF219" s="5">
        <v>0</v>
      </c>
      <c r="BG219" s="5">
        <v>938</v>
      </c>
      <c r="BH219" s="5">
        <v>0</v>
      </c>
      <c r="BI219" s="5">
        <v>0</v>
      </c>
      <c r="BJ219" s="5">
        <v>7886</v>
      </c>
      <c r="BK219" s="5">
        <v>28</v>
      </c>
      <c r="BL219" s="5">
        <v>3676</v>
      </c>
      <c r="BM219" s="5"/>
      <c r="BN219" s="5">
        <v>310</v>
      </c>
      <c r="BO219" s="5">
        <v>41</v>
      </c>
      <c r="BP219" s="5">
        <v>11485</v>
      </c>
      <c r="BQ219" s="5">
        <v>51813</v>
      </c>
      <c r="BR219" s="5">
        <v>677</v>
      </c>
      <c r="BS219" s="5">
        <v>143</v>
      </c>
      <c r="BT219" s="5">
        <v>5313</v>
      </c>
      <c r="BU219" s="5">
        <v>41</v>
      </c>
      <c r="BV219" s="5"/>
      <c r="BW219" s="5">
        <v>11</v>
      </c>
      <c r="BX219" s="5">
        <v>109</v>
      </c>
      <c r="BY219" s="5"/>
      <c r="BZ219" s="5">
        <v>11</v>
      </c>
      <c r="CA219" s="5">
        <v>0</v>
      </c>
      <c r="CB219" s="5">
        <v>18884</v>
      </c>
      <c r="CC219" s="5">
        <v>16939</v>
      </c>
      <c r="CD219" s="5">
        <v>111623</v>
      </c>
      <c r="CE219" s="5">
        <v>179723</v>
      </c>
      <c r="CF219" s="5">
        <v>22182</v>
      </c>
      <c r="CG219" s="5">
        <v>32288</v>
      </c>
      <c r="CH219" s="5">
        <v>0</v>
      </c>
      <c r="CI219" s="5">
        <v>32</v>
      </c>
      <c r="CJ219" s="5">
        <v>7</v>
      </c>
      <c r="CK219" s="5">
        <v>37</v>
      </c>
      <c r="CL219" s="5"/>
      <c r="CM219" s="5"/>
      <c r="CN219" s="5"/>
      <c r="CO219" s="5"/>
      <c r="CP219" s="5"/>
      <c r="CQ219" s="5"/>
      <c r="CR219" s="5"/>
      <c r="CS219" s="5"/>
      <c r="CT219" s="5" t="s">
        <v>82</v>
      </c>
      <c r="CU219" s="5" t="s">
        <v>82</v>
      </c>
      <c r="CV219" s="5" t="s">
        <v>82</v>
      </c>
      <c r="CW219" s="5">
        <v>32</v>
      </c>
      <c r="CX219" s="5">
        <v>2981</v>
      </c>
      <c r="CY219" s="5">
        <v>53</v>
      </c>
      <c r="DA219" s="6"/>
      <c r="DC219" s="6"/>
      <c r="DD219" s="6">
        <f t="shared" si="56"/>
        <v>464197</v>
      </c>
      <c r="DE219" s="6">
        <f t="shared" si="57"/>
        <v>215320</v>
      </c>
      <c r="DF219" s="16">
        <f t="shared" si="58"/>
        <v>679517</v>
      </c>
      <c r="DK219" s="6">
        <f t="shared" si="59"/>
        <v>62501</v>
      </c>
      <c r="DL219" s="6">
        <f t="shared" si="60"/>
        <v>116384</v>
      </c>
      <c r="DM219" s="6">
        <f t="shared" si="49"/>
        <v>9947</v>
      </c>
      <c r="DN219" s="6">
        <f t="shared" si="50"/>
        <v>26789</v>
      </c>
      <c r="DO219" s="6">
        <f t="shared" si="51"/>
        <v>333408</v>
      </c>
      <c r="DP219" s="6">
        <f t="shared" si="64"/>
        <v>57436</v>
      </c>
      <c r="DQ219" s="6"/>
      <c r="DR219" s="6">
        <f t="shared" si="52"/>
        <v>16971</v>
      </c>
      <c r="DS219" s="6">
        <f t="shared" si="53"/>
        <v>11485</v>
      </c>
      <c r="DT219" s="6">
        <f t="shared" si="54"/>
        <v>12609</v>
      </c>
      <c r="DU219" s="6"/>
      <c r="DV219" s="6"/>
      <c r="DW219" s="6">
        <f t="shared" si="55"/>
        <v>647530</v>
      </c>
      <c r="DY219" s="6">
        <f t="shared" si="61"/>
        <v>419824</v>
      </c>
      <c r="DZ219" s="6">
        <f t="shared" si="62"/>
        <v>41598</v>
      </c>
      <c r="EB219" s="6">
        <f t="shared" si="63"/>
        <v>721115</v>
      </c>
      <c r="EC219" s="6"/>
      <c r="ED219" s="6"/>
      <c r="EF219" s="18">
        <f t="shared" si="66"/>
        <v>420424</v>
      </c>
      <c r="EG219" s="18">
        <f t="shared" si="65"/>
        <v>211044</v>
      </c>
      <c r="EH219" s="18">
        <f t="shared" si="67"/>
        <v>631468</v>
      </c>
    </row>
    <row r="220" spans="1:138" ht="14">
      <c r="B220" s="4">
        <v>38657</v>
      </c>
      <c r="C220" s="5">
        <v>0</v>
      </c>
      <c r="D220" s="5">
        <v>15</v>
      </c>
      <c r="E220" s="5">
        <v>6723</v>
      </c>
      <c r="F220" s="5">
        <v>0</v>
      </c>
      <c r="G220" s="5">
        <v>116</v>
      </c>
      <c r="H220" s="5">
        <v>11267</v>
      </c>
      <c r="I220" s="5">
        <v>20384</v>
      </c>
      <c r="J220" s="5">
        <v>2956</v>
      </c>
      <c r="K220" s="5">
        <v>6876</v>
      </c>
      <c r="L220" s="5"/>
      <c r="M220" s="5">
        <v>30656</v>
      </c>
      <c r="N220" s="5">
        <v>2525</v>
      </c>
      <c r="O220" s="5"/>
      <c r="P220" s="5">
        <v>1738</v>
      </c>
      <c r="Q220" s="5">
        <v>9130</v>
      </c>
      <c r="R220" s="5">
        <v>512</v>
      </c>
      <c r="S220" s="5">
        <v>9257</v>
      </c>
      <c r="T220" s="5">
        <v>9989</v>
      </c>
      <c r="U220" s="5"/>
      <c r="V220" s="5"/>
      <c r="W220" s="5">
        <v>633</v>
      </c>
      <c r="X220" s="5">
        <v>8269</v>
      </c>
      <c r="Y220" s="5">
        <v>410</v>
      </c>
      <c r="Z220" s="5">
        <v>12</v>
      </c>
      <c r="AA220" s="155"/>
      <c r="AB220" s="5">
        <v>6</v>
      </c>
      <c r="AC220" s="5">
        <v>43</v>
      </c>
      <c r="AD220" s="5">
        <v>13</v>
      </c>
      <c r="AE220" s="5">
        <v>26</v>
      </c>
      <c r="AF220" s="5">
        <v>40</v>
      </c>
      <c r="AG220" s="5">
        <v>52</v>
      </c>
      <c r="AH220" s="5"/>
      <c r="AI220" s="5"/>
      <c r="AJ220" s="5">
        <v>6</v>
      </c>
      <c r="AK220" s="5">
        <v>9047</v>
      </c>
      <c r="AL220" s="5">
        <v>91934</v>
      </c>
      <c r="AM220" s="5">
        <v>3296</v>
      </c>
      <c r="AN220" s="5">
        <v>13210</v>
      </c>
      <c r="AO220" s="5">
        <v>50</v>
      </c>
      <c r="AP220" s="5">
        <v>14</v>
      </c>
      <c r="AQ220" s="5">
        <v>4743</v>
      </c>
      <c r="AR220" s="5">
        <v>0</v>
      </c>
      <c r="AS220" s="5">
        <v>1925</v>
      </c>
      <c r="AT220" s="5" t="s">
        <v>82</v>
      </c>
      <c r="AU220" s="5">
        <v>3689</v>
      </c>
      <c r="AV220" s="5">
        <v>2104</v>
      </c>
      <c r="AW220" s="5">
        <v>3599</v>
      </c>
      <c r="AX220" s="5">
        <v>9103</v>
      </c>
      <c r="AY220" s="155"/>
      <c r="AZ220" s="155"/>
      <c r="BA220" s="155">
        <v>300</v>
      </c>
      <c r="BB220" s="155"/>
      <c r="BC220" s="5">
        <v>484</v>
      </c>
      <c r="BD220" s="5"/>
      <c r="BE220" s="5">
        <v>0</v>
      </c>
      <c r="BF220" s="5">
        <v>0</v>
      </c>
      <c r="BG220" s="5">
        <v>957</v>
      </c>
      <c r="BH220" s="5">
        <v>0</v>
      </c>
      <c r="BI220" s="5">
        <v>0</v>
      </c>
      <c r="BJ220" s="5">
        <v>7906</v>
      </c>
      <c r="BK220" s="5">
        <v>26</v>
      </c>
      <c r="BL220" s="5">
        <v>3717</v>
      </c>
      <c r="BM220" s="5"/>
      <c r="BN220" s="5">
        <v>329</v>
      </c>
      <c r="BO220" s="5">
        <v>40</v>
      </c>
      <c r="BP220" s="5">
        <v>11722</v>
      </c>
      <c r="BQ220" s="5">
        <v>52091</v>
      </c>
      <c r="BR220" s="5">
        <v>665</v>
      </c>
      <c r="BS220" s="5">
        <v>138</v>
      </c>
      <c r="BT220" s="5">
        <v>5339</v>
      </c>
      <c r="BU220" s="5">
        <v>30</v>
      </c>
      <c r="BV220" s="5"/>
      <c r="BW220" s="5">
        <v>10</v>
      </c>
      <c r="BX220" s="5">
        <v>107</v>
      </c>
      <c r="BY220" s="5"/>
      <c r="BZ220" s="5">
        <v>12</v>
      </c>
      <c r="CA220" s="5">
        <v>0</v>
      </c>
      <c r="CB220" s="5">
        <v>19318</v>
      </c>
      <c r="CC220" s="5">
        <v>16812</v>
      </c>
      <c r="CD220" s="5">
        <v>112284</v>
      </c>
      <c r="CE220" s="5">
        <v>180550</v>
      </c>
      <c r="CF220" s="5">
        <v>22127</v>
      </c>
      <c r="CG220" s="5">
        <v>33131</v>
      </c>
      <c r="CH220" s="5">
        <v>0</v>
      </c>
      <c r="CI220" s="5">
        <v>26</v>
      </c>
      <c r="CJ220" s="5">
        <v>5</v>
      </c>
      <c r="CK220" s="5">
        <v>43</v>
      </c>
      <c r="CL220" s="5"/>
      <c r="CM220" s="5"/>
      <c r="CN220" s="5"/>
      <c r="CO220" s="5"/>
      <c r="CP220" s="5"/>
      <c r="CQ220" s="5"/>
      <c r="CR220" s="5"/>
      <c r="CS220" s="5"/>
      <c r="CT220" s="5" t="s">
        <v>82</v>
      </c>
      <c r="CU220" s="5" t="s">
        <v>82</v>
      </c>
      <c r="CV220" s="5" t="s">
        <v>82</v>
      </c>
      <c r="CW220" s="5">
        <v>31</v>
      </c>
      <c r="CX220" s="5">
        <v>3836</v>
      </c>
      <c r="CY220" s="5">
        <v>56</v>
      </c>
      <c r="DA220" s="6"/>
      <c r="DC220" s="6"/>
      <c r="DD220" s="6">
        <f t="shared" si="56"/>
        <v>467385</v>
      </c>
      <c r="DE220" s="6">
        <f t="shared" si="57"/>
        <v>216515</v>
      </c>
      <c r="DF220" s="16">
        <f t="shared" si="58"/>
        <v>683900</v>
      </c>
      <c r="DK220" s="6">
        <f t="shared" si="59"/>
        <v>62720</v>
      </c>
      <c r="DL220" s="6">
        <f t="shared" si="60"/>
        <v>116984</v>
      </c>
      <c r="DM220" s="6">
        <f t="shared" si="49"/>
        <v>9989</v>
      </c>
      <c r="DN220" s="6">
        <f t="shared" si="50"/>
        <v>27122</v>
      </c>
      <c r="DO220" s="6">
        <f t="shared" si="51"/>
        <v>335248</v>
      </c>
      <c r="DP220" s="6">
        <f t="shared" si="64"/>
        <v>57759</v>
      </c>
      <c r="DQ220" s="6"/>
      <c r="DR220" s="6">
        <f t="shared" si="52"/>
        <v>16838</v>
      </c>
      <c r="DS220" s="6">
        <f t="shared" si="53"/>
        <v>11722</v>
      </c>
      <c r="DT220" s="6">
        <f t="shared" si="54"/>
        <v>12687</v>
      </c>
      <c r="DU220" s="6"/>
      <c r="DV220" s="6"/>
      <c r="DW220" s="6">
        <f t="shared" si="55"/>
        <v>651069</v>
      </c>
      <c r="DY220" s="6">
        <f t="shared" si="61"/>
        <v>422549</v>
      </c>
      <c r="DZ220" s="6">
        <f t="shared" si="62"/>
        <v>41599</v>
      </c>
      <c r="EB220" s="6">
        <f t="shared" si="63"/>
        <v>725499</v>
      </c>
      <c r="EC220" s="6"/>
      <c r="ED220" s="6"/>
      <c r="EF220" s="18">
        <f t="shared" si="66"/>
        <v>422532</v>
      </c>
      <c r="EG220" s="18">
        <f t="shared" si="65"/>
        <v>212072</v>
      </c>
      <c r="EH220" s="18">
        <f t="shared" si="67"/>
        <v>634604</v>
      </c>
    </row>
    <row r="221" spans="1:138" ht="14">
      <c r="B221" s="4">
        <v>38687</v>
      </c>
      <c r="C221" s="5">
        <v>0</v>
      </c>
      <c r="D221" s="5">
        <v>16</v>
      </c>
      <c r="E221" s="5">
        <v>6220</v>
      </c>
      <c r="F221" s="5">
        <v>0</v>
      </c>
      <c r="G221" s="5">
        <v>155</v>
      </c>
      <c r="H221" s="5">
        <v>11453</v>
      </c>
      <c r="I221" s="5">
        <v>20616</v>
      </c>
      <c r="J221" s="5">
        <v>2999</v>
      </c>
      <c r="K221" s="5">
        <v>6805</v>
      </c>
      <c r="L221" s="5"/>
      <c r="M221" s="5">
        <v>30591</v>
      </c>
      <c r="N221" s="5">
        <v>2504</v>
      </c>
      <c r="O221" s="5"/>
      <c r="P221" s="5">
        <v>1742</v>
      </c>
      <c r="Q221" s="5">
        <v>9086</v>
      </c>
      <c r="R221" s="5">
        <v>507</v>
      </c>
      <c r="S221" s="5">
        <v>9152</v>
      </c>
      <c r="T221" s="5">
        <v>10069</v>
      </c>
      <c r="U221" s="5"/>
      <c r="V221" s="5"/>
      <c r="W221" s="5">
        <v>629</v>
      </c>
      <c r="X221" s="5">
        <v>8295</v>
      </c>
      <c r="Y221" s="5">
        <v>403</v>
      </c>
      <c r="Z221" s="5">
        <v>12</v>
      </c>
      <c r="AA221" s="155"/>
      <c r="AB221" s="5">
        <v>5</v>
      </c>
      <c r="AC221" s="5">
        <v>45</v>
      </c>
      <c r="AD221" s="5">
        <v>14</v>
      </c>
      <c r="AE221" s="5">
        <v>25</v>
      </c>
      <c r="AF221" s="5">
        <v>41</v>
      </c>
      <c r="AG221" s="5">
        <v>53</v>
      </c>
      <c r="AH221" s="5"/>
      <c r="AI221" s="5"/>
      <c r="AJ221" s="5">
        <v>6</v>
      </c>
      <c r="AK221" s="5">
        <v>9085</v>
      </c>
      <c r="AL221" s="5">
        <v>92226</v>
      </c>
      <c r="AM221" s="5">
        <v>3233</v>
      </c>
      <c r="AN221" s="5">
        <v>13283</v>
      </c>
      <c r="AO221" s="5">
        <v>54</v>
      </c>
      <c r="AP221" s="5">
        <v>13</v>
      </c>
      <c r="AQ221" s="5">
        <v>4948</v>
      </c>
      <c r="AR221" s="5">
        <v>0</v>
      </c>
      <c r="AS221" s="5">
        <v>1904</v>
      </c>
      <c r="AT221" s="5" t="s">
        <v>82</v>
      </c>
      <c r="AU221" s="5">
        <v>3671</v>
      </c>
      <c r="AV221" s="5">
        <v>2100</v>
      </c>
      <c r="AW221" s="5">
        <v>3575</v>
      </c>
      <c r="AX221" s="5">
        <v>9174</v>
      </c>
      <c r="AY221" s="155"/>
      <c r="AZ221" s="155"/>
      <c r="BA221" s="155">
        <v>298</v>
      </c>
      <c r="BB221" s="155"/>
      <c r="BC221" s="5">
        <v>474</v>
      </c>
      <c r="BD221" s="5"/>
      <c r="BE221" s="5">
        <v>0</v>
      </c>
      <c r="BF221" s="5">
        <v>0</v>
      </c>
      <c r="BG221" s="5">
        <v>967</v>
      </c>
      <c r="BH221" s="5">
        <v>0</v>
      </c>
      <c r="BI221" s="5">
        <v>0</v>
      </c>
      <c r="BJ221" s="5">
        <v>7906</v>
      </c>
      <c r="BK221" s="5">
        <v>24</v>
      </c>
      <c r="BL221" s="5">
        <v>3764</v>
      </c>
      <c r="BM221" s="5"/>
      <c r="BN221" s="5">
        <v>339</v>
      </c>
      <c r="BO221" s="5">
        <v>39</v>
      </c>
      <c r="BP221" s="5">
        <v>11878</v>
      </c>
      <c r="BQ221" s="5">
        <v>52451</v>
      </c>
      <c r="BR221" s="5">
        <v>680</v>
      </c>
      <c r="BS221" s="5">
        <v>138</v>
      </c>
      <c r="BT221" s="5">
        <v>5421</v>
      </c>
      <c r="BU221" s="5">
        <v>41</v>
      </c>
      <c r="BV221" s="5"/>
      <c r="BW221" s="5">
        <v>10</v>
      </c>
      <c r="BX221" s="5">
        <v>110</v>
      </c>
      <c r="BY221" s="5"/>
      <c r="BZ221" s="5">
        <v>12</v>
      </c>
      <c r="CA221" s="5">
        <v>0</v>
      </c>
      <c r="CB221" s="5">
        <v>19468</v>
      </c>
      <c r="CC221" s="5">
        <v>16283</v>
      </c>
      <c r="CD221" s="5">
        <v>112273</v>
      </c>
      <c r="CE221" s="5">
        <v>180590</v>
      </c>
      <c r="CF221" s="5">
        <v>22033</v>
      </c>
      <c r="CG221" s="5">
        <v>33856</v>
      </c>
      <c r="CH221" s="5">
        <v>0</v>
      </c>
      <c r="CI221" s="5">
        <v>27</v>
      </c>
      <c r="CJ221" s="5">
        <v>6</v>
      </c>
      <c r="CK221" s="5">
        <v>45</v>
      </c>
      <c r="CL221" s="5"/>
      <c r="CM221" s="5"/>
      <c r="CN221" s="5"/>
      <c r="CO221" s="5"/>
      <c r="CP221" s="5"/>
      <c r="CQ221" s="5"/>
      <c r="CR221" s="5"/>
      <c r="CS221" s="5"/>
      <c r="CT221" s="5">
        <v>2</v>
      </c>
      <c r="CU221" s="5">
        <v>0</v>
      </c>
      <c r="CV221" s="5">
        <v>1</v>
      </c>
      <c r="CW221" s="5">
        <v>31</v>
      </c>
      <c r="CX221" s="5">
        <v>3861</v>
      </c>
      <c r="CY221" s="5">
        <v>57</v>
      </c>
      <c r="DA221" s="6"/>
      <c r="DC221" s="6"/>
      <c r="DD221" s="6">
        <f t="shared" si="56"/>
        <v>468361</v>
      </c>
      <c r="DE221" s="6">
        <f t="shared" si="57"/>
        <v>216919</v>
      </c>
      <c r="DF221" s="16">
        <f t="shared" si="58"/>
        <v>685280</v>
      </c>
      <c r="DK221" s="6">
        <f t="shared" si="59"/>
        <v>62506</v>
      </c>
      <c r="DL221" s="6">
        <f t="shared" si="60"/>
        <v>117171</v>
      </c>
      <c r="DM221" s="6">
        <f t="shared" si="49"/>
        <v>10069</v>
      </c>
      <c r="DN221" s="6">
        <f t="shared" si="50"/>
        <v>27471</v>
      </c>
      <c r="DO221" s="6">
        <f t="shared" si="51"/>
        <v>335359</v>
      </c>
      <c r="DP221" s="6">
        <f t="shared" si="64"/>
        <v>58211</v>
      </c>
      <c r="DQ221" s="6"/>
      <c r="DR221" s="6">
        <f t="shared" si="52"/>
        <v>16310</v>
      </c>
      <c r="DS221" s="6">
        <f t="shared" si="53"/>
        <v>11878</v>
      </c>
      <c r="DT221" s="6">
        <f t="shared" si="54"/>
        <v>12747</v>
      </c>
      <c r="DU221" s="6"/>
      <c r="DV221" s="6"/>
      <c r="DW221" s="6">
        <f t="shared" si="55"/>
        <v>651722</v>
      </c>
      <c r="DY221" s="6">
        <f t="shared" si="61"/>
        <v>423835</v>
      </c>
      <c r="DZ221" s="6">
        <f t="shared" si="62"/>
        <v>42028</v>
      </c>
      <c r="EB221" s="6">
        <f t="shared" si="63"/>
        <v>727308</v>
      </c>
      <c r="EC221" s="6"/>
      <c r="ED221" s="6"/>
      <c r="EF221" s="18">
        <f t="shared" si="66"/>
        <v>422627</v>
      </c>
      <c r="EG221" s="18">
        <f t="shared" si="65"/>
        <v>212269</v>
      </c>
      <c r="EH221" s="18">
        <f t="shared" si="67"/>
        <v>634896</v>
      </c>
    </row>
    <row r="222" spans="1:138" ht="14">
      <c r="B222" s="4">
        <v>38718</v>
      </c>
      <c r="C222" s="5">
        <v>0</v>
      </c>
      <c r="D222" s="5">
        <v>17</v>
      </c>
      <c r="E222" s="5">
        <v>5369</v>
      </c>
      <c r="F222" s="5">
        <v>0</v>
      </c>
      <c r="G222" s="5">
        <v>200</v>
      </c>
      <c r="H222" s="5">
        <v>12102</v>
      </c>
      <c r="I222" s="5">
        <v>21548</v>
      </c>
      <c r="J222" s="5">
        <v>3144</v>
      </c>
      <c r="K222" s="5">
        <v>7053</v>
      </c>
      <c r="L222" s="5"/>
      <c r="M222" s="5">
        <v>30619</v>
      </c>
      <c r="N222" s="5">
        <v>2510</v>
      </c>
      <c r="O222" s="5"/>
      <c r="P222" s="5">
        <v>1786</v>
      </c>
      <c r="Q222" s="5">
        <v>9178</v>
      </c>
      <c r="R222" s="5">
        <v>510</v>
      </c>
      <c r="S222" s="5">
        <v>9152</v>
      </c>
      <c r="T222" s="5">
        <v>10085</v>
      </c>
      <c r="U222" s="5"/>
      <c r="V222" s="5"/>
      <c r="W222" s="5">
        <v>645</v>
      </c>
      <c r="X222" s="5">
        <v>8454</v>
      </c>
      <c r="Y222" s="5">
        <v>403</v>
      </c>
      <c r="Z222" s="5">
        <v>12</v>
      </c>
      <c r="AA222" s="155"/>
      <c r="AB222" s="5">
        <v>7</v>
      </c>
      <c r="AC222" s="5">
        <v>47</v>
      </c>
      <c r="AD222" s="5">
        <v>14</v>
      </c>
      <c r="AE222" s="5">
        <v>24</v>
      </c>
      <c r="AF222" s="5">
        <v>41</v>
      </c>
      <c r="AG222" s="5">
        <v>53</v>
      </c>
      <c r="AH222" s="5"/>
      <c r="AI222" s="5"/>
      <c r="AJ222" s="5">
        <v>7</v>
      </c>
      <c r="AK222" s="5">
        <v>9349</v>
      </c>
      <c r="AL222" s="5">
        <v>93287</v>
      </c>
      <c r="AM222" s="5">
        <v>3310</v>
      </c>
      <c r="AN222" s="5">
        <v>13523</v>
      </c>
      <c r="AO222" s="5">
        <v>53</v>
      </c>
      <c r="AP222" s="5">
        <v>14</v>
      </c>
      <c r="AQ222" s="5">
        <v>5107</v>
      </c>
      <c r="AR222" s="5">
        <v>0</v>
      </c>
      <c r="AS222" s="5">
        <v>2158</v>
      </c>
      <c r="AT222" s="5" t="s">
        <v>82</v>
      </c>
      <c r="AU222" s="5">
        <v>3730</v>
      </c>
      <c r="AV222" s="5">
        <v>2135</v>
      </c>
      <c r="AW222" s="5">
        <v>3627</v>
      </c>
      <c r="AX222" s="5">
        <v>9214</v>
      </c>
      <c r="AY222" s="155"/>
      <c r="AZ222" s="155"/>
      <c r="BA222" s="155">
        <v>307</v>
      </c>
      <c r="BB222" s="155"/>
      <c r="BC222" s="5">
        <v>500</v>
      </c>
      <c r="BD222" s="5"/>
      <c r="BE222" s="5">
        <v>0</v>
      </c>
      <c r="BF222" s="5">
        <v>0</v>
      </c>
      <c r="BG222" s="5">
        <v>978</v>
      </c>
      <c r="BH222" s="5">
        <v>0</v>
      </c>
      <c r="BI222" s="5">
        <v>0</v>
      </c>
      <c r="BJ222" s="5">
        <v>8015</v>
      </c>
      <c r="BK222" s="5">
        <v>31</v>
      </c>
      <c r="BL222" s="5">
        <v>3881</v>
      </c>
      <c r="BM222" s="5"/>
      <c r="BN222" s="5">
        <v>419</v>
      </c>
      <c r="BO222" s="5">
        <v>39</v>
      </c>
      <c r="BP222" s="5">
        <v>12010</v>
      </c>
      <c r="BQ222" s="5">
        <v>54793</v>
      </c>
      <c r="BR222" s="5">
        <v>732</v>
      </c>
      <c r="BS222" s="5">
        <v>137</v>
      </c>
      <c r="BT222" s="5">
        <v>5833</v>
      </c>
      <c r="BU222" s="5">
        <v>45</v>
      </c>
      <c r="BV222" s="5"/>
      <c r="BW222" s="5">
        <v>10</v>
      </c>
      <c r="BX222" s="5">
        <v>111</v>
      </c>
      <c r="BY222" s="5"/>
      <c r="BZ222" s="5">
        <v>13</v>
      </c>
      <c r="CA222" s="5">
        <v>0</v>
      </c>
      <c r="CB222" s="5">
        <v>20759</v>
      </c>
      <c r="CC222" s="5">
        <v>19155</v>
      </c>
      <c r="CD222" s="5">
        <v>115600</v>
      </c>
      <c r="CE222" s="5">
        <v>185902</v>
      </c>
      <c r="CF222" s="5">
        <v>23941</v>
      </c>
      <c r="CG222" s="5">
        <v>34963</v>
      </c>
      <c r="CH222" s="5">
        <v>0</v>
      </c>
      <c r="CI222" s="5">
        <v>29</v>
      </c>
      <c r="CJ222" s="5">
        <v>6</v>
      </c>
      <c r="CK222" s="5">
        <v>48</v>
      </c>
      <c r="CL222" s="5"/>
      <c r="CM222" s="5"/>
      <c r="CN222" s="5"/>
      <c r="CO222" s="5"/>
      <c r="CP222" s="5"/>
      <c r="CQ222" s="5"/>
      <c r="CR222" s="5"/>
      <c r="CS222" s="5"/>
      <c r="CT222" s="5">
        <v>0</v>
      </c>
      <c r="CU222" s="5">
        <v>0</v>
      </c>
      <c r="CV222" s="5">
        <v>0</v>
      </c>
      <c r="CW222" s="5">
        <v>31</v>
      </c>
      <c r="CX222" s="5">
        <v>3898</v>
      </c>
      <c r="CY222" s="5">
        <v>58</v>
      </c>
      <c r="DA222" s="6"/>
      <c r="DC222" s="6"/>
      <c r="DD222" s="6">
        <f t="shared" si="56"/>
        <v>487450</v>
      </c>
      <c r="DE222" s="6">
        <f t="shared" si="57"/>
        <v>219554</v>
      </c>
      <c r="DF222" s="16">
        <f t="shared" si="58"/>
        <v>707004</v>
      </c>
      <c r="DK222" s="6">
        <f t="shared" si="59"/>
        <v>62854</v>
      </c>
      <c r="DL222" s="6">
        <f t="shared" si="60"/>
        <v>119011</v>
      </c>
      <c r="DM222" s="6">
        <f t="shared" si="49"/>
        <v>10085</v>
      </c>
      <c r="DN222" s="6">
        <f t="shared" si="50"/>
        <v>27911</v>
      </c>
      <c r="DO222" s="6">
        <f t="shared" si="51"/>
        <v>347263</v>
      </c>
      <c r="DP222" s="6">
        <f t="shared" si="64"/>
        <v>61045</v>
      </c>
      <c r="DQ222" s="6"/>
      <c r="DR222" s="6">
        <f t="shared" si="52"/>
        <v>19184</v>
      </c>
      <c r="DS222" s="6">
        <f t="shared" si="53"/>
        <v>12010</v>
      </c>
      <c r="DT222" s="6">
        <f t="shared" si="54"/>
        <v>12985</v>
      </c>
      <c r="DU222" s="6"/>
      <c r="DV222" s="6"/>
      <c r="DW222" s="6">
        <f t="shared" si="55"/>
        <v>672348</v>
      </c>
      <c r="DY222" s="6">
        <f t="shared" si="61"/>
        <v>439058</v>
      </c>
      <c r="DZ222" s="6">
        <f t="shared" si="62"/>
        <v>44047</v>
      </c>
      <c r="EB222" s="6">
        <f t="shared" si="63"/>
        <v>751051</v>
      </c>
      <c r="EC222" s="6"/>
      <c r="ED222" s="6"/>
      <c r="EF222" s="18">
        <f t="shared" si="66"/>
        <v>440477</v>
      </c>
      <c r="EG222" s="18">
        <f t="shared" si="65"/>
        <v>214754</v>
      </c>
      <c r="EH222" s="18">
        <f t="shared" si="67"/>
        <v>655231</v>
      </c>
    </row>
    <row r="223" spans="1:138" s="15" customFormat="1" ht="14">
      <c r="A223" s="17"/>
      <c r="B223" s="4">
        <v>38749</v>
      </c>
      <c r="C223" s="5">
        <v>0</v>
      </c>
      <c r="D223" s="5">
        <v>12</v>
      </c>
      <c r="E223" s="5">
        <v>4239</v>
      </c>
      <c r="F223" s="5">
        <v>0</v>
      </c>
      <c r="G223" s="5">
        <v>220</v>
      </c>
      <c r="H223" s="5">
        <v>11693</v>
      </c>
      <c r="I223" s="5">
        <v>20752</v>
      </c>
      <c r="J223" s="5">
        <v>2995</v>
      </c>
      <c r="K223" s="5">
        <v>6525</v>
      </c>
      <c r="L223" s="5"/>
      <c r="M223" s="5">
        <v>30527</v>
      </c>
      <c r="N223" s="5">
        <v>2497</v>
      </c>
      <c r="O223" s="5"/>
      <c r="P223" s="5">
        <v>1700</v>
      </c>
      <c r="Q223" s="5">
        <v>9096</v>
      </c>
      <c r="R223" s="5">
        <v>505</v>
      </c>
      <c r="S223" s="5">
        <v>9007</v>
      </c>
      <c r="T223" s="5">
        <v>10263</v>
      </c>
      <c r="U223" s="5"/>
      <c r="V223" s="5"/>
      <c r="W223" s="5">
        <v>633</v>
      </c>
      <c r="X223" s="5">
        <v>8384</v>
      </c>
      <c r="Y223" s="5">
        <v>393</v>
      </c>
      <c r="Z223" s="5">
        <v>10</v>
      </c>
      <c r="AA223" s="155"/>
      <c r="AB223" s="5">
        <v>7</v>
      </c>
      <c r="AC223" s="5">
        <v>46</v>
      </c>
      <c r="AD223" s="5">
        <v>14</v>
      </c>
      <c r="AE223" s="5">
        <v>24</v>
      </c>
      <c r="AF223" s="5">
        <v>41</v>
      </c>
      <c r="AG223" s="5">
        <v>53</v>
      </c>
      <c r="AH223" s="5"/>
      <c r="AI223" s="5"/>
      <c r="AJ223" s="5">
        <v>7</v>
      </c>
      <c r="AK223" s="5">
        <v>9229</v>
      </c>
      <c r="AL223" s="5">
        <v>93313</v>
      </c>
      <c r="AM223" s="5">
        <v>3288</v>
      </c>
      <c r="AN223" s="5">
        <v>13610</v>
      </c>
      <c r="AO223" s="5">
        <v>46</v>
      </c>
      <c r="AP223" s="5">
        <v>18</v>
      </c>
      <c r="AQ223" s="5">
        <v>1984</v>
      </c>
      <c r="AR223" s="5">
        <v>0</v>
      </c>
      <c r="AS223" s="5">
        <v>1909</v>
      </c>
      <c r="AT223" s="5" t="s">
        <v>82</v>
      </c>
      <c r="AU223" s="5">
        <v>3703</v>
      </c>
      <c r="AV223" s="5">
        <v>2112</v>
      </c>
      <c r="AW223" s="5">
        <v>3604</v>
      </c>
      <c r="AX223" s="5">
        <v>9369</v>
      </c>
      <c r="AY223" s="155"/>
      <c r="AZ223" s="155"/>
      <c r="BA223" s="155">
        <v>313</v>
      </c>
      <c r="BB223" s="155"/>
      <c r="BC223" s="5">
        <v>432</v>
      </c>
      <c r="BD223" s="5"/>
      <c r="BE223" s="5">
        <v>0</v>
      </c>
      <c r="BF223" s="5">
        <v>0</v>
      </c>
      <c r="BG223" s="5">
        <v>991</v>
      </c>
      <c r="BH223" s="5">
        <v>0</v>
      </c>
      <c r="BI223" s="5">
        <v>0</v>
      </c>
      <c r="BJ223" s="5">
        <v>7944</v>
      </c>
      <c r="BK223" s="5">
        <v>35</v>
      </c>
      <c r="BL223" s="5">
        <v>3820</v>
      </c>
      <c r="BM223" s="5"/>
      <c r="BN223" s="5">
        <v>346</v>
      </c>
      <c r="BO223" s="5">
        <v>36</v>
      </c>
      <c r="BP223" s="5">
        <v>12083</v>
      </c>
      <c r="BQ223" s="5">
        <v>53469</v>
      </c>
      <c r="BR223" s="5">
        <v>702</v>
      </c>
      <c r="BS223" s="5">
        <v>129</v>
      </c>
      <c r="BT223" s="5">
        <v>5702</v>
      </c>
      <c r="BU223" s="5">
        <v>41</v>
      </c>
      <c r="BV223" s="5"/>
      <c r="BW223" s="5">
        <v>8</v>
      </c>
      <c r="BX223" s="5">
        <v>113</v>
      </c>
      <c r="BY223" s="5"/>
      <c r="BZ223" s="5">
        <v>7</v>
      </c>
      <c r="CA223" s="5">
        <v>0</v>
      </c>
      <c r="CB223" s="5">
        <v>19928</v>
      </c>
      <c r="CC223" s="5">
        <v>16459</v>
      </c>
      <c r="CD223" s="5">
        <v>113401</v>
      </c>
      <c r="CE223" s="5">
        <v>182672</v>
      </c>
      <c r="CF223" s="5">
        <v>22576</v>
      </c>
      <c r="CG223" s="5">
        <v>34505</v>
      </c>
      <c r="CH223" s="5">
        <v>0</v>
      </c>
      <c r="CI223" s="5">
        <v>33</v>
      </c>
      <c r="CJ223" s="5">
        <v>6</v>
      </c>
      <c r="CK223" s="5">
        <v>39</v>
      </c>
      <c r="CL223" s="5"/>
      <c r="CM223" s="5"/>
      <c r="CN223" s="5"/>
      <c r="CO223" s="5"/>
      <c r="CP223" s="5"/>
      <c r="CQ223" s="5"/>
      <c r="CR223" s="5"/>
      <c r="CS223" s="5"/>
      <c r="CT223" s="5">
        <v>1</v>
      </c>
      <c r="CU223" s="5">
        <v>0</v>
      </c>
      <c r="CV223" s="5">
        <v>0</v>
      </c>
      <c r="CW223" s="5">
        <v>31</v>
      </c>
      <c r="CX223" s="5">
        <v>1039</v>
      </c>
      <c r="CY223" s="5">
        <v>60</v>
      </c>
      <c r="CZ223"/>
      <c r="DA223" s="6"/>
      <c r="DB223"/>
      <c r="DC223" s="6"/>
      <c r="DD223" s="6">
        <f t="shared" si="56"/>
        <v>475045</v>
      </c>
      <c r="DE223" s="6">
        <f t="shared" si="57"/>
        <v>215824</v>
      </c>
      <c r="DF223" s="16">
        <f t="shared" si="58"/>
        <v>690869</v>
      </c>
      <c r="DG223"/>
      <c r="DH223" s="191"/>
      <c r="DI223" s="191"/>
      <c r="DJ223" s="191"/>
      <c r="DK223" s="6">
        <f t="shared" si="59"/>
        <v>62349</v>
      </c>
      <c r="DL223" s="6">
        <f t="shared" si="60"/>
        <v>118491</v>
      </c>
      <c r="DM223" s="6">
        <f t="shared" si="49"/>
        <v>10263</v>
      </c>
      <c r="DN223" s="6">
        <f t="shared" si="50"/>
        <v>25034</v>
      </c>
      <c r="DO223" s="6">
        <f t="shared" si="51"/>
        <v>339580</v>
      </c>
      <c r="DP223" s="6">
        <f t="shared" si="64"/>
        <v>59517</v>
      </c>
      <c r="DQ223" s="6"/>
      <c r="DR223" s="6">
        <f t="shared" si="52"/>
        <v>16492</v>
      </c>
      <c r="DS223" s="6">
        <f t="shared" si="53"/>
        <v>12083</v>
      </c>
      <c r="DT223" s="6">
        <f t="shared" si="54"/>
        <v>12868</v>
      </c>
      <c r="DU223" s="6"/>
      <c r="DV223" s="6"/>
      <c r="DW223" s="6">
        <f t="shared" si="55"/>
        <v>656677</v>
      </c>
      <c r="DX223"/>
      <c r="DY223" s="6">
        <f t="shared" si="61"/>
        <v>428918</v>
      </c>
      <c r="DZ223" s="6">
        <f t="shared" si="62"/>
        <v>42185</v>
      </c>
      <c r="EA223"/>
      <c r="EB223" s="6">
        <f t="shared" si="63"/>
        <v>733054</v>
      </c>
      <c r="EC223" s="6"/>
      <c r="ED223" s="6"/>
      <c r="EE223"/>
      <c r="EF223" s="18">
        <f t="shared" si="66"/>
        <v>428457</v>
      </c>
      <c r="EG223" s="18">
        <f t="shared" si="65"/>
        <v>214153</v>
      </c>
      <c r="EH223" s="18">
        <f t="shared" si="67"/>
        <v>642610</v>
      </c>
    </row>
    <row r="224" spans="1:138" s="17" customFormat="1" ht="14">
      <c r="B224" s="4">
        <v>38777</v>
      </c>
      <c r="C224" s="5">
        <v>0</v>
      </c>
      <c r="D224" s="5">
        <v>6</v>
      </c>
      <c r="E224" s="5">
        <v>3375</v>
      </c>
      <c r="F224" s="5">
        <v>0</v>
      </c>
      <c r="G224" s="5">
        <v>255</v>
      </c>
      <c r="H224" s="5">
        <v>11569</v>
      </c>
      <c r="I224" s="5">
        <v>20628</v>
      </c>
      <c r="J224" s="5">
        <v>2985</v>
      </c>
      <c r="K224" s="5">
        <v>6359</v>
      </c>
      <c r="L224" s="5"/>
      <c r="M224" s="5">
        <v>30564</v>
      </c>
      <c r="N224" s="5">
        <v>2492</v>
      </c>
      <c r="O224" s="5"/>
      <c r="P224" s="5">
        <v>1683</v>
      </c>
      <c r="Q224" s="5">
        <v>9067</v>
      </c>
      <c r="R224" s="5">
        <v>502</v>
      </c>
      <c r="S224" s="5">
        <v>8967</v>
      </c>
      <c r="T224" s="5">
        <v>10306</v>
      </c>
      <c r="U224" s="5"/>
      <c r="V224" s="5"/>
      <c r="W224" s="5">
        <v>648</v>
      </c>
      <c r="X224" s="5">
        <v>8271</v>
      </c>
      <c r="Y224" s="5">
        <v>389</v>
      </c>
      <c r="Z224" s="5">
        <v>9</v>
      </c>
      <c r="AA224" s="155"/>
      <c r="AB224" s="5">
        <v>7</v>
      </c>
      <c r="AC224" s="5">
        <v>48</v>
      </c>
      <c r="AD224" s="5">
        <v>13</v>
      </c>
      <c r="AE224" s="5">
        <v>23</v>
      </c>
      <c r="AF224" s="5">
        <v>42</v>
      </c>
      <c r="AG224" s="5">
        <v>50</v>
      </c>
      <c r="AH224" s="5"/>
      <c r="AI224" s="5"/>
      <c r="AJ224" s="5">
        <v>8</v>
      </c>
      <c r="AK224" s="5">
        <v>9101</v>
      </c>
      <c r="AL224" s="5">
        <v>93185</v>
      </c>
      <c r="AM224" s="5">
        <v>3261</v>
      </c>
      <c r="AN224" s="5">
        <v>13837</v>
      </c>
      <c r="AO224" s="5">
        <v>44</v>
      </c>
      <c r="AP224" s="5">
        <v>24</v>
      </c>
      <c r="AQ224" s="5">
        <v>3393</v>
      </c>
      <c r="AR224" s="5">
        <v>0</v>
      </c>
      <c r="AS224" s="5">
        <v>1876</v>
      </c>
      <c r="AT224" s="5" t="s">
        <v>82</v>
      </c>
      <c r="AU224" s="5">
        <v>3693</v>
      </c>
      <c r="AV224" s="5">
        <v>2094</v>
      </c>
      <c r="AW224" s="5">
        <v>3578</v>
      </c>
      <c r="AX224" s="5">
        <v>9435</v>
      </c>
      <c r="AY224" s="155"/>
      <c r="AZ224" s="155"/>
      <c r="BA224" s="155">
        <v>322</v>
      </c>
      <c r="BB224" s="155"/>
      <c r="BC224" s="5">
        <v>429</v>
      </c>
      <c r="BD224" s="5"/>
      <c r="BE224" s="5">
        <v>0</v>
      </c>
      <c r="BF224" s="5">
        <v>0</v>
      </c>
      <c r="BG224" s="5">
        <v>1002</v>
      </c>
      <c r="BH224" s="5">
        <v>0</v>
      </c>
      <c r="BI224" s="5">
        <v>0</v>
      </c>
      <c r="BJ224" s="5">
        <v>7898</v>
      </c>
      <c r="BK224" s="5">
        <v>35</v>
      </c>
      <c r="BL224" s="5">
        <v>3788</v>
      </c>
      <c r="BM224" s="5"/>
      <c r="BN224" s="5">
        <v>338</v>
      </c>
      <c r="BO224" s="5">
        <v>36</v>
      </c>
      <c r="BP224" s="5">
        <v>12235</v>
      </c>
      <c r="BQ224" s="5">
        <v>52297</v>
      </c>
      <c r="BR224" s="5">
        <v>648</v>
      </c>
      <c r="BS224" s="5">
        <v>130</v>
      </c>
      <c r="BT224" s="5">
        <v>5574</v>
      </c>
      <c r="BU224" s="5">
        <v>41</v>
      </c>
      <c r="BV224" s="5"/>
      <c r="BW224" s="5">
        <v>6</v>
      </c>
      <c r="BX224" s="5">
        <v>115</v>
      </c>
      <c r="BY224" s="5"/>
      <c r="BZ224" s="5">
        <v>8</v>
      </c>
      <c r="CA224" s="5">
        <v>0</v>
      </c>
      <c r="CB224" s="5">
        <v>19445</v>
      </c>
      <c r="CC224" s="5">
        <v>16547</v>
      </c>
      <c r="CD224" s="5">
        <v>112578</v>
      </c>
      <c r="CE224" s="5">
        <v>181711</v>
      </c>
      <c r="CF224" s="5">
        <v>22670</v>
      </c>
      <c r="CG224" s="5">
        <v>33910</v>
      </c>
      <c r="CH224" s="5">
        <v>0</v>
      </c>
      <c r="CI224" s="5">
        <v>29</v>
      </c>
      <c r="CJ224" s="5">
        <v>7</v>
      </c>
      <c r="CK224" s="5">
        <v>41</v>
      </c>
      <c r="CL224" s="5"/>
      <c r="CM224" s="5"/>
      <c r="CN224" s="5"/>
      <c r="CO224" s="5"/>
      <c r="CP224" s="5"/>
      <c r="CQ224" s="5"/>
      <c r="CR224" s="5"/>
      <c r="CS224" s="5"/>
      <c r="CT224" s="5">
        <v>1</v>
      </c>
      <c r="CU224" s="5">
        <v>0</v>
      </c>
      <c r="CV224" s="5">
        <v>0</v>
      </c>
      <c r="CW224" s="5">
        <v>30</v>
      </c>
      <c r="CX224" s="5">
        <v>142</v>
      </c>
      <c r="CY224" s="5">
        <v>56</v>
      </c>
      <c r="CZ224"/>
      <c r="DA224" s="6"/>
      <c r="DB224"/>
      <c r="DC224" s="6"/>
      <c r="DD224" s="6">
        <f t="shared" si="56"/>
        <v>471089</v>
      </c>
      <c r="DE224" s="6">
        <f t="shared" si="57"/>
        <v>217039</v>
      </c>
      <c r="DF224" s="16">
        <f t="shared" si="58"/>
        <v>688128</v>
      </c>
      <c r="DG224"/>
      <c r="DH224" s="191"/>
      <c r="DI224" s="191"/>
      <c r="DJ224" s="191"/>
      <c r="DK224" s="6">
        <f t="shared" si="59"/>
        <v>62194</v>
      </c>
      <c r="DL224" s="6">
        <f t="shared" si="60"/>
        <v>118122</v>
      </c>
      <c r="DM224" s="6">
        <f t="shared" si="49"/>
        <v>10306</v>
      </c>
      <c r="DN224" s="6">
        <f t="shared" si="50"/>
        <v>26739</v>
      </c>
      <c r="DO224" s="6">
        <f t="shared" si="51"/>
        <v>337356</v>
      </c>
      <c r="DP224" s="6">
        <f t="shared" si="64"/>
        <v>58209</v>
      </c>
      <c r="DQ224" s="6"/>
      <c r="DR224" s="6">
        <f t="shared" si="52"/>
        <v>16576</v>
      </c>
      <c r="DS224" s="6">
        <f t="shared" si="53"/>
        <v>12235</v>
      </c>
      <c r="DT224" s="6">
        <f t="shared" si="54"/>
        <v>12803</v>
      </c>
      <c r="DU224" s="6"/>
      <c r="DV224" s="6"/>
      <c r="DW224" s="6">
        <f t="shared" si="55"/>
        <v>654540</v>
      </c>
      <c r="DX224"/>
      <c r="DY224" s="6">
        <f t="shared" si="61"/>
        <v>425610</v>
      </c>
      <c r="DZ224" s="6">
        <f t="shared" si="62"/>
        <v>41796</v>
      </c>
      <c r="EA224"/>
      <c r="EB224" s="6">
        <f t="shared" si="63"/>
        <v>729924</v>
      </c>
      <c r="EC224" s="6"/>
      <c r="ED224" s="6"/>
      <c r="EE224"/>
      <c r="EF224" s="18">
        <f t="shared" si="66"/>
        <v>424944</v>
      </c>
      <c r="EG224" s="18">
        <f t="shared" si="65"/>
        <v>213968</v>
      </c>
      <c r="EH224" s="18">
        <f t="shared" si="67"/>
        <v>638912</v>
      </c>
    </row>
    <row r="225" spans="1:163" s="17" customFormat="1" ht="14">
      <c r="B225" s="4">
        <v>38808</v>
      </c>
      <c r="C225" s="5">
        <v>0</v>
      </c>
      <c r="D225" s="5">
        <v>4</v>
      </c>
      <c r="E225" s="5">
        <v>2574</v>
      </c>
      <c r="F225" s="5">
        <v>0</v>
      </c>
      <c r="G225" s="5">
        <v>320</v>
      </c>
      <c r="H225" s="5">
        <v>11931</v>
      </c>
      <c r="I225" s="5">
        <v>21224</v>
      </c>
      <c r="J225" s="5">
        <v>3086</v>
      </c>
      <c r="K225" s="5">
        <v>6471</v>
      </c>
      <c r="L225" s="5"/>
      <c r="M225" s="5">
        <v>30573</v>
      </c>
      <c r="N225" s="5">
        <v>2494</v>
      </c>
      <c r="O225" s="5"/>
      <c r="P225" s="5">
        <v>1690</v>
      </c>
      <c r="Q225" s="5">
        <v>9157</v>
      </c>
      <c r="R225" s="5">
        <v>500</v>
      </c>
      <c r="S225" s="5">
        <v>8976</v>
      </c>
      <c r="T225" s="5">
        <v>10416</v>
      </c>
      <c r="U225" s="5"/>
      <c r="V225" s="5"/>
      <c r="W225" s="5">
        <v>652</v>
      </c>
      <c r="X225" s="5">
        <v>8213</v>
      </c>
      <c r="Y225" s="5">
        <v>386</v>
      </c>
      <c r="Z225" s="5">
        <v>9</v>
      </c>
      <c r="AA225" s="155"/>
      <c r="AB225" s="5">
        <v>8</v>
      </c>
      <c r="AC225" s="5">
        <v>47</v>
      </c>
      <c r="AD225" s="5">
        <v>13</v>
      </c>
      <c r="AE225" s="5">
        <v>23</v>
      </c>
      <c r="AF225" s="5">
        <v>41</v>
      </c>
      <c r="AG225" s="5">
        <v>51</v>
      </c>
      <c r="AH225" s="5"/>
      <c r="AI225" s="5"/>
      <c r="AJ225" s="5">
        <v>8</v>
      </c>
      <c r="AK225" s="5">
        <v>9141</v>
      </c>
      <c r="AL225" s="5">
        <v>93180</v>
      </c>
      <c r="AM225" s="5">
        <v>3262</v>
      </c>
      <c r="AN225" s="5">
        <v>14081</v>
      </c>
      <c r="AO225" s="5">
        <v>45</v>
      </c>
      <c r="AP225" s="5">
        <v>22</v>
      </c>
      <c r="AQ225" s="5">
        <v>4125</v>
      </c>
      <c r="AR225" s="5">
        <v>0</v>
      </c>
      <c r="AS225" s="5">
        <v>1936</v>
      </c>
      <c r="AT225" s="5" t="s">
        <v>82</v>
      </c>
      <c r="AU225" s="5">
        <v>3709</v>
      </c>
      <c r="AV225" s="5">
        <v>2080</v>
      </c>
      <c r="AW225" s="5">
        <v>3591</v>
      </c>
      <c r="AX225" s="5">
        <v>9565</v>
      </c>
      <c r="AY225" s="155"/>
      <c r="AZ225" s="155"/>
      <c r="BA225" s="155">
        <v>322</v>
      </c>
      <c r="BB225" s="155"/>
      <c r="BC225" s="5">
        <v>426</v>
      </c>
      <c r="BD225" s="5"/>
      <c r="BE225" s="5">
        <v>0</v>
      </c>
      <c r="BF225" s="5">
        <v>0</v>
      </c>
      <c r="BG225" s="5">
        <v>1018</v>
      </c>
      <c r="BH225" s="5">
        <v>0</v>
      </c>
      <c r="BI225" s="5">
        <v>0</v>
      </c>
      <c r="BJ225" s="5">
        <v>7923</v>
      </c>
      <c r="BK225" s="5">
        <v>36</v>
      </c>
      <c r="BL225" s="5">
        <v>3949</v>
      </c>
      <c r="BM225" s="5"/>
      <c r="BN225" s="5">
        <v>398</v>
      </c>
      <c r="BO225" s="5">
        <v>34</v>
      </c>
      <c r="BP225" s="5">
        <v>12322</v>
      </c>
      <c r="BQ225" s="5">
        <v>52524</v>
      </c>
      <c r="BR225" s="5">
        <v>639</v>
      </c>
      <c r="BS225" s="5">
        <v>132</v>
      </c>
      <c r="BT225" s="5">
        <v>5705</v>
      </c>
      <c r="BU225" s="5">
        <v>45</v>
      </c>
      <c r="BV225" s="5"/>
      <c r="BW225" s="5">
        <v>5</v>
      </c>
      <c r="BX225" s="5">
        <v>109</v>
      </c>
      <c r="BY225" s="5"/>
      <c r="BZ225" s="5">
        <v>6</v>
      </c>
      <c r="CA225" s="5">
        <v>0</v>
      </c>
      <c r="CB225" s="5">
        <v>19472</v>
      </c>
      <c r="CC225" s="5">
        <v>17058</v>
      </c>
      <c r="CD225" s="5">
        <v>113244</v>
      </c>
      <c r="CE225" s="5">
        <v>182608</v>
      </c>
      <c r="CF225" s="5">
        <v>23007</v>
      </c>
      <c r="CG225" s="5">
        <v>33437</v>
      </c>
      <c r="CH225" s="5">
        <v>0</v>
      </c>
      <c r="CI225" s="5">
        <v>31</v>
      </c>
      <c r="CJ225" s="5">
        <v>6</v>
      </c>
      <c r="CK225" s="5">
        <v>39</v>
      </c>
      <c r="CL225" s="5"/>
      <c r="CM225" s="5"/>
      <c r="CN225" s="5"/>
      <c r="CO225" s="5"/>
      <c r="CP225" s="5"/>
      <c r="CQ225" s="5"/>
      <c r="CR225" s="5"/>
      <c r="CS225" s="5"/>
      <c r="CT225" s="5">
        <v>1</v>
      </c>
      <c r="CU225" s="5">
        <v>0</v>
      </c>
      <c r="CV225" s="5">
        <v>0</v>
      </c>
      <c r="CW225" s="5">
        <v>28</v>
      </c>
      <c r="CX225" s="5">
        <v>3</v>
      </c>
      <c r="CY225" s="5">
        <v>57</v>
      </c>
      <c r="CZ225"/>
      <c r="DA225" s="6"/>
      <c r="DB225"/>
      <c r="DC225" s="6"/>
      <c r="DD225" s="6">
        <f t="shared" si="56"/>
        <v>473747</v>
      </c>
      <c r="DE225" s="6">
        <f t="shared" si="57"/>
        <v>218420</v>
      </c>
      <c r="DF225" s="16">
        <f t="shared" si="58"/>
        <v>692167</v>
      </c>
      <c r="DG225"/>
      <c r="DH225" s="191"/>
      <c r="DI225" s="191"/>
      <c r="DJ225" s="191"/>
      <c r="DK225" s="6">
        <f t="shared" si="59"/>
        <v>62255</v>
      </c>
      <c r="DL225" s="6">
        <f t="shared" si="60"/>
        <v>118227</v>
      </c>
      <c r="DM225" s="6">
        <f t="shared" si="49"/>
        <v>10416</v>
      </c>
      <c r="DN225" s="6">
        <f t="shared" si="50"/>
        <v>27844</v>
      </c>
      <c r="DO225" s="6">
        <f t="shared" si="51"/>
        <v>339273</v>
      </c>
      <c r="DP225" s="6">
        <f t="shared" si="64"/>
        <v>58627</v>
      </c>
      <c r="DQ225" s="6"/>
      <c r="DR225" s="6">
        <f t="shared" si="52"/>
        <v>17089</v>
      </c>
      <c r="DS225" s="6">
        <f t="shared" si="53"/>
        <v>12322</v>
      </c>
      <c r="DT225" s="6">
        <f t="shared" si="54"/>
        <v>12999</v>
      </c>
      <c r="DU225" s="6"/>
      <c r="DV225" s="6"/>
      <c r="DW225" s="6">
        <f t="shared" si="55"/>
        <v>659052</v>
      </c>
      <c r="DX225"/>
      <c r="DY225" s="6">
        <f t="shared" si="61"/>
        <v>428421</v>
      </c>
      <c r="DZ225" s="6">
        <f t="shared" si="62"/>
        <v>43032</v>
      </c>
      <c r="EA225"/>
      <c r="EB225" s="6">
        <f t="shared" si="63"/>
        <v>735199</v>
      </c>
      <c r="EC225" s="6"/>
      <c r="ED225" s="6"/>
      <c r="EE225"/>
      <c r="EF225" s="18">
        <f t="shared" si="66"/>
        <v>427988</v>
      </c>
      <c r="EG225" s="18">
        <f t="shared" si="65"/>
        <v>214617</v>
      </c>
      <c r="EH225" s="18">
        <f t="shared" si="67"/>
        <v>642605</v>
      </c>
    </row>
    <row r="226" spans="1:163" s="17" customFormat="1" ht="14">
      <c r="B226" s="4">
        <v>38838</v>
      </c>
      <c r="C226" s="5">
        <v>0</v>
      </c>
      <c r="D226" s="5">
        <v>3</v>
      </c>
      <c r="E226" s="5">
        <v>2168</v>
      </c>
      <c r="F226" s="5">
        <v>0</v>
      </c>
      <c r="G226" s="5">
        <v>326</v>
      </c>
      <c r="H226" s="5">
        <v>12126</v>
      </c>
      <c r="I226" s="5">
        <v>21600</v>
      </c>
      <c r="J226" s="5">
        <v>3163</v>
      </c>
      <c r="K226" s="5">
        <v>6458</v>
      </c>
      <c r="L226" s="5"/>
      <c r="M226" s="5">
        <v>30509</v>
      </c>
      <c r="N226" s="5">
        <v>2490</v>
      </c>
      <c r="O226" s="5"/>
      <c r="P226" s="5">
        <v>1700</v>
      </c>
      <c r="Q226" s="5">
        <v>9124</v>
      </c>
      <c r="R226" s="5">
        <v>495</v>
      </c>
      <c r="S226" s="5">
        <v>8901</v>
      </c>
      <c r="T226" s="5">
        <v>10470</v>
      </c>
      <c r="U226" s="5"/>
      <c r="V226" s="5"/>
      <c r="W226" s="5">
        <v>650</v>
      </c>
      <c r="X226" s="5">
        <v>8185</v>
      </c>
      <c r="Y226" s="5">
        <v>386</v>
      </c>
      <c r="Z226" s="5">
        <v>8</v>
      </c>
      <c r="AA226" s="155"/>
      <c r="AB226" s="5">
        <v>8</v>
      </c>
      <c r="AC226" s="5">
        <v>40</v>
      </c>
      <c r="AD226" s="5">
        <v>13</v>
      </c>
      <c r="AE226" s="5">
        <v>24</v>
      </c>
      <c r="AF226" s="5">
        <v>42</v>
      </c>
      <c r="AG226" s="5">
        <v>52</v>
      </c>
      <c r="AH226" s="5"/>
      <c r="AI226" s="5"/>
      <c r="AJ226" s="5">
        <v>7</v>
      </c>
      <c r="AK226" s="5">
        <v>9069</v>
      </c>
      <c r="AL226" s="5">
        <v>93571</v>
      </c>
      <c r="AM226" s="5">
        <v>3261</v>
      </c>
      <c r="AN226" s="5">
        <v>14170</v>
      </c>
      <c r="AO226" s="5">
        <v>54</v>
      </c>
      <c r="AP226" s="5">
        <v>23</v>
      </c>
      <c r="AQ226" s="5">
        <v>4424</v>
      </c>
      <c r="AR226" s="5">
        <v>0</v>
      </c>
      <c r="AS226" s="5">
        <v>1923</v>
      </c>
      <c r="AT226" s="5" t="s">
        <v>82</v>
      </c>
      <c r="AU226" s="5">
        <v>3716</v>
      </c>
      <c r="AV226" s="5">
        <v>2088</v>
      </c>
      <c r="AW226" s="5">
        <v>3591</v>
      </c>
      <c r="AX226" s="5">
        <v>9601</v>
      </c>
      <c r="AY226" s="155"/>
      <c r="AZ226" s="155"/>
      <c r="BA226" s="155">
        <v>319</v>
      </c>
      <c r="BB226" s="155"/>
      <c r="BC226" s="5">
        <v>438</v>
      </c>
      <c r="BD226" s="5"/>
      <c r="BE226" s="5">
        <v>0</v>
      </c>
      <c r="BF226" s="5">
        <v>0</v>
      </c>
      <c r="BG226" s="5">
        <v>1013</v>
      </c>
      <c r="BH226" s="5">
        <v>0</v>
      </c>
      <c r="BI226" s="5">
        <v>0</v>
      </c>
      <c r="BJ226" s="5">
        <v>7902</v>
      </c>
      <c r="BK226" s="5">
        <v>41</v>
      </c>
      <c r="BL226" s="5">
        <v>4023</v>
      </c>
      <c r="BM226" s="5"/>
      <c r="BN226" s="5">
        <v>305</v>
      </c>
      <c r="BO226" s="5">
        <v>32</v>
      </c>
      <c r="BP226" s="5">
        <v>12476</v>
      </c>
      <c r="BQ226" s="5">
        <v>52154</v>
      </c>
      <c r="BR226" s="5">
        <v>633</v>
      </c>
      <c r="BS226" s="5">
        <v>132</v>
      </c>
      <c r="BT226" s="5">
        <v>5656</v>
      </c>
      <c r="BU226" s="5">
        <v>49</v>
      </c>
      <c r="BV226" s="5"/>
      <c r="BW226" s="5">
        <v>1</v>
      </c>
      <c r="BX226" s="5">
        <v>107</v>
      </c>
      <c r="BY226" s="5"/>
      <c r="BZ226" s="5">
        <v>8</v>
      </c>
      <c r="CA226" s="5">
        <v>0</v>
      </c>
      <c r="CB226" s="5">
        <v>19554</v>
      </c>
      <c r="CC226" s="5">
        <v>16911</v>
      </c>
      <c r="CD226" s="5">
        <v>113011</v>
      </c>
      <c r="CE226" s="5">
        <v>182279</v>
      </c>
      <c r="CF226" s="5">
        <v>22982</v>
      </c>
      <c r="CG226" s="5">
        <v>33798</v>
      </c>
      <c r="CH226" s="5">
        <v>0</v>
      </c>
      <c r="CI226" s="5">
        <v>30</v>
      </c>
      <c r="CJ226" s="5">
        <v>4</v>
      </c>
      <c r="CK226" s="5">
        <v>39</v>
      </c>
      <c r="CL226" s="5"/>
      <c r="CM226" s="5"/>
      <c r="CN226" s="5"/>
      <c r="CO226" s="5"/>
      <c r="CP226" s="5"/>
      <c r="CQ226" s="5"/>
      <c r="CR226" s="5"/>
      <c r="CS226" s="5"/>
      <c r="CT226" s="5">
        <v>1</v>
      </c>
      <c r="CU226" s="5">
        <v>0</v>
      </c>
      <c r="CV226" s="5">
        <v>0</v>
      </c>
      <c r="CW226" s="5">
        <v>28</v>
      </c>
      <c r="CX226" s="5">
        <v>0</v>
      </c>
      <c r="CY226" s="5">
        <v>57</v>
      </c>
      <c r="CZ226"/>
      <c r="DA226" s="6"/>
      <c r="DB226"/>
      <c r="DC226" s="6"/>
      <c r="DD226" s="6">
        <f t="shared" si="56"/>
        <v>473140</v>
      </c>
      <c r="DE226" s="6">
        <f t="shared" si="57"/>
        <v>219033</v>
      </c>
      <c r="DF226" s="16">
        <f t="shared" si="58"/>
        <v>692173</v>
      </c>
      <c r="DG226"/>
      <c r="DH226" s="191"/>
      <c r="DI226" s="191"/>
      <c r="DJ226" s="191"/>
      <c r="DK226" s="6">
        <f t="shared" si="59"/>
        <v>62054</v>
      </c>
      <c r="DL226" s="6">
        <f t="shared" si="60"/>
        <v>118558</v>
      </c>
      <c r="DM226" s="6">
        <f t="shared" si="49"/>
        <v>10470</v>
      </c>
      <c r="DN226" s="6">
        <f t="shared" si="50"/>
        <v>28270</v>
      </c>
      <c r="DO226" s="6">
        <f t="shared" si="51"/>
        <v>338765</v>
      </c>
      <c r="DP226" s="6">
        <f t="shared" si="64"/>
        <v>58115</v>
      </c>
      <c r="DQ226" s="6"/>
      <c r="DR226" s="6">
        <f t="shared" si="52"/>
        <v>16941</v>
      </c>
      <c r="DS226" s="6">
        <f t="shared" si="53"/>
        <v>12476</v>
      </c>
      <c r="DT226" s="6">
        <f t="shared" si="54"/>
        <v>13045</v>
      </c>
      <c r="DU226" s="6"/>
      <c r="DV226" s="6"/>
      <c r="DW226" s="6">
        <f t="shared" si="55"/>
        <v>658694</v>
      </c>
      <c r="DX226"/>
      <c r="DY226" s="6">
        <f t="shared" si="61"/>
        <v>428955</v>
      </c>
      <c r="DZ226" s="6">
        <f t="shared" si="62"/>
        <v>43673</v>
      </c>
      <c r="EA226"/>
      <c r="EB226" s="6">
        <f t="shared" si="63"/>
        <v>735846</v>
      </c>
      <c r="EC226" s="6"/>
      <c r="ED226" s="6"/>
      <c r="EE226"/>
      <c r="EF226" s="18">
        <f t="shared" si="66"/>
        <v>426866</v>
      </c>
      <c r="EG226" s="18">
        <f t="shared" si="65"/>
        <v>214928</v>
      </c>
      <c r="EH226" s="18">
        <f t="shared" si="67"/>
        <v>641794</v>
      </c>
    </row>
    <row r="227" spans="1:163" s="17" customFormat="1">
      <c r="B227" s="11">
        <v>38869</v>
      </c>
      <c r="C227" s="12">
        <v>0</v>
      </c>
      <c r="D227" s="12">
        <v>6</v>
      </c>
      <c r="E227" s="12">
        <v>2422</v>
      </c>
      <c r="F227" s="12">
        <v>0</v>
      </c>
      <c r="G227" s="12">
        <v>362</v>
      </c>
      <c r="H227" s="12">
        <v>12105</v>
      </c>
      <c r="I227" s="12">
        <v>21605</v>
      </c>
      <c r="J227" s="12">
        <v>3198</v>
      </c>
      <c r="K227" s="12">
        <v>6417</v>
      </c>
      <c r="L227" s="12"/>
      <c r="M227" s="12">
        <v>30456</v>
      </c>
      <c r="N227" s="12">
        <v>2462</v>
      </c>
      <c r="O227" s="12"/>
      <c r="P227" s="12">
        <v>1699</v>
      </c>
      <c r="Q227" s="12">
        <v>9088</v>
      </c>
      <c r="R227" s="12">
        <v>497</v>
      </c>
      <c r="S227" s="12">
        <v>8876</v>
      </c>
      <c r="T227" s="12">
        <v>10526</v>
      </c>
      <c r="U227" s="12"/>
      <c r="V227" s="12"/>
      <c r="W227" s="12">
        <v>649</v>
      </c>
      <c r="X227" s="12">
        <v>8111</v>
      </c>
      <c r="Y227" s="12">
        <v>383</v>
      </c>
      <c r="Z227" s="12">
        <v>8</v>
      </c>
      <c r="AA227" s="156"/>
      <c r="AB227" s="12">
        <v>6</v>
      </c>
      <c r="AC227" s="12">
        <v>38</v>
      </c>
      <c r="AD227" s="12">
        <v>13</v>
      </c>
      <c r="AE227" s="12">
        <v>23</v>
      </c>
      <c r="AF227" s="12">
        <v>41</v>
      </c>
      <c r="AG227" s="12">
        <v>55</v>
      </c>
      <c r="AH227" s="12"/>
      <c r="AI227" s="12"/>
      <c r="AJ227" s="12">
        <v>4</v>
      </c>
      <c r="AK227" s="12">
        <v>9010</v>
      </c>
      <c r="AL227" s="12">
        <v>93451</v>
      </c>
      <c r="AM227" s="12">
        <v>3217</v>
      </c>
      <c r="AN227" s="12">
        <v>14269</v>
      </c>
      <c r="AO227" s="12">
        <v>48</v>
      </c>
      <c r="AP227" s="12">
        <v>24</v>
      </c>
      <c r="AQ227" s="12">
        <v>4691</v>
      </c>
      <c r="AR227" s="12">
        <v>0</v>
      </c>
      <c r="AS227" s="12">
        <v>1960</v>
      </c>
      <c r="AT227" s="12">
        <v>1</v>
      </c>
      <c r="AU227" s="12">
        <v>3749</v>
      </c>
      <c r="AV227" s="12">
        <v>2085</v>
      </c>
      <c r="AW227" s="12">
        <v>3579</v>
      </c>
      <c r="AX227" s="12">
        <v>9699</v>
      </c>
      <c r="AY227" s="156"/>
      <c r="AZ227" s="156"/>
      <c r="BA227" s="156">
        <v>325</v>
      </c>
      <c r="BB227" s="156"/>
      <c r="BC227" s="12">
        <v>447</v>
      </c>
      <c r="BD227" s="12"/>
      <c r="BE227" s="12">
        <v>0</v>
      </c>
      <c r="BF227" s="12">
        <v>0</v>
      </c>
      <c r="BG227" s="12">
        <v>1030</v>
      </c>
      <c r="BH227" s="12">
        <v>0</v>
      </c>
      <c r="BI227" s="12">
        <v>0</v>
      </c>
      <c r="BJ227" s="12">
        <v>7980</v>
      </c>
      <c r="BK227" s="12">
        <v>41</v>
      </c>
      <c r="BL227" s="12">
        <v>4084</v>
      </c>
      <c r="BM227" s="12"/>
      <c r="BN227" s="12">
        <v>331</v>
      </c>
      <c r="BO227" s="12">
        <v>31</v>
      </c>
      <c r="BP227" s="12">
        <v>12599</v>
      </c>
      <c r="BQ227" s="12">
        <v>51956</v>
      </c>
      <c r="BR227" s="12">
        <v>693</v>
      </c>
      <c r="BS227" s="12">
        <v>126</v>
      </c>
      <c r="BT227" s="12">
        <v>5530</v>
      </c>
      <c r="BU227" s="12">
        <v>51</v>
      </c>
      <c r="BV227" s="12"/>
      <c r="BW227" s="12">
        <v>1</v>
      </c>
      <c r="BX227" s="12">
        <v>107</v>
      </c>
      <c r="BY227" s="12"/>
      <c r="BZ227" s="12">
        <v>7</v>
      </c>
      <c r="CA227" s="12">
        <v>0</v>
      </c>
      <c r="CB227" s="12">
        <v>19696</v>
      </c>
      <c r="CC227" s="12">
        <v>17133</v>
      </c>
      <c r="CD227" s="12">
        <v>112784</v>
      </c>
      <c r="CE227" s="12">
        <v>182018</v>
      </c>
      <c r="CF227" s="12">
        <v>23239</v>
      </c>
      <c r="CG227" s="12">
        <v>34175</v>
      </c>
      <c r="CH227" s="12">
        <v>0</v>
      </c>
      <c r="CI227" s="12">
        <v>29</v>
      </c>
      <c r="CJ227" s="12">
        <v>4</v>
      </c>
      <c r="CK227" s="12">
        <v>33</v>
      </c>
      <c r="CL227" s="12"/>
      <c r="CM227" s="12"/>
      <c r="CN227" s="12"/>
      <c r="CO227" s="12"/>
      <c r="CP227" s="12"/>
      <c r="CQ227" s="12"/>
      <c r="CR227" s="12"/>
      <c r="CS227" s="12"/>
      <c r="CT227" s="12">
        <v>1</v>
      </c>
      <c r="CU227" s="12">
        <v>0</v>
      </c>
      <c r="CV227" s="12">
        <v>0</v>
      </c>
      <c r="CW227" s="12">
        <v>28</v>
      </c>
      <c r="CX227" s="12">
        <v>0</v>
      </c>
      <c r="CY227" s="12">
        <v>58</v>
      </c>
      <c r="CZ227"/>
      <c r="DA227" s="6"/>
      <c r="DB227"/>
      <c r="DC227" s="6"/>
      <c r="DD227" s="6">
        <f t="shared" si="56"/>
        <v>473678</v>
      </c>
      <c r="DE227" s="6">
        <f t="shared" si="57"/>
        <v>219165</v>
      </c>
      <c r="DF227" s="16">
        <f t="shared" si="58"/>
        <v>692843</v>
      </c>
      <c r="DG227"/>
      <c r="DH227" s="191"/>
      <c r="DI227" s="191"/>
      <c r="DJ227" s="191"/>
      <c r="DK227" s="6">
        <f t="shared" si="59"/>
        <v>61838</v>
      </c>
      <c r="DL227" s="6">
        <f t="shared" si="60"/>
        <v>118388</v>
      </c>
      <c r="DM227" s="6">
        <f t="shared" ref="DM227:DM287" si="68">T227</f>
        <v>10526</v>
      </c>
      <c r="DN227" s="6">
        <f t="shared" ref="DN227:DN287" si="69">AG227+AX227+AN227+AP227+AQ227+AR227</f>
        <v>28738</v>
      </c>
      <c r="DO227" s="6">
        <f t="shared" si="51"/>
        <v>338724</v>
      </c>
      <c r="DP227" s="6">
        <f t="shared" si="64"/>
        <v>57817</v>
      </c>
      <c r="DQ227" s="6"/>
      <c r="DR227" s="6">
        <f t="shared" si="52"/>
        <v>17162</v>
      </c>
      <c r="DS227" s="6">
        <f t="shared" si="53"/>
        <v>12599</v>
      </c>
      <c r="DT227" s="6">
        <f t="shared" si="54"/>
        <v>13201</v>
      </c>
      <c r="DU227" s="6"/>
      <c r="DV227" s="6"/>
      <c r="DW227" s="6">
        <f t="shared" si="55"/>
        <v>658993</v>
      </c>
      <c r="DX227"/>
      <c r="DY227" s="6">
        <f t="shared" si="61"/>
        <v>429425</v>
      </c>
      <c r="DZ227" s="6">
        <f t="shared" si="62"/>
        <v>43687</v>
      </c>
      <c r="EA227"/>
      <c r="EB227" s="6">
        <f t="shared" si="63"/>
        <v>736530</v>
      </c>
      <c r="EC227" s="6"/>
      <c r="ED227" s="6"/>
      <c r="EE227"/>
      <c r="EF227" s="23">
        <f t="shared" si="66"/>
        <v>426904</v>
      </c>
      <c r="EG227" s="23">
        <f t="shared" si="65"/>
        <v>214799</v>
      </c>
      <c r="EH227" s="23">
        <f t="shared" si="67"/>
        <v>641703</v>
      </c>
    </row>
    <row r="228" spans="1:163" s="17" customFormat="1">
      <c r="B228" s="13">
        <v>38899</v>
      </c>
      <c r="C228" s="14">
        <v>2</v>
      </c>
      <c r="D228" s="14">
        <v>9</v>
      </c>
      <c r="E228" s="14">
        <v>3320</v>
      </c>
      <c r="F228" s="14">
        <v>0</v>
      </c>
      <c r="G228" s="14">
        <v>410</v>
      </c>
      <c r="H228" s="14">
        <v>12202</v>
      </c>
      <c r="I228" s="14">
        <v>21777</v>
      </c>
      <c r="J228" s="14">
        <v>3238</v>
      </c>
      <c r="K228" s="14">
        <v>6343</v>
      </c>
      <c r="L228" s="14"/>
      <c r="M228" s="14">
        <v>30507</v>
      </c>
      <c r="N228" s="14">
        <v>2441</v>
      </c>
      <c r="O228" s="14"/>
      <c r="P228" s="14">
        <v>1714</v>
      </c>
      <c r="Q228" s="14">
        <v>9202</v>
      </c>
      <c r="R228" s="14">
        <v>487</v>
      </c>
      <c r="S228" s="14">
        <v>8902</v>
      </c>
      <c r="T228" s="14">
        <v>10581</v>
      </c>
      <c r="U228" s="14"/>
      <c r="V228" s="14"/>
      <c r="W228" s="14">
        <v>628</v>
      </c>
      <c r="X228" s="14">
        <v>8068</v>
      </c>
      <c r="Y228" s="14">
        <v>380</v>
      </c>
      <c r="Z228" s="14">
        <v>8</v>
      </c>
      <c r="AA228" s="157"/>
      <c r="AB228" s="14">
        <v>7</v>
      </c>
      <c r="AC228" s="14">
        <v>39</v>
      </c>
      <c r="AD228" s="14">
        <v>13</v>
      </c>
      <c r="AE228" s="14">
        <v>23</v>
      </c>
      <c r="AF228" s="14">
        <v>40</v>
      </c>
      <c r="AG228" s="14">
        <v>56</v>
      </c>
      <c r="AH228" s="14"/>
      <c r="AI228" s="14"/>
      <c r="AJ228" s="14">
        <v>4</v>
      </c>
      <c r="AK228" s="14">
        <v>8915</v>
      </c>
      <c r="AL228" s="14">
        <v>93915</v>
      </c>
      <c r="AM228" s="14">
        <v>3230</v>
      </c>
      <c r="AN228" s="14">
        <v>14467</v>
      </c>
      <c r="AO228" s="14">
        <v>51</v>
      </c>
      <c r="AP228" s="14">
        <v>20</v>
      </c>
      <c r="AQ228" s="14">
        <v>4949</v>
      </c>
      <c r="AR228" s="14">
        <v>0</v>
      </c>
      <c r="AS228" s="14">
        <v>1944</v>
      </c>
      <c r="AT228" s="14">
        <v>0</v>
      </c>
      <c r="AU228" s="14">
        <v>3808</v>
      </c>
      <c r="AV228" s="14">
        <v>2080</v>
      </c>
      <c r="AW228" s="14">
        <v>3602</v>
      </c>
      <c r="AX228" s="14">
        <v>9757</v>
      </c>
      <c r="AY228" s="157"/>
      <c r="AZ228" s="157"/>
      <c r="BA228" s="157">
        <v>326</v>
      </c>
      <c r="BB228" s="157"/>
      <c r="BC228" s="14">
        <v>431</v>
      </c>
      <c r="BD228" s="14"/>
      <c r="BE228" s="14">
        <v>0</v>
      </c>
      <c r="BF228" s="14">
        <v>0</v>
      </c>
      <c r="BG228" s="14">
        <v>1015</v>
      </c>
      <c r="BH228" s="14">
        <v>0</v>
      </c>
      <c r="BI228" s="14">
        <v>0</v>
      </c>
      <c r="BJ228" s="14">
        <v>7956</v>
      </c>
      <c r="BK228" s="14">
        <v>41</v>
      </c>
      <c r="BL228" s="14">
        <v>4121</v>
      </c>
      <c r="BM228" s="14"/>
      <c r="BN228" s="14">
        <v>303</v>
      </c>
      <c r="BO228" s="14">
        <v>32</v>
      </c>
      <c r="BP228" s="14">
        <v>12683</v>
      </c>
      <c r="BQ228" s="14">
        <v>52012</v>
      </c>
      <c r="BR228" s="14">
        <v>715</v>
      </c>
      <c r="BS228" s="14">
        <v>119</v>
      </c>
      <c r="BT228" s="14">
        <v>5597</v>
      </c>
      <c r="BU228" s="14">
        <v>62</v>
      </c>
      <c r="BV228" s="14"/>
      <c r="BW228" s="14">
        <v>1</v>
      </c>
      <c r="BX228" s="14">
        <v>106</v>
      </c>
      <c r="BY228" s="14"/>
      <c r="BZ228" s="14">
        <v>11</v>
      </c>
      <c r="CA228" s="14">
        <v>0</v>
      </c>
      <c r="CB228" s="14">
        <v>20011</v>
      </c>
      <c r="CC228" s="14">
        <v>17356</v>
      </c>
      <c r="CD228" s="14">
        <v>112963</v>
      </c>
      <c r="CE228" s="14">
        <v>181880</v>
      </c>
      <c r="CF228" s="14">
        <v>23533</v>
      </c>
      <c r="CG228" s="14">
        <v>34790</v>
      </c>
      <c r="CH228" s="14">
        <v>0</v>
      </c>
      <c r="CI228" s="14">
        <v>28</v>
      </c>
      <c r="CJ228" s="14">
        <v>3</v>
      </c>
      <c r="CK228" s="14">
        <v>37</v>
      </c>
      <c r="CL228" s="14"/>
      <c r="CM228" s="14"/>
      <c r="CN228" s="14"/>
      <c r="CO228" s="14"/>
      <c r="CP228" s="14"/>
      <c r="CQ228" s="14"/>
      <c r="CR228" s="14"/>
      <c r="CS228" s="14"/>
      <c r="CT228" s="14">
        <v>1</v>
      </c>
      <c r="CU228" s="14">
        <v>0</v>
      </c>
      <c r="CV228" s="14">
        <v>0</v>
      </c>
      <c r="CW228" s="14">
        <v>28</v>
      </c>
      <c r="CX228" s="14">
        <v>0</v>
      </c>
      <c r="CY228" s="14">
        <v>59</v>
      </c>
      <c r="CZ228"/>
      <c r="DA228" s="6"/>
      <c r="DB228"/>
      <c r="DC228" s="6"/>
      <c r="DD228" s="16">
        <f t="shared" si="56"/>
        <v>475375</v>
      </c>
      <c r="DE228" s="6">
        <f t="shared" si="57"/>
        <v>220269</v>
      </c>
      <c r="DF228" s="16">
        <f>SUM(DD228:DE228)</f>
        <v>695644</v>
      </c>
      <c r="DG228" s="15"/>
      <c r="DK228" s="6">
        <f t="shared" si="59"/>
        <v>61949</v>
      </c>
      <c r="DL228" s="6">
        <f t="shared" si="60"/>
        <v>118816</v>
      </c>
      <c r="DM228" s="6">
        <f t="shared" si="68"/>
        <v>10581</v>
      </c>
      <c r="DN228" s="6">
        <f t="shared" si="69"/>
        <v>29249</v>
      </c>
      <c r="DO228" s="6">
        <f t="shared" si="51"/>
        <v>339408</v>
      </c>
      <c r="DP228" s="6">
        <f t="shared" si="64"/>
        <v>57912</v>
      </c>
      <c r="DQ228" s="6"/>
      <c r="DR228" s="6">
        <f t="shared" si="52"/>
        <v>17384</v>
      </c>
      <c r="DS228" s="6">
        <f t="shared" si="53"/>
        <v>12683</v>
      </c>
      <c r="DT228" s="6">
        <f t="shared" si="54"/>
        <v>13198</v>
      </c>
      <c r="DU228" s="6"/>
      <c r="DV228" s="6"/>
      <c r="DW228" s="6">
        <f t="shared" si="55"/>
        <v>661180</v>
      </c>
      <c r="DX228" s="15"/>
      <c r="DY228" s="6">
        <f t="shared" si="61"/>
        <v>430956</v>
      </c>
      <c r="DZ228" s="6">
        <f t="shared" si="62"/>
        <v>43970</v>
      </c>
      <c r="EA228" s="15"/>
      <c r="EB228" s="6">
        <f t="shared" si="63"/>
        <v>739614</v>
      </c>
      <c r="EC228" s="6"/>
      <c r="ED228" s="6"/>
      <c r="EE228" s="15"/>
      <c r="EF228" s="16">
        <f>SUM(BE228:CK228)-CG228-BP228</f>
        <v>427902</v>
      </c>
      <c r="EG228" s="16">
        <f t="shared" si="65"/>
        <v>215646</v>
      </c>
      <c r="EH228" s="16">
        <f>SUM(EF228:EG228)</f>
        <v>643548</v>
      </c>
    </row>
    <row r="229" spans="1:163" s="17" customFormat="1">
      <c r="B229" s="4">
        <v>38930</v>
      </c>
      <c r="C229" s="5">
        <v>2</v>
      </c>
      <c r="D229" s="5">
        <v>9</v>
      </c>
      <c r="E229" s="5">
        <v>4100</v>
      </c>
      <c r="F229" s="5">
        <v>0</v>
      </c>
      <c r="G229" s="5">
        <v>420</v>
      </c>
      <c r="H229" s="5">
        <v>12205</v>
      </c>
      <c r="I229" s="5">
        <v>21756</v>
      </c>
      <c r="J229" s="5">
        <v>3216</v>
      </c>
      <c r="K229" s="5">
        <v>6229</v>
      </c>
      <c r="L229" s="5"/>
      <c r="M229" s="5">
        <v>30413</v>
      </c>
      <c r="N229" s="5">
        <v>2424</v>
      </c>
      <c r="O229" s="5"/>
      <c r="P229" s="5">
        <v>1697</v>
      </c>
      <c r="Q229" s="5">
        <v>9190</v>
      </c>
      <c r="R229" s="5">
        <v>481</v>
      </c>
      <c r="S229" s="5">
        <v>8858</v>
      </c>
      <c r="T229" s="5">
        <v>10556</v>
      </c>
      <c r="U229" s="5"/>
      <c r="V229" s="5"/>
      <c r="W229" s="5">
        <v>621</v>
      </c>
      <c r="X229" s="5">
        <v>8026</v>
      </c>
      <c r="Y229" s="5">
        <v>373</v>
      </c>
      <c r="Z229" s="5">
        <v>8</v>
      </c>
      <c r="AA229" s="155"/>
      <c r="AB229" s="5">
        <v>6</v>
      </c>
      <c r="AC229" s="5">
        <v>38</v>
      </c>
      <c r="AD229" s="5">
        <v>12</v>
      </c>
      <c r="AE229" s="5">
        <v>23</v>
      </c>
      <c r="AF229" s="5">
        <v>39</v>
      </c>
      <c r="AG229" s="5">
        <v>56</v>
      </c>
      <c r="AH229" s="5"/>
      <c r="AI229" s="5"/>
      <c r="AJ229" s="5">
        <v>4</v>
      </c>
      <c r="AK229" s="5">
        <v>8840</v>
      </c>
      <c r="AL229" s="5">
        <v>94018</v>
      </c>
      <c r="AM229" s="5">
        <v>3229</v>
      </c>
      <c r="AN229" s="5">
        <v>14526</v>
      </c>
      <c r="AO229" s="5">
        <v>46</v>
      </c>
      <c r="AP229" s="5">
        <v>20</v>
      </c>
      <c r="AQ229" s="5">
        <v>5154</v>
      </c>
      <c r="AR229" s="5">
        <v>0</v>
      </c>
      <c r="AS229" s="5">
        <v>1949</v>
      </c>
      <c r="AT229" s="5">
        <v>0</v>
      </c>
      <c r="AU229" s="5">
        <v>3827</v>
      </c>
      <c r="AV229" s="5">
        <v>2086</v>
      </c>
      <c r="AW229" s="5">
        <v>3594</v>
      </c>
      <c r="AX229" s="5">
        <v>9772</v>
      </c>
      <c r="AY229" s="155"/>
      <c r="AZ229" s="155"/>
      <c r="BA229" s="155">
        <v>325</v>
      </c>
      <c r="BB229" s="155"/>
      <c r="BC229" s="5">
        <v>433</v>
      </c>
      <c r="BD229" s="5"/>
      <c r="BE229" s="5">
        <v>0</v>
      </c>
      <c r="BF229" s="5">
        <v>0</v>
      </c>
      <c r="BG229" s="5">
        <v>1003</v>
      </c>
      <c r="BH229" s="5">
        <v>0</v>
      </c>
      <c r="BI229" s="5">
        <v>0</v>
      </c>
      <c r="BJ229" s="5">
        <v>7968</v>
      </c>
      <c r="BK229" s="5">
        <v>32</v>
      </c>
      <c r="BL229" s="5">
        <v>4100</v>
      </c>
      <c r="BM229" s="5"/>
      <c r="BN229" s="5">
        <v>262</v>
      </c>
      <c r="BO229" s="5">
        <v>32</v>
      </c>
      <c r="BP229" s="5">
        <v>12684</v>
      </c>
      <c r="BQ229" s="5">
        <v>51705</v>
      </c>
      <c r="BR229" s="5">
        <v>730</v>
      </c>
      <c r="BS229" s="5">
        <v>122</v>
      </c>
      <c r="BT229" s="5">
        <v>5481</v>
      </c>
      <c r="BU229" s="5">
        <v>57</v>
      </c>
      <c r="BV229" s="5"/>
      <c r="BW229" s="5">
        <v>1</v>
      </c>
      <c r="BX229" s="5">
        <v>109</v>
      </c>
      <c r="BY229" s="5"/>
      <c r="BZ229" s="5">
        <v>14</v>
      </c>
      <c r="CA229" s="5">
        <v>0</v>
      </c>
      <c r="CB229" s="5">
        <v>19724</v>
      </c>
      <c r="CC229" s="5">
        <v>17074</v>
      </c>
      <c r="CD229" s="5">
        <v>110942</v>
      </c>
      <c r="CE229" s="5">
        <v>179795</v>
      </c>
      <c r="CF229" s="5">
        <v>23419</v>
      </c>
      <c r="CG229" s="5">
        <v>34635</v>
      </c>
      <c r="CH229" s="5">
        <v>0</v>
      </c>
      <c r="CI229" s="5">
        <v>25</v>
      </c>
      <c r="CJ229" s="5">
        <v>3</v>
      </c>
      <c r="CK229" s="5">
        <v>37</v>
      </c>
      <c r="CL229" s="5"/>
      <c r="CM229" s="5"/>
      <c r="CN229" s="5"/>
      <c r="CO229" s="5"/>
      <c r="CP229" s="5"/>
      <c r="CQ229" s="5"/>
      <c r="CR229" s="5"/>
      <c r="CS229" s="5"/>
      <c r="CT229" s="5">
        <v>1</v>
      </c>
      <c r="CU229" s="5">
        <v>0</v>
      </c>
      <c r="CV229" s="5">
        <v>0</v>
      </c>
      <c r="CW229" s="5">
        <v>27</v>
      </c>
      <c r="CX229" s="5">
        <v>0</v>
      </c>
      <c r="CY229" s="5">
        <v>60</v>
      </c>
      <c r="CZ229"/>
      <c r="DA229" s="6"/>
      <c r="DB229"/>
      <c r="DC229" s="6"/>
      <c r="DD229" s="18">
        <f t="shared" si="56"/>
        <v>469954</v>
      </c>
      <c r="DE229" s="6">
        <f t="shared" si="57"/>
        <v>220319</v>
      </c>
      <c r="DF229" s="18">
        <f t="shared" ref="DF229:DF252" si="70">SUM(DD229:DE229)</f>
        <v>690273</v>
      </c>
      <c r="DK229" s="6">
        <f t="shared" si="59"/>
        <v>61710</v>
      </c>
      <c r="DL229" s="6">
        <f t="shared" si="60"/>
        <v>118850</v>
      </c>
      <c r="DM229" s="6">
        <f t="shared" si="68"/>
        <v>10556</v>
      </c>
      <c r="DN229" s="6">
        <f t="shared" si="69"/>
        <v>29528</v>
      </c>
      <c r="DO229" s="6">
        <f t="shared" si="51"/>
        <v>334908</v>
      </c>
      <c r="DP229" s="6">
        <f t="shared" si="64"/>
        <v>57448</v>
      </c>
      <c r="DQ229" s="6"/>
      <c r="DR229" s="6">
        <f t="shared" si="52"/>
        <v>17099</v>
      </c>
      <c r="DS229" s="6">
        <f t="shared" si="53"/>
        <v>12684</v>
      </c>
      <c r="DT229" s="6">
        <f t="shared" si="54"/>
        <v>13180</v>
      </c>
      <c r="DU229" s="6"/>
      <c r="DV229" s="6"/>
      <c r="DW229" s="6">
        <f t="shared" si="55"/>
        <v>655963</v>
      </c>
      <c r="DY229" s="6">
        <f t="shared" si="61"/>
        <v>426129</v>
      </c>
      <c r="DZ229" s="6">
        <f t="shared" si="62"/>
        <v>43826</v>
      </c>
      <c r="EB229" s="6">
        <f t="shared" si="63"/>
        <v>734099</v>
      </c>
      <c r="EC229" s="6"/>
      <c r="ED229" s="6"/>
      <c r="EF229" s="18">
        <f t="shared" ref="EF229:EF252" si="71">SUM(BE229:CK229)-CG229-BP229</f>
        <v>422635</v>
      </c>
      <c r="EG229" s="18">
        <f t="shared" si="65"/>
        <v>215490</v>
      </c>
      <c r="EH229" s="18">
        <f t="shared" ref="EH229:EH252" si="72">SUM(EF229:EG229)</f>
        <v>638125</v>
      </c>
    </row>
    <row r="230" spans="1:163" s="17" customFormat="1">
      <c r="B230" s="4">
        <v>38961</v>
      </c>
      <c r="C230" s="5">
        <v>2</v>
      </c>
      <c r="D230" s="5">
        <v>14</v>
      </c>
      <c r="E230" s="5">
        <v>4976</v>
      </c>
      <c r="F230" s="5">
        <v>0</v>
      </c>
      <c r="G230" s="5">
        <v>443</v>
      </c>
      <c r="H230" s="5">
        <v>12237</v>
      </c>
      <c r="I230" s="5">
        <v>21603</v>
      </c>
      <c r="J230" s="5">
        <v>3362</v>
      </c>
      <c r="K230" s="5">
        <v>6387</v>
      </c>
      <c r="L230" s="5"/>
      <c r="M230" s="5">
        <v>30387</v>
      </c>
      <c r="N230" s="5">
        <v>2393</v>
      </c>
      <c r="O230" s="5"/>
      <c r="P230" s="5">
        <v>1710</v>
      </c>
      <c r="Q230" s="5">
        <v>9258</v>
      </c>
      <c r="R230" s="5">
        <v>481</v>
      </c>
      <c r="S230" s="5">
        <v>8902</v>
      </c>
      <c r="T230" s="5">
        <v>10555</v>
      </c>
      <c r="U230" s="5"/>
      <c r="V230" s="5"/>
      <c r="W230" s="5">
        <v>612</v>
      </c>
      <c r="X230" s="5">
        <v>7985</v>
      </c>
      <c r="Y230" s="5">
        <v>370</v>
      </c>
      <c r="Z230" s="5">
        <v>8</v>
      </c>
      <c r="AA230" s="155"/>
      <c r="AB230" s="5">
        <v>7</v>
      </c>
      <c r="AC230" s="5">
        <v>40</v>
      </c>
      <c r="AD230" s="5">
        <v>12</v>
      </c>
      <c r="AE230" s="5">
        <v>23</v>
      </c>
      <c r="AF230" s="5">
        <v>40</v>
      </c>
      <c r="AG230" s="5">
        <v>55</v>
      </c>
      <c r="AH230" s="5"/>
      <c r="AI230" s="5"/>
      <c r="AJ230" s="5">
        <v>5</v>
      </c>
      <c r="AK230" s="5">
        <v>8791</v>
      </c>
      <c r="AL230" s="5">
        <v>94255</v>
      </c>
      <c r="AM230" s="5">
        <v>3220</v>
      </c>
      <c r="AN230" s="5">
        <v>14612</v>
      </c>
      <c r="AO230" s="5">
        <v>45</v>
      </c>
      <c r="AP230" s="5">
        <v>21</v>
      </c>
      <c r="AQ230" s="5">
        <v>5379</v>
      </c>
      <c r="AR230" s="5">
        <v>0</v>
      </c>
      <c r="AS230" s="5">
        <v>1969</v>
      </c>
      <c r="AT230" s="5">
        <v>0</v>
      </c>
      <c r="AU230" s="5">
        <v>3852</v>
      </c>
      <c r="AV230" s="5">
        <v>2083</v>
      </c>
      <c r="AW230" s="5">
        <v>3613</v>
      </c>
      <c r="AX230" s="5">
        <v>9823</v>
      </c>
      <c r="AY230" s="155"/>
      <c r="AZ230" s="155"/>
      <c r="BA230" s="155">
        <v>335</v>
      </c>
      <c r="BB230" s="155"/>
      <c r="BC230" s="5">
        <v>423</v>
      </c>
      <c r="BD230" s="5"/>
      <c r="BE230" s="5">
        <v>0</v>
      </c>
      <c r="BF230" s="5">
        <v>0</v>
      </c>
      <c r="BG230" s="5">
        <v>997</v>
      </c>
      <c r="BH230" s="5">
        <v>0</v>
      </c>
      <c r="BI230" s="5">
        <v>0</v>
      </c>
      <c r="BJ230" s="5">
        <v>7946</v>
      </c>
      <c r="BK230" s="5">
        <v>38</v>
      </c>
      <c r="BL230" s="5">
        <v>4071</v>
      </c>
      <c r="BM230" s="5"/>
      <c r="BN230" s="5">
        <v>314</v>
      </c>
      <c r="BO230" s="5">
        <v>34</v>
      </c>
      <c r="BP230" s="5">
        <v>12736</v>
      </c>
      <c r="BQ230" s="5">
        <v>51706</v>
      </c>
      <c r="BR230" s="5">
        <v>757</v>
      </c>
      <c r="BS230" s="5">
        <v>124</v>
      </c>
      <c r="BT230" s="5">
        <v>5339</v>
      </c>
      <c r="BU230" s="5">
        <v>65</v>
      </c>
      <c r="BV230" s="5"/>
      <c r="BW230" s="5">
        <v>1</v>
      </c>
      <c r="BX230" s="5">
        <v>110</v>
      </c>
      <c r="BY230" s="5"/>
      <c r="BZ230" s="5">
        <v>11</v>
      </c>
      <c r="CA230" s="5">
        <v>0</v>
      </c>
      <c r="CB230" s="5">
        <v>19615</v>
      </c>
      <c r="CC230" s="5">
        <v>17559</v>
      </c>
      <c r="CD230" s="5">
        <v>109656</v>
      </c>
      <c r="CE230" s="5">
        <v>177256</v>
      </c>
      <c r="CF230" s="5">
        <v>23796</v>
      </c>
      <c r="CG230" s="5">
        <v>34432</v>
      </c>
      <c r="CH230" s="5">
        <v>0</v>
      </c>
      <c r="CI230" s="5">
        <v>21</v>
      </c>
      <c r="CJ230" s="5">
        <v>4</v>
      </c>
      <c r="CK230" s="5">
        <v>41</v>
      </c>
      <c r="CL230" s="5"/>
      <c r="CM230" s="5"/>
      <c r="CN230" s="5"/>
      <c r="CO230" s="5"/>
      <c r="CP230" s="5"/>
      <c r="CQ230" s="5"/>
      <c r="CR230" s="5"/>
      <c r="CS230" s="5"/>
      <c r="CT230" s="5">
        <v>1</v>
      </c>
      <c r="CU230" s="5">
        <v>0</v>
      </c>
      <c r="CV230" s="5">
        <v>0</v>
      </c>
      <c r="CW230" s="5">
        <v>27</v>
      </c>
      <c r="CX230" s="5">
        <v>0</v>
      </c>
      <c r="CY230" s="5">
        <v>61</v>
      </c>
      <c r="CZ230"/>
      <c r="DA230" s="6"/>
      <c r="DB230"/>
      <c r="DC230" s="6"/>
      <c r="DD230" s="18">
        <f t="shared" si="56"/>
        <v>466629</v>
      </c>
      <c r="DE230" s="6">
        <f t="shared" si="57"/>
        <v>220929</v>
      </c>
      <c r="DF230" s="18">
        <f t="shared" si="70"/>
        <v>687558</v>
      </c>
      <c r="DK230" s="6">
        <f t="shared" si="59"/>
        <v>61728</v>
      </c>
      <c r="DL230" s="6">
        <f t="shared" si="60"/>
        <v>119091</v>
      </c>
      <c r="DM230" s="6">
        <f t="shared" si="68"/>
        <v>10555</v>
      </c>
      <c r="DN230" s="6">
        <f t="shared" si="69"/>
        <v>29890</v>
      </c>
      <c r="DO230" s="6">
        <f t="shared" si="51"/>
        <v>331398</v>
      </c>
      <c r="DP230" s="6">
        <f t="shared" si="64"/>
        <v>57359</v>
      </c>
      <c r="DQ230" s="6"/>
      <c r="DR230" s="6">
        <f t="shared" si="52"/>
        <v>17580</v>
      </c>
      <c r="DS230" s="6">
        <f t="shared" si="53"/>
        <v>12736</v>
      </c>
      <c r="DT230" s="6">
        <f t="shared" si="54"/>
        <v>13124</v>
      </c>
      <c r="DU230" s="6"/>
      <c r="DV230" s="6"/>
      <c r="DW230" s="6">
        <f t="shared" si="55"/>
        <v>653461</v>
      </c>
      <c r="DY230" s="6">
        <f t="shared" si="61"/>
        <v>422543</v>
      </c>
      <c r="DZ230" s="6">
        <f t="shared" si="62"/>
        <v>44032</v>
      </c>
      <c r="EB230" s="6">
        <f t="shared" si="63"/>
        <v>731590</v>
      </c>
      <c r="EC230" s="6"/>
      <c r="ED230" s="6"/>
      <c r="EF230" s="18">
        <f t="shared" si="71"/>
        <v>419461</v>
      </c>
      <c r="EG230" s="18">
        <f t="shared" si="65"/>
        <v>215885</v>
      </c>
      <c r="EH230" s="18">
        <f t="shared" si="72"/>
        <v>635346</v>
      </c>
    </row>
    <row r="231" spans="1:163" s="17" customFormat="1">
      <c r="B231" s="4">
        <v>38991</v>
      </c>
      <c r="C231" s="5">
        <v>1</v>
      </c>
      <c r="D231" s="5">
        <v>15</v>
      </c>
      <c r="E231" s="5">
        <v>5797</v>
      </c>
      <c r="F231" s="5">
        <v>1</v>
      </c>
      <c r="G231" s="5">
        <v>472</v>
      </c>
      <c r="H231" s="5">
        <v>12352</v>
      </c>
      <c r="I231" s="5">
        <v>21649</v>
      </c>
      <c r="J231" s="5">
        <v>3441</v>
      </c>
      <c r="K231" s="5">
        <v>6416</v>
      </c>
      <c r="L231" s="5"/>
      <c r="M231" s="5">
        <v>30337</v>
      </c>
      <c r="N231" s="5">
        <v>2377</v>
      </c>
      <c r="O231" s="5"/>
      <c r="P231" s="5">
        <v>1714</v>
      </c>
      <c r="Q231" s="5">
        <v>9323</v>
      </c>
      <c r="R231" s="5">
        <v>480</v>
      </c>
      <c r="S231" s="5">
        <v>8909</v>
      </c>
      <c r="T231" s="5">
        <v>10534</v>
      </c>
      <c r="U231" s="5"/>
      <c r="V231" s="5"/>
      <c r="W231" s="5">
        <v>600</v>
      </c>
      <c r="X231" s="5">
        <v>7919</v>
      </c>
      <c r="Y231" s="5">
        <v>368</v>
      </c>
      <c r="Z231" s="5">
        <v>7</v>
      </c>
      <c r="AA231" s="155"/>
      <c r="AB231" s="5">
        <v>7</v>
      </c>
      <c r="AC231" s="5">
        <v>41</v>
      </c>
      <c r="AD231" s="5">
        <v>12</v>
      </c>
      <c r="AE231" s="5">
        <v>23</v>
      </c>
      <c r="AF231" s="5">
        <v>40</v>
      </c>
      <c r="AG231" s="5">
        <v>53</v>
      </c>
      <c r="AH231" s="5"/>
      <c r="AI231" s="5"/>
      <c r="AJ231" s="5">
        <v>4</v>
      </c>
      <c r="AK231" s="5">
        <v>8700</v>
      </c>
      <c r="AL231" s="5">
        <v>94656</v>
      </c>
      <c r="AM231" s="5">
        <v>3218</v>
      </c>
      <c r="AN231" s="5">
        <v>14752</v>
      </c>
      <c r="AO231" s="5">
        <v>44</v>
      </c>
      <c r="AP231" s="5">
        <v>22</v>
      </c>
      <c r="AQ231" s="5">
        <v>5566</v>
      </c>
      <c r="AR231" s="5">
        <v>0</v>
      </c>
      <c r="AS231" s="5">
        <v>1966</v>
      </c>
      <c r="AT231" s="5">
        <v>0</v>
      </c>
      <c r="AU231" s="5">
        <v>3899</v>
      </c>
      <c r="AV231" s="5">
        <v>2085</v>
      </c>
      <c r="AW231" s="5">
        <v>3623</v>
      </c>
      <c r="AX231" s="5">
        <v>9902</v>
      </c>
      <c r="AY231" s="155"/>
      <c r="AZ231" s="155"/>
      <c r="BA231" s="155">
        <v>352</v>
      </c>
      <c r="BB231" s="155"/>
      <c r="BC231" s="5">
        <v>428</v>
      </c>
      <c r="BD231" s="5"/>
      <c r="BE231" s="5">
        <v>0</v>
      </c>
      <c r="BF231" s="5">
        <v>0</v>
      </c>
      <c r="BG231" s="5">
        <v>1014</v>
      </c>
      <c r="BH231" s="5">
        <v>0</v>
      </c>
      <c r="BI231" s="5">
        <v>0</v>
      </c>
      <c r="BJ231" s="5">
        <v>7958</v>
      </c>
      <c r="BK231" s="5">
        <v>39</v>
      </c>
      <c r="BL231" s="5">
        <v>4138</v>
      </c>
      <c r="BM231" s="5"/>
      <c r="BN231" s="5">
        <v>329</v>
      </c>
      <c r="BO231" s="5">
        <v>35</v>
      </c>
      <c r="BP231" s="5">
        <v>12680</v>
      </c>
      <c r="BQ231" s="5">
        <v>51515</v>
      </c>
      <c r="BR231" s="5">
        <v>745</v>
      </c>
      <c r="BS231" s="5">
        <v>127</v>
      </c>
      <c r="BT231" s="5">
        <v>5280</v>
      </c>
      <c r="BU231" s="5">
        <v>71</v>
      </c>
      <c r="BV231" s="5"/>
      <c r="BW231" s="5">
        <v>2</v>
      </c>
      <c r="BX231" s="5">
        <v>109</v>
      </c>
      <c r="BY231" s="5"/>
      <c r="BZ231" s="5">
        <v>8</v>
      </c>
      <c r="CA231" s="5">
        <v>0</v>
      </c>
      <c r="CB231" s="5">
        <v>19684</v>
      </c>
      <c r="CC231" s="5">
        <v>17573</v>
      </c>
      <c r="CD231" s="5">
        <v>109228</v>
      </c>
      <c r="CE231" s="5">
        <v>176326</v>
      </c>
      <c r="CF231" s="5">
        <v>23754</v>
      </c>
      <c r="CG231" s="5">
        <v>34555</v>
      </c>
      <c r="CH231" s="5">
        <v>0</v>
      </c>
      <c r="CI231" s="5">
        <v>20</v>
      </c>
      <c r="CJ231" s="5">
        <v>3</v>
      </c>
      <c r="CK231" s="5">
        <v>44</v>
      </c>
      <c r="CL231" s="5"/>
      <c r="CM231" s="5"/>
      <c r="CN231" s="5"/>
      <c r="CO231" s="5"/>
      <c r="CP231" s="5"/>
      <c r="CQ231" s="5"/>
      <c r="CR231" s="5"/>
      <c r="CS231" s="5"/>
      <c r="CT231" s="5">
        <v>1</v>
      </c>
      <c r="CU231" s="5">
        <v>0</v>
      </c>
      <c r="CV231" s="5">
        <v>0</v>
      </c>
      <c r="CW231" s="5">
        <v>27</v>
      </c>
      <c r="CX231" s="5">
        <v>0</v>
      </c>
      <c r="CY231" s="5">
        <v>60</v>
      </c>
      <c r="CZ231"/>
      <c r="DA231" s="6"/>
      <c r="DB231"/>
      <c r="DC231" s="6"/>
      <c r="DD231" s="18">
        <f t="shared" si="56"/>
        <v>465237</v>
      </c>
      <c r="DE231" s="6">
        <f t="shared" si="57"/>
        <v>221609</v>
      </c>
      <c r="DF231" s="18">
        <f t="shared" si="70"/>
        <v>686846</v>
      </c>
      <c r="DK231" s="6">
        <f t="shared" si="59"/>
        <v>61659</v>
      </c>
      <c r="DL231" s="6">
        <f t="shared" si="60"/>
        <v>119473</v>
      </c>
      <c r="DM231" s="6">
        <f t="shared" si="68"/>
        <v>10534</v>
      </c>
      <c r="DN231" s="6">
        <f t="shared" si="69"/>
        <v>30295</v>
      </c>
      <c r="DO231" s="6">
        <f t="shared" si="51"/>
        <v>330066</v>
      </c>
      <c r="DP231" s="6">
        <f t="shared" si="64"/>
        <v>57124</v>
      </c>
      <c r="DQ231" s="6"/>
      <c r="DR231" s="6">
        <f t="shared" si="52"/>
        <v>17593</v>
      </c>
      <c r="DS231" s="6">
        <f t="shared" si="53"/>
        <v>12680</v>
      </c>
      <c r="DT231" s="6">
        <f t="shared" si="54"/>
        <v>13219</v>
      </c>
      <c r="DU231" s="6"/>
      <c r="DV231" s="6"/>
      <c r="DW231" s="6">
        <f t="shared" si="55"/>
        <v>652643</v>
      </c>
      <c r="DY231" s="6">
        <f t="shared" si="61"/>
        <v>421698</v>
      </c>
      <c r="DZ231" s="6">
        <f t="shared" si="62"/>
        <v>44330</v>
      </c>
      <c r="EB231" s="6">
        <f t="shared" si="63"/>
        <v>731176</v>
      </c>
      <c r="EC231" s="6"/>
      <c r="ED231" s="6"/>
      <c r="EF231" s="18">
        <f t="shared" si="71"/>
        <v>418002</v>
      </c>
      <c r="EG231" s="18">
        <f t="shared" si="65"/>
        <v>216395</v>
      </c>
      <c r="EH231" s="18">
        <f t="shared" si="72"/>
        <v>634397</v>
      </c>
    </row>
    <row r="232" spans="1:163" s="17" customFormat="1">
      <c r="B232" s="4">
        <v>39022</v>
      </c>
      <c r="C232" s="5">
        <v>0</v>
      </c>
      <c r="D232" s="5">
        <v>17</v>
      </c>
      <c r="E232" s="5">
        <v>6619</v>
      </c>
      <c r="F232" s="5">
        <v>1</v>
      </c>
      <c r="G232" s="5">
        <v>501</v>
      </c>
      <c r="H232" s="5">
        <v>12467</v>
      </c>
      <c r="I232" s="5">
        <v>21696</v>
      </c>
      <c r="J232" s="5">
        <v>3521</v>
      </c>
      <c r="K232" s="5">
        <v>6446</v>
      </c>
      <c r="L232" s="5"/>
      <c r="M232" s="5">
        <v>30288</v>
      </c>
      <c r="N232" s="5">
        <v>2362</v>
      </c>
      <c r="O232" s="5"/>
      <c r="P232" s="5">
        <v>1719</v>
      </c>
      <c r="Q232" s="5">
        <v>9389</v>
      </c>
      <c r="R232" s="5">
        <v>480</v>
      </c>
      <c r="S232" s="5">
        <v>8917</v>
      </c>
      <c r="T232" s="5">
        <v>10513</v>
      </c>
      <c r="U232" s="5"/>
      <c r="V232" s="5"/>
      <c r="W232" s="5">
        <v>589</v>
      </c>
      <c r="X232" s="5">
        <v>7854</v>
      </c>
      <c r="Y232" s="5">
        <v>366</v>
      </c>
      <c r="Z232" s="5">
        <v>7</v>
      </c>
      <c r="AA232" s="155"/>
      <c r="AB232" s="5">
        <v>8</v>
      </c>
      <c r="AC232" s="5">
        <v>42</v>
      </c>
      <c r="AD232" s="5">
        <v>12</v>
      </c>
      <c r="AE232" s="5">
        <v>23</v>
      </c>
      <c r="AF232" s="5">
        <v>41</v>
      </c>
      <c r="AG232" s="5">
        <v>51</v>
      </c>
      <c r="AH232" s="5"/>
      <c r="AI232" s="5"/>
      <c r="AJ232" s="5">
        <v>4</v>
      </c>
      <c r="AK232" s="5">
        <v>8609</v>
      </c>
      <c r="AL232" s="5">
        <v>95057</v>
      </c>
      <c r="AM232" s="5">
        <v>3216</v>
      </c>
      <c r="AN232" s="5">
        <v>14892</v>
      </c>
      <c r="AO232" s="5">
        <v>43</v>
      </c>
      <c r="AP232" s="5">
        <v>24</v>
      </c>
      <c r="AQ232" s="5">
        <v>5753</v>
      </c>
      <c r="AR232" s="5">
        <v>0</v>
      </c>
      <c r="AS232" s="5">
        <v>1963</v>
      </c>
      <c r="AT232" s="5">
        <v>0</v>
      </c>
      <c r="AU232" s="5">
        <v>3947</v>
      </c>
      <c r="AV232" s="5">
        <v>2088</v>
      </c>
      <c r="AW232" s="5">
        <v>3634</v>
      </c>
      <c r="AX232" s="5">
        <v>9981</v>
      </c>
      <c r="AY232" s="155"/>
      <c r="AZ232" s="155"/>
      <c r="BA232" s="155">
        <v>369</v>
      </c>
      <c r="BB232" s="155"/>
      <c r="BC232" s="5">
        <v>434</v>
      </c>
      <c r="BD232" s="5"/>
      <c r="BE232" s="5">
        <v>0</v>
      </c>
      <c r="BF232" s="5">
        <v>0</v>
      </c>
      <c r="BG232" s="5">
        <v>1031</v>
      </c>
      <c r="BH232" s="5">
        <v>0</v>
      </c>
      <c r="BI232" s="5">
        <v>0</v>
      </c>
      <c r="BJ232" s="5">
        <v>7970</v>
      </c>
      <c r="BK232" s="5">
        <v>40</v>
      </c>
      <c r="BL232" s="5">
        <v>4206</v>
      </c>
      <c r="BM232" s="5"/>
      <c r="BN232" s="5">
        <v>344</v>
      </c>
      <c r="BO232" s="5">
        <v>37</v>
      </c>
      <c r="BP232" s="5">
        <v>12624</v>
      </c>
      <c r="BQ232" s="5">
        <v>51325</v>
      </c>
      <c r="BR232" s="5">
        <v>734</v>
      </c>
      <c r="BS232" s="5">
        <v>130</v>
      </c>
      <c r="BT232" s="5">
        <v>5221</v>
      </c>
      <c r="BU232" s="5">
        <v>77</v>
      </c>
      <c r="BV232" s="5"/>
      <c r="BW232" s="5">
        <v>3</v>
      </c>
      <c r="BX232" s="5">
        <v>109</v>
      </c>
      <c r="BY232" s="5"/>
      <c r="BZ232" s="5">
        <v>6</v>
      </c>
      <c r="CA232" s="5">
        <v>0</v>
      </c>
      <c r="CB232" s="5">
        <v>19753</v>
      </c>
      <c r="CC232" s="5">
        <v>17587</v>
      </c>
      <c r="CD232" s="5">
        <v>108800</v>
      </c>
      <c r="CE232" s="5">
        <v>175396</v>
      </c>
      <c r="CF232" s="5">
        <v>23712</v>
      </c>
      <c r="CG232" s="5">
        <v>34678</v>
      </c>
      <c r="CH232" s="5">
        <v>0</v>
      </c>
      <c r="CI232" s="5">
        <v>20</v>
      </c>
      <c r="CJ232" s="5">
        <v>3</v>
      </c>
      <c r="CK232" s="5">
        <v>48</v>
      </c>
      <c r="CL232" s="5"/>
      <c r="CM232" s="5"/>
      <c r="CN232" s="5"/>
      <c r="CO232" s="5"/>
      <c r="CP232" s="5"/>
      <c r="CQ232" s="5"/>
      <c r="CR232" s="5"/>
      <c r="CS232" s="5"/>
      <c r="CT232" s="5">
        <v>1</v>
      </c>
      <c r="CU232" s="5">
        <v>0</v>
      </c>
      <c r="CV232" s="5">
        <v>0</v>
      </c>
      <c r="CW232" s="5">
        <v>27</v>
      </c>
      <c r="CX232" s="5">
        <v>0</v>
      </c>
      <c r="CY232" s="5">
        <v>60</v>
      </c>
      <c r="CZ232"/>
      <c r="DA232" s="6"/>
      <c r="DB232"/>
      <c r="DC232" s="6"/>
      <c r="DD232" s="18">
        <f t="shared" si="56"/>
        <v>463854</v>
      </c>
      <c r="DE232" s="6">
        <f t="shared" si="57"/>
        <v>222306</v>
      </c>
      <c r="DF232" s="18">
        <f t="shared" si="70"/>
        <v>686160</v>
      </c>
      <c r="DK232" s="6">
        <f t="shared" si="59"/>
        <v>61598</v>
      </c>
      <c r="DL232" s="6">
        <f t="shared" si="60"/>
        <v>119863</v>
      </c>
      <c r="DM232" s="6">
        <f t="shared" si="68"/>
        <v>10513</v>
      </c>
      <c r="DN232" s="6">
        <f t="shared" si="69"/>
        <v>30701</v>
      </c>
      <c r="DO232" s="6">
        <f t="shared" si="51"/>
        <v>328739</v>
      </c>
      <c r="DP232" s="6">
        <f t="shared" si="64"/>
        <v>56890</v>
      </c>
      <c r="DQ232" s="6"/>
      <c r="DR232" s="6">
        <f t="shared" si="52"/>
        <v>17607</v>
      </c>
      <c r="DS232" s="6">
        <f t="shared" si="53"/>
        <v>12624</v>
      </c>
      <c r="DT232" s="6">
        <f t="shared" si="54"/>
        <v>13316</v>
      </c>
      <c r="DU232" s="6"/>
      <c r="DV232" s="6"/>
      <c r="DW232" s="6">
        <f t="shared" si="55"/>
        <v>651851</v>
      </c>
      <c r="DY232" s="6">
        <f t="shared" si="61"/>
        <v>420863</v>
      </c>
      <c r="DZ232" s="6">
        <f t="shared" si="62"/>
        <v>44631</v>
      </c>
      <c r="EB232" s="6">
        <f t="shared" si="63"/>
        <v>730791</v>
      </c>
      <c r="EC232" s="6"/>
      <c r="ED232" s="6"/>
      <c r="EF232" s="18">
        <f t="shared" si="71"/>
        <v>416552</v>
      </c>
      <c r="EG232" s="18">
        <f t="shared" si="65"/>
        <v>216922</v>
      </c>
      <c r="EH232" s="18">
        <f t="shared" si="72"/>
        <v>633474</v>
      </c>
    </row>
    <row r="233" spans="1:163" s="17" customFormat="1">
      <c r="B233" s="4">
        <v>39052</v>
      </c>
      <c r="C233" s="5">
        <v>0</v>
      </c>
      <c r="D233" s="5">
        <v>13</v>
      </c>
      <c r="E233" s="5">
        <v>6043</v>
      </c>
      <c r="F233" s="5">
        <v>2</v>
      </c>
      <c r="G233" s="5">
        <v>533</v>
      </c>
      <c r="H233" s="5">
        <v>12484</v>
      </c>
      <c r="I233" s="5">
        <v>21955</v>
      </c>
      <c r="J233" s="5">
        <v>3624</v>
      </c>
      <c r="K233" s="5">
        <v>6554</v>
      </c>
      <c r="L233" s="5"/>
      <c r="M233" s="5">
        <v>30133</v>
      </c>
      <c r="N233" s="5">
        <v>2349</v>
      </c>
      <c r="O233" s="5"/>
      <c r="P233" s="5">
        <v>1676</v>
      </c>
      <c r="Q233" s="5">
        <v>9332</v>
      </c>
      <c r="R233" s="5">
        <v>475</v>
      </c>
      <c r="S233" s="5">
        <v>8839</v>
      </c>
      <c r="T233" s="5">
        <v>10499</v>
      </c>
      <c r="U233" s="5"/>
      <c r="V233" s="5"/>
      <c r="W233" s="5">
        <v>587</v>
      </c>
      <c r="X233" s="5">
        <v>7810</v>
      </c>
      <c r="Y233" s="5">
        <v>368</v>
      </c>
      <c r="Z233" s="5">
        <v>7</v>
      </c>
      <c r="AA233" s="155"/>
      <c r="AB233" s="5">
        <v>7</v>
      </c>
      <c r="AC233" s="5">
        <v>42</v>
      </c>
      <c r="AD233" s="5">
        <v>13</v>
      </c>
      <c r="AE233" s="5">
        <v>23</v>
      </c>
      <c r="AF233" s="5">
        <v>40</v>
      </c>
      <c r="AG233" s="5">
        <v>53</v>
      </c>
      <c r="AH233" s="5"/>
      <c r="AI233" s="5"/>
      <c r="AJ233" s="5">
        <v>4</v>
      </c>
      <c r="AK233" s="5">
        <v>8550</v>
      </c>
      <c r="AL233" s="5">
        <v>95117</v>
      </c>
      <c r="AM233" s="5">
        <v>3222</v>
      </c>
      <c r="AN233" s="5">
        <v>14953</v>
      </c>
      <c r="AO233" s="5">
        <v>39</v>
      </c>
      <c r="AP233" s="5">
        <v>27</v>
      </c>
      <c r="AQ233" s="5">
        <v>5992</v>
      </c>
      <c r="AR233" s="5">
        <v>0</v>
      </c>
      <c r="AS233" s="5">
        <v>1915</v>
      </c>
      <c r="AT233" s="5">
        <v>0</v>
      </c>
      <c r="AU233" s="5">
        <v>3948</v>
      </c>
      <c r="AV233" s="5">
        <v>2083</v>
      </c>
      <c r="AW233" s="5">
        <v>3617</v>
      </c>
      <c r="AX233" s="5">
        <v>10073</v>
      </c>
      <c r="AY233" s="155"/>
      <c r="AZ233" s="155"/>
      <c r="BA233" s="155">
        <v>374</v>
      </c>
      <c r="BB233" s="155"/>
      <c r="BC233" s="5">
        <v>419</v>
      </c>
      <c r="BD233" s="5"/>
      <c r="BE233" s="5">
        <v>0</v>
      </c>
      <c r="BF233" s="5">
        <v>0</v>
      </c>
      <c r="BG233" s="5">
        <v>1039</v>
      </c>
      <c r="BH233" s="5">
        <v>0</v>
      </c>
      <c r="BI233" s="5">
        <v>0</v>
      </c>
      <c r="BJ233" s="5">
        <v>7986</v>
      </c>
      <c r="BK233" s="5">
        <v>37</v>
      </c>
      <c r="BL233" s="5">
        <v>4182</v>
      </c>
      <c r="BM233" s="5"/>
      <c r="BN233" s="5">
        <v>330</v>
      </c>
      <c r="BO233" s="5">
        <v>37</v>
      </c>
      <c r="BP233" s="5">
        <v>11960</v>
      </c>
      <c r="BQ233" s="5">
        <v>50764</v>
      </c>
      <c r="BR233" s="5">
        <v>705</v>
      </c>
      <c r="BS233" s="5">
        <v>135</v>
      </c>
      <c r="BT233" s="5">
        <v>5093</v>
      </c>
      <c r="BU233" s="5">
        <v>73</v>
      </c>
      <c r="BV233" s="5"/>
      <c r="BW233" s="5">
        <v>2</v>
      </c>
      <c r="BX233" s="5">
        <v>110</v>
      </c>
      <c r="BY233" s="5"/>
      <c r="BZ233" s="5">
        <v>3</v>
      </c>
      <c r="CA233" s="5">
        <v>0</v>
      </c>
      <c r="CB233" s="5">
        <v>19794</v>
      </c>
      <c r="CC233" s="5">
        <v>16933</v>
      </c>
      <c r="CD233" s="5">
        <v>108361</v>
      </c>
      <c r="CE233" s="5">
        <v>174633</v>
      </c>
      <c r="CF233" s="5">
        <v>23768</v>
      </c>
      <c r="CG233" s="5">
        <v>35019</v>
      </c>
      <c r="CH233" s="5">
        <v>0</v>
      </c>
      <c r="CI233" s="5">
        <v>20</v>
      </c>
      <c r="CJ233" s="5">
        <v>2</v>
      </c>
      <c r="CK233" s="5">
        <v>43</v>
      </c>
      <c r="CL233" s="5"/>
      <c r="CM233" s="5"/>
      <c r="CN233" s="5"/>
      <c r="CO233" s="5"/>
      <c r="CP233" s="5"/>
      <c r="CQ233" s="5"/>
      <c r="CR233" s="5"/>
      <c r="CS233" s="5"/>
      <c r="CT233" s="5">
        <v>1</v>
      </c>
      <c r="CU233" s="5">
        <v>0</v>
      </c>
      <c r="CV233" s="5">
        <v>0</v>
      </c>
      <c r="CW233" s="5">
        <v>27</v>
      </c>
      <c r="CX233" s="5">
        <v>0</v>
      </c>
      <c r="CY233" s="5">
        <v>60</v>
      </c>
      <c r="CZ233"/>
      <c r="DA233" s="6"/>
      <c r="DB233"/>
      <c r="DC233" s="6"/>
      <c r="DD233" s="18">
        <f t="shared" si="56"/>
        <v>461029</v>
      </c>
      <c r="DE233" s="6">
        <f t="shared" si="57"/>
        <v>222212</v>
      </c>
      <c r="DF233" s="18">
        <f t="shared" si="70"/>
        <v>683241</v>
      </c>
      <c r="DK233" s="6">
        <f t="shared" si="59"/>
        <v>61201</v>
      </c>
      <c r="DL233" s="6">
        <f t="shared" si="60"/>
        <v>119788</v>
      </c>
      <c r="DM233" s="6">
        <f t="shared" si="68"/>
        <v>10499</v>
      </c>
      <c r="DN233" s="6">
        <f t="shared" si="69"/>
        <v>31098</v>
      </c>
      <c r="DO233" s="6">
        <f t="shared" si="51"/>
        <v>327593</v>
      </c>
      <c r="DP233" s="6">
        <f t="shared" si="64"/>
        <v>56187</v>
      </c>
      <c r="DQ233" s="6"/>
      <c r="DR233" s="6">
        <f t="shared" si="52"/>
        <v>16953</v>
      </c>
      <c r="DS233" s="6">
        <f t="shared" si="53"/>
        <v>11960</v>
      </c>
      <c r="DT233" s="6">
        <f t="shared" si="54"/>
        <v>13317</v>
      </c>
      <c r="DU233" s="6"/>
      <c r="DV233" s="6"/>
      <c r="DW233" s="6">
        <f t="shared" si="55"/>
        <v>648596</v>
      </c>
      <c r="DY233" s="6">
        <f t="shared" si="61"/>
        <v>420546</v>
      </c>
      <c r="DZ233" s="6">
        <f t="shared" si="62"/>
        <v>45150</v>
      </c>
      <c r="EB233" s="6">
        <f t="shared" si="63"/>
        <v>728391</v>
      </c>
      <c r="EC233" s="6"/>
      <c r="ED233" s="6"/>
      <c r="EF233" s="18">
        <f t="shared" si="71"/>
        <v>414050</v>
      </c>
      <c r="EG233" s="18">
        <f t="shared" si="65"/>
        <v>216594</v>
      </c>
      <c r="EH233" s="18">
        <f t="shared" si="72"/>
        <v>630644</v>
      </c>
    </row>
    <row r="234" spans="1:163" s="22" customFormat="1">
      <c r="A234" s="17"/>
      <c r="B234" s="4">
        <v>39083</v>
      </c>
      <c r="C234" s="5">
        <v>0</v>
      </c>
      <c r="D234" s="5">
        <v>9</v>
      </c>
      <c r="E234" s="5">
        <v>5214</v>
      </c>
      <c r="F234" s="5">
        <v>2</v>
      </c>
      <c r="G234" s="5">
        <v>642</v>
      </c>
      <c r="H234" s="5">
        <v>12909</v>
      </c>
      <c r="I234" s="5">
        <v>22364</v>
      </c>
      <c r="J234" s="5">
        <v>3731</v>
      </c>
      <c r="K234" s="5">
        <v>6678</v>
      </c>
      <c r="L234" s="5"/>
      <c r="M234" s="5">
        <v>30066</v>
      </c>
      <c r="N234" s="5">
        <v>2329</v>
      </c>
      <c r="O234" s="5"/>
      <c r="P234" s="5">
        <v>1677</v>
      </c>
      <c r="Q234" s="5">
        <v>9278</v>
      </c>
      <c r="R234" s="5">
        <v>472</v>
      </c>
      <c r="S234" s="5">
        <v>8746</v>
      </c>
      <c r="T234" s="5">
        <v>10571</v>
      </c>
      <c r="U234" s="5"/>
      <c r="V234" s="5"/>
      <c r="W234" s="5">
        <v>592</v>
      </c>
      <c r="X234" s="5">
        <v>7796</v>
      </c>
      <c r="Y234" s="5">
        <v>365</v>
      </c>
      <c r="Z234" s="5">
        <v>7</v>
      </c>
      <c r="AA234" s="155"/>
      <c r="AB234" s="5">
        <v>8</v>
      </c>
      <c r="AC234" s="5">
        <v>46</v>
      </c>
      <c r="AD234" s="5">
        <v>12</v>
      </c>
      <c r="AE234" s="5">
        <v>24</v>
      </c>
      <c r="AF234" s="5">
        <v>39</v>
      </c>
      <c r="AG234" s="5">
        <v>55</v>
      </c>
      <c r="AH234" s="5"/>
      <c r="AI234" s="5"/>
      <c r="AJ234" s="5">
        <v>4</v>
      </c>
      <c r="AK234" s="5">
        <v>8481</v>
      </c>
      <c r="AL234" s="5">
        <v>94946</v>
      </c>
      <c r="AM234" s="5">
        <v>3206</v>
      </c>
      <c r="AN234" s="5">
        <v>14995</v>
      </c>
      <c r="AO234" s="5">
        <v>40</v>
      </c>
      <c r="AP234" s="5">
        <v>27</v>
      </c>
      <c r="AQ234" s="5">
        <v>5611</v>
      </c>
      <c r="AR234" s="5">
        <v>0</v>
      </c>
      <c r="AS234" s="5">
        <v>1996</v>
      </c>
      <c r="AT234" s="5">
        <v>0</v>
      </c>
      <c r="AU234" s="5">
        <v>3982</v>
      </c>
      <c r="AV234" s="5">
        <v>2081</v>
      </c>
      <c r="AW234" s="5">
        <v>3615</v>
      </c>
      <c r="AX234" s="5">
        <v>10127</v>
      </c>
      <c r="AY234" s="155"/>
      <c r="AZ234" s="155"/>
      <c r="BA234" s="155">
        <v>396</v>
      </c>
      <c r="BB234" s="155"/>
      <c r="BC234" s="5">
        <v>419</v>
      </c>
      <c r="BD234" s="5"/>
      <c r="BE234" s="5">
        <v>0</v>
      </c>
      <c r="BF234" s="5">
        <v>0</v>
      </c>
      <c r="BG234" s="5">
        <v>1045</v>
      </c>
      <c r="BH234" s="5">
        <v>0</v>
      </c>
      <c r="BI234" s="5">
        <v>0</v>
      </c>
      <c r="BJ234" s="5">
        <v>8040</v>
      </c>
      <c r="BK234" s="5">
        <v>36</v>
      </c>
      <c r="BL234" s="5">
        <v>4174</v>
      </c>
      <c r="BM234" s="5"/>
      <c r="BN234" s="5">
        <v>368</v>
      </c>
      <c r="BO234" s="5">
        <v>38</v>
      </c>
      <c r="BP234" s="5">
        <v>11700</v>
      </c>
      <c r="BQ234" s="5">
        <v>50685</v>
      </c>
      <c r="BR234" s="5">
        <v>736</v>
      </c>
      <c r="BS234" s="5">
        <v>138</v>
      </c>
      <c r="BT234" s="5">
        <v>5080</v>
      </c>
      <c r="BU234" s="5">
        <v>69</v>
      </c>
      <c r="BV234" s="5"/>
      <c r="BW234" s="5">
        <v>1</v>
      </c>
      <c r="BX234" s="5">
        <v>114</v>
      </c>
      <c r="BY234" s="5"/>
      <c r="BZ234" s="5">
        <v>3</v>
      </c>
      <c r="CA234" s="5">
        <v>0</v>
      </c>
      <c r="CB234" s="5">
        <v>19974</v>
      </c>
      <c r="CC234" s="5">
        <v>17935</v>
      </c>
      <c r="CD234" s="5">
        <v>107971</v>
      </c>
      <c r="CE234" s="5">
        <v>173108</v>
      </c>
      <c r="CF234" s="5">
        <v>24151</v>
      </c>
      <c r="CG234" s="5">
        <v>35166</v>
      </c>
      <c r="CH234" s="5">
        <v>0</v>
      </c>
      <c r="CI234" s="5">
        <v>20</v>
      </c>
      <c r="CJ234" s="5">
        <v>2</v>
      </c>
      <c r="CK234" s="5">
        <v>51</v>
      </c>
      <c r="CL234" s="5"/>
      <c r="CM234" s="5"/>
      <c r="CN234" s="5"/>
      <c r="CO234" s="5"/>
      <c r="CP234" s="5"/>
      <c r="CQ234" s="5"/>
      <c r="CR234" s="5"/>
      <c r="CS234" s="5"/>
      <c r="CT234" s="5">
        <v>1</v>
      </c>
      <c r="CU234" s="5">
        <v>0</v>
      </c>
      <c r="CV234" s="5">
        <v>0</v>
      </c>
      <c r="CW234" s="5">
        <v>27</v>
      </c>
      <c r="CX234" s="5">
        <v>0</v>
      </c>
      <c r="CY234" s="5">
        <v>62</v>
      </c>
      <c r="CZ234"/>
      <c r="DA234" s="6"/>
      <c r="DB234"/>
      <c r="DC234" s="6"/>
      <c r="DD234" s="18">
        <f t="shared" si="56"/>
        <v>460605</v>
      </c>
      <c r="DE234" s="6">
        <f t="shared" si="57"/>
        <v>221613</v>
      </c>
      <c r="DF234" s="18">
        <f t="shared" si="70"/>
        <v>682218</v>
      </c>
      <c r="DG234" s="17"/>
      <c r="DH234" s="17"/>
      <c r="DI234" s="17"/>
      <c r="DJ234" s="17"/>
      <c r="DK234" s="6">
        <f t="shared" si="59"/>
        <v>60956</v>
      </c>
      <c r="DL234" s="6">
        <f t="shared" si="60"/>
        <v>119667</v>
      </c>
      <c r="DM234" s="6">
        <f t="shared" si="68"/>
        <v>10571</v>
      </c>
      <c r="DN234" s="6">
        <f t="shared" si="69"/>
        <v>30815</v>
      </c>
      <c r="DO234" s="6">
        <f t="shared" si="51"/>
        <v>326278</v>
      </c>
      <c r="DP234" s="6">
        <f t="shared" si="64"/>
        <v>56133</v>
      </c>
      <c r="DQ234" s="6"/>
      <c r="DR234" s="6">
        <f t="shared" si="52"/>
        <v>17955</v>
      </c>
      <c r="DS234" s="6">
        <f t="shared" si="53"/>
        <v>11700</v>
      </c>
      <c r="DT234" s="6">
        <f t="shared" si="54"/>
        <v>13373</v>
      </c>
      <c r="DU234" s="6"/>
      <c r="DV234" s="6"/>
      <c r="DW234" s="6">
        <f t="shared" si="55"/>
        <v>647448</v>
      </c>
      <c r="DX234" s="17"/>
      <c r="DY234" s="6">
        <f t="shared" si="61"/>
        <v>420499</v>
      </c>
      <c r="DZ234" s="6">
        <f t="shared" si="62"/>
        <v>46324</v>
      </c>
      <c r="EA234" s="17"/>
      <c r="EB234" s="6">
        <f t="shared" si="63"/>
        <v>728542</v>
      </c>
      <c r="EC234" s="6"/>
      <c r="ED234" s="6"/>
      <c r="EE234" s="17"/>
      <c r="EF234" s="18">
        <f t="shared" si="71"/>
        <v>413739</v>
      </c>
      <c r="EG234" s="18">
        <f t="shared" si="65"/>
        <v>216398</v>
      </c>
      <c r="EH234" s="18">
        <f t="shared" si="72"/>
        <v>630137</v>
      </c>
    </row>
    <row r="235" spans="1:163">
      <c r="B235" s="4">
        <v>39114</v>
      </c>
      <c r="C235" s="5">
        <v>0</v>
      </c>
      <c r="D235" s="5">
        <v>6</v>
      </c>
      <c r="E235" s="5">
        <v>3849</v>
      </c>
      <c r="F235" s="5">
        <v>0</v>
      </c>
      <c r="G235" s="5">
        <v>644</v>
      </c>
      <c r="H235" s="5">
        <v>12821</v>
      </c>
      <c r="I235" s="5">
        <v>22868</v>
      </c>
      <c r="J235" s="5">
        <v>3778</v>
      </c>
      <c r="K235" s="5">
        <v>6888</v>
      </c>
      <c r="L235" s="5"/>
      <c r="M235" s="5">
        <v>29962</v>
      </c>
      <c r="N235" s="5">
        <v>2315</v>
      </c>
      <c r="O235" s="5"/>
      <c r="P235" s="5">
        <v>1656</v>
      </c>
      <c r="Q235" s="5">
        <v>9237</v>
      </c>
      <c r="R235" s="5">
        <v>466</v>
      </c>
      <c r="S235" s="5">
        <v>8637</v>
      </c>
      <c r="T235" s="5">
        <v>10594</v>
      </c>
      <c r="U235" s="5"/>
      <c r="V235" s="5"/>
      <c r="W235" s="5">
        <v>574</v>
      </c>
      <c r="X235" s="5">
        <v>7797</v>
      </c>
      <c r="Y235" s="5">
        <v>365</v>
      </c>
      <c r="Z235" s="5">
        <v>6</v>
      </c>
      <c r="AA235" s="155"/>
      <c r="AB235" s="5">
        <v>6</v>
      </c>
      <c r="AC235" s="5">
        <v>43</v>
      </c>
      <c r="AD235" s="5">
        <v>13</v>
      </c>
      <c r="AE235" s="5">
        <v>25</v>
      </c>
      <c r="AF235" s="5">
        <v>41</v>
      </c>
      <c r="AG235" s="5">
        <v>55</v>
      </c>
      <c r="AH235" s="5"/>
      <c r="AI235" s="5"/>
      <c r="AJ235" s="5">
        <v>4</v>
      </c>
      <c r="AK235" s="5">
        <v>8550</v>
      </c>
      <c r="AL235" s="5">
        <v>95433</v>
      </c>
      <c r="AM235" s="5">
        <v>3209</v>
      </c>
      <c r="AN235" s="5">
        <v>15128</v>
      </c>
      <c r="AO235" s="5">
        <v>38</v>
      </c>
      <c r="AP235" s="5">
        <v>31</v>
      </c>
      <c r="AQ235" s="5">
        <v>2571</v>
      </c>
      <c r="AR235" s="5">
        <v>0</v>
      </c>
      <c r="AS235" s="5">
        <v>1886</v>
      </c>
      <c r="AT235" s="5">
        <v>0</v>
      </c>
      <c r="AU235" s="5">
        <v>4015</v>
      </c>
      <c r="AV235" s="5">
        <v>2079</v>
      </c>
      <c r="AW235" s="5">
        <v>3628</v>
      </c>
      <c r="AX235" s="5">
        <v>10258</v>
      </c>
      <c r="AY235" s="155"/>
      <c r="AZ235" s="155"/>
      <c r="BA235" s="155">
        <v>404</v>
      </c>
      <c r="BB235" s="155"/>
      <c r="BC235" s="5">
        <v>388</v>
      </c>
      <c r="BD235" s="5"/>
      <c r="BE235" s="5">
        <v>0</v>
      </c>
      <c r="BF235" s="5">
        <v>0</v>
      </c>
      <c r="BG235" s="5">
        <v>1045</v>
      </c>
      <c r="BH235" s="5">
        <v>0</v>
      </c>
      <c r="BI235" s="5">
        <v>0</v>
      </c>
      <c r="BJ235" s="5">
        <v>8115</v>
      </c>
      <c r="BK235" s="5">
        <v>32</v>
      </c>
      <c r="BL235" s="5">
        <v>4166</v>
      </c>
      <c r="BM235" s="5"/>
      <c r="BN235" s="5">
        <v>273</v>
      </c>
      <c r="BO235" s="5">
        <v>36</v>
      </c>
      <c r="BP235" s="5">
        <v>10818</v>
      </c>
      <c r="BQ235" s="5">
        <v>50742</v>
      </c>
      <c r="BR235" s="5">
        <v>701</v>
      </c>
      <c r="BS235" s="5">
        <v>134</v>
      </c>
      <c r="BT235" s="5">
        <v>4995</v>
      </c>
      <c r="BU235" s="5">
        <v>72</v>
      </c>
      <c r="BV235" s="5"/>
      <c r="BW235" s="5">
        <v>1</v>
      </c>
      <c r="BX235" s="5">
        <v>112</v>
      </c>
      <c r="BY235" s="5"/>
      <c r="BZ235" s="5">
        <v>3</v>
      </c>
      <c r="CA235" s="5">
        <v>0</v>
      </c>
      <c r="CB235" s="5">
        <v>19851</v>
      </c>
      <c r="CC235" s="5">
        <v>15987</v>
      </c>
      <c r="CD235" s="5">
        <v>109390</v>
      </c>
      <c r="CE235" s="5">
        <v>174664</v>
      </c>
      <c r="CF235" s="5">
        <v>23150</v>
      </c>
      <c r="CG235" s="5">
        <v>35604</v>
      </c>
      <c r="CH235" s="5">
        <v>0</v>
      </c>
      <c r="CI235" s="5">
        <v>25</v>
      </c>
      <c r="CJ235" s="5">
        <v>3</v>
      </c>
      <c r="CK235" s="5">
        <v>35</v>
      </c>
      <c r="CL235" s="5"/>
      <c r="CM235" s="5"/>
      <c r="CN235" s="5"/>
      <c r="CO235" s="5"/>
      <c r="CP235" s="5"/>
      <c r="CQ235" s="5"/>
      <c r="CR235" s="5"/>
      <c r="CS235" s="5"/>
      <c r="CT235" s="5">
        <v>1</v>
      </c>
      <c r="CU235" s="5">
        <v>0</v>
      </c>
      <c r="CV235" s="5">
        <v>0</v>
      </c>
      <c r="CW235" s="5">
        <v>27</v>
      </c>
      <c r="CX235" s="5">
        <v>0</v>
      </c>
      <c r="CY235" s="5">
        <v>61</v>
      </c>
      <c r="DA235" s="6"/>
      <c r="DC235" s="6"/>
      <c r="DD235" s="18">
        <f t="shared" si="56"/>
        <v>459954</v>
      </c>
      <c r="DE235" s="6">
        <f t="shared" si="57"/>
        <v>219010</v>
      </c>
      <c r="DF235" s="18">
        <f t="shared" si="70"/>
        <v>678964</v>
      </c>
      <c r="DG235" s="17"/>
      <c r="DH235" s="17"/>
      <c r="DI235" s="17"/>
      <c r="DJ235" s="17"/>
      <c r="DK235" s="6">
        <f t="shared" si="59"/>
        <v>60644</v>
      </c>
      <c r="DL235" s="6">
        <f t="shared" si="60"/>
        <v>120133</v>
      </c>
      <c r="DM235" s="6">
        <f t="shared" si="68"/>
        <v>10594</v>
      </c>
      <c r="DN235" s="6">
        <f t="shared" si="69"/>
        <v>28043</v>
      </c>
      <c r="DO235" s="6">
        <f t="shared" si="51"/>
        <v>328072</v>
      </c>
      <c r="DP235" s="6">
        <f t="shared" si="64"/>
        <v>56010</v>
      </c>
      <c r="DQ235" s="6"/>
      <c r="DR235" s="6">
        <f t="shared" si="52"/>
        <v>16012</v>
      </c>
      <c r="DS235" s="6">
        <f t="shared" si="53"/>
        <v>10818</v>
      </c>
      <c r="DT235" s="6">
        <f t="shared" si="54"/>
        <v>13438</v>
      </c>
      <c r="DU235" s="6"/>
      <c r="DV235" s="6"/>
      <c r="DW235" s="6">
        <f t="shared" si="55"/>
        <v>643764</v>
      </c>
      <c r="DX235" s="17"/>
      <c r="DY235" s="6">
        <f t="shared" si="61"/>
        <v>423469</v>
      </c>
      <c r="DZ235" s="6">
        <f t="shared" si="62"/>
        <v>46999</v>
      </c>
      <c r="EA235" s="17"/>
      <c r="EB235" s="6">
        <f t="shared" si="63"/>
        <v>725963</v>
      </c>
      <c r="EC235" s="6"/>
      <c r="ED235" s="6"/>
      <c r="EE235" s="17"/>
      <c r="EF235" s="18">
        <f t="shared" si="71"/>
        <v>413532</v>
      </c>
      <c r="EG235" s="18">
        <f t="shared" si="65"/>
        <v>216843</v>
      </c>
      <c r="EH235" s="18">
        <f t="shared" si="72"/>
        <v>630375</v>
      </c>
      <c r="EI235" s="6"/>
    </row>
    <row r="236" spans="1:163">
      <c r="B236" s="4">
        <v>39142</v>
      </c>
      <c r="C236" s="5">
        <v>0</v>
      </c>
      <c r="D236" s="5">
        <v>1</v>
      </c>
      <c r="E236" s="5">
        <v>3081</v>
      </c>
      <c r="F236" s="5">
        <v>0</v>
      </c>
      <c r="G236" s="5">
        <v>639</v>
      </c>
      <c r="H236" s="5">
        <v>12665</v>
      </c>
      <c r="I236" s="5">
        <v>22447</v>
      </c>
      <c r="J236" s="5">
        <v>3792</v>
      </c>
      <c r="K236" s="5">
        <v>6932</v>
      </c>
      <c r="L236" s="5"/>
      <c r="M236" s="5">
        <v>29878</v>
      </c>
      <c r="N236" s="5">
        <v>2289</v>
      </c>
      <c r="O236" s="5"/>
      <c r="P236" s="5">
        <v>1626</v>
      </c>
      <c r="Q236" s="5">
        <v>9246</v>
      </c>
      <c r="R236" s="5">
        <v>457</v>
      </c>
      <c r="S236" s="5">
        <v>8604</v>
      </c>
      <c r="T236" s="5">
        <v>10623</v>
      </c>
      <c r="U236" s="5"/>
      <c r="V236" s="5"/>
      <c r="W236" s="5">
        <v>560</v>
      </c>
      <c r="X236" s="5">
        <v>7767</v>
      </c>
      <c r="Y236" s="5">
        <v>363</v>
      </c>
      <c r="Z236" s="5">
        <v>6</v>
      </c>
      <c r="AA236" s="155"/>
      <c r="AB236" s="5">
        <v>5</v>
      </c>
      <c r="AC236" s="5">
        <v>42</v>
      </c>
      <c r="AD236" s="5">
        <v>13</v>
      </c>
      <c r="AE236" s="5">
        <v>25</v>
      </c>
      <c r="AF236" s="5">
        <v>44</v>
      </c>
      <c r="AG236" s="5">
        <v>57</v>
      </c>
      <c r="AH236" s="5"/>
      <c r="AI236" s="5"/>
      <c r="AJ236" s="5">
        <v>4</v>
      </c>
      <c r="AK236" s="5">
        <v>8478</v>
      </c>
      <c r="AL236" s="5">
        <v>95145</v>
      </c>
      <c r="AM236" s="5">
        <v>3197</v>
      </c>
      <c r="AN236" s="5">
        <v>15199</v>
      </c>
      <c r="AO236" s="5">
        <v>39</v>
      </c>
      <c r="AP236" s="5">
        <v>29</v>
      </c>
      <c r="AQ236" s="5">
        <v>4156</v>
      </c>
      <c r="AR236" s="5">
        <v>0</v>
      </c>
      <c r="AS236" s="5">
        <v>1849</v>
      </c>
      <c r="AT236" s="5">
        <v>1</v>
      </c>
      <c r="AU236" s="5">
        <v>4072</v>
      </c>
      <c r="AV236" s="5">
        <v>2090</v>
      </c>
      <c r="AW236" s="5">
        <v>3650</v>
      </c>
      <c r="AX236" s="5">
        <v>10340</v>
      </c>
      <c r="AY236" s="155"/>
      <c r="AZ236" s="155"/>
      <c r="BA236" s="155">
        <v>415</v>
      </c>
      <c r="BB236" s="155"/>
      <c r="BC236" s="5">
        <v>374</v>
      </c>
      <c r="BD236" s="5"/>
      <c r="BE236" s="5">
        <v>0</v>
      </c>
      <c r="BF236" s="5">
        <v>0</v>
      </c>
      <c r="BG236" s="5">
        <v>1042</v>
      </c>
      <c r="BH236" s="5">
        <v>0</v>
      </c>
      <c r="BI236" s="5">
        <v>0</v>
      </c>
      <c r="BJ236" s="5">
        <v>8100</v>
      </c>
      <c r="BK236" s="5">
        <v>36</v>
      </c>
      <c r="BL236" s="5">
        <v>4077</v>
      </c>
      <c r="BM236" s="5"/>
      <c r="BN236" s="5">
        <v>258</v>
      </c>
      <c r="BO236" s="5">
        <v>34</v>
      </c>
      <c r="BP236" s="5">
        <v>10842</v>
      </c>
      <c r="BQ236" s="5">
        <v>50083</v>
      </c>
      <c r="BR236" s="5">
        <v>702</v>
      </c>
      <c r="BS236" s="5">
        <v>136</v>
      </c>
      <c r="BT236" s="5">
        <v>4875</v>
      </c>
      <c r="BU236" s="5">
        <v>66</v>
      </c>
      <c r="BV236" s="5"/>
      <c r="BW236" s="5">
        <v>1</v>
      </c>
      <c r="BX236" s="5">
        <v>111</v>
      </c>
      <c r="BY236" s="5"/>
      <c r="BZ236" s="5">
        <v>3</v>
      </c>
      <c r="CA236" s="5">
        <v>0</v>
      </c>
      <c r="CB236" s="5">
        <v>19596</v>
      </c>
      <c r="CC236" s="5">
        <v>15816</v>
      </c>
      <c r="CD236" s="5">
        <v>108670</v>
      </c>
      <c r="CE236" s="5">
        <v>172880</v>
      </c>
      <c r="CF236" s="5">
        <v>22653</v>
      </c>
      <c r="CG236" s="5">
        <v>35101</v>
      </c>
      <c r="CH236" s="5">
        <v>0</v>
      </c>
      <c r="CI236" s="5">
        <v>22</v>
      </c>
      <c r="CJ236" s="5">
        <v>3</v>
      </c>
      <c r="CK236" s="5">
        <v>30</v>
      </c>
      <c r="CL236" s="5"/>
      <c r="CM236" s="5"/>
      <c r="CN236" s="5"/>
      <c r="CO236" s="5"/>
      <c r="CP236" s="5"/>
      <c r="CQ236" s="5"/>
      <c r="CR236" s="5"/>
      <c r="CS236" s="5"/>
      <c r="CT236" s="5">
        <v>0</v>
      </c>
      <c r="CU236" s="5">
        <v>0</v>
      </c>
      <c r="CV236" s="5">
        <v>0</v>
      </c>
      <c r="CW236" s="5">
        <v>27</v>
      </c>
      <c r="CX236" s="5">
        <v>0</v>
      </c>
      <c r="CY236" s="5">
        <v>62</v>
      </c>
      <c r="DA236" s="6"/>
      <c r="DC236" s="6"/>
      <c r="DD236" s="18">
        <f t="shared" si="56"/>
        <v>455137</v>
      </c>
      <c r="DE236" s="6">
        <f t="shared" si="57"/>
        <v>220228</v>
      </c>
      <c r="DF236" s="18">
        <f t="shared" si="70"/>
        <v>675365</v>
      </c>
      <c r="DG236" s="17"/>
      <c r="DH236" s="17"/>
      <c r="DI236" s="17"/>
      <c r="DJ236" s="17"/>
      <c r="DK236" s="6">
        <f t="shared" si="59"/>
        <v>60427</v>
      </c>
      <c r="DL236" s="6">
        <f t="shared" si="60"/>
        <v>119812</v>
      </c>
      <c r="DM236" s="6">
        <f t="shared" si="68"/>
        <v>10623</v>
      </c>
      <c r="DN236" s="6">
        <f t="shared" si="69"/>
        <v>29781</v>
      </c>
      <c r="DO236" s="6">
        <f t="shared" si="51"/>
        <v>324810</v>
      </c>
      <c r="DP236" s="6">
        <f t="shared" si="64"/>
        <v>55216</v>
      </c>
      <c r="DQ236" s="6"/>
      <c r="DR236" s="6">
        <f t="shared" si="52"/>
        <v>15838</v>
      </c>
      <c r="DS236" s="6">
        <f t="shared" si="53"/>
        <v>10842</v>
      </c>
      <c r="DT236" s="6">
        <f t="shared" si="54"/>
        <v>13330</v>
      </c>
      <c r="DU236" s="6"/>
      <c r="DV236" s="6"/>
      <c r="DW236" s="6">
        <f t="shared" si="55"/>
        <v>640679</v>
      </c>
      <c r="DX236" s="17"/>
      <c r="DY236" s="6">
        <f t="shared" si="61"/>
        <v>419077</v>
      </c>
      <c r="DZ236" s="6">
        <f t="shared" si="62"/>
        <v>46475</v>
      </c>
      <c r="EA236" s="17"/>
      <c r="EB236" s="6">
        <f t="shared" si="63"/>
        <v>721840</v>
      </c>
      <c r="EC236" s="6"/>
      <c r="ED236" s="6"/>
      <c r="EE236" s="17"/>
      <c r="EF236" s="18">
        <f t="shared" si="71"/>
        <v>409194</v>
      </c>
      <c r="EG236" s="18">
        <f t="shared" si="65"/>
        <v>216487</v>
      </c>
      <c r="EH236" s="18">
        <f t="shared" si="72"/>
        <v>625681</v>
      </c>
      <c r="EI236" s="6"/>
    </row>
    <row r="237" spans="1:163">
      <c r="B237" s="4">
        <v>39173</v>
      </c>
      <c r="C237" s="5">
        <v>0</v>
      </c>
      <c r="D237" s="5">
        <v>1</v>
      </c>
      <c r="E237" s="5">
        <v>2225</v>
      </c>
      <c r="F237" s="5">
        <v>0</v>
      </c>
      <c r="G237" s="5">
        <v>666</v>
      </c>
      <c r="H237" s="5">
        <v>12771</v>
      </c>
      <c r="I237" s="5">
        <v>22629</v>
      </c>
      <c r="J237" s="5">
        <v>3808</v>
      </c>
      <c r="K237" s="5">
        <v>7028</v>
      </c>
      <c r="L237" s="5"/>
      <c r="M237" s="5">
        <v>29799</v>
      </c>
      <c r="N237" s="5">
        <v>2304</v>
      </c>
      <c r="O237" s="5"/>
      <c r="P237" s="5">
        <v>1615</v>
      </c>
      <c r="Q237" s="5">
        <v>9290</v>
      </c>
      <c r="R237" s="5">
        <v>450</v>
      </c>
      <c r="S237" s="5">
        <v>8618</v>
      </c>
      <c r="T237" s="5">
        <v>10670</v>
      </c>
      <c r="U237" s="5"/>
      <c r="V237" s="5"/>
      <c r="W237" s="5">
        <v>551</v>
      </c>
      <c r="X237" s="5">
        <v>7771</v>
      </c>
      <c r="Y237" s="5">
        <v>360</v>
      </c>
      <c r="Z237" s="5">
        <v>8</v>
      </c>
      <c r="AA237" s="155"/>
      <c r="AB237" s="5">
        <v>8</v>
      </c>
      <c r="AC237" s="5">
        <v>44</v>
      </c>
      <c r="AD237" s="5">
        <v>13</v>
      </c>
      <c r="AE237" s="5">
        <v>25</v>
      </c>
      <c r="AF237" s="5">
        <v>44</v>
      </c>
      <c r="AG237" s="5">
        <v>56</v>
      </c>
      <c r="AH237" s="5"/>
      <c r="AI237" s="5"/>
      <c r="AJ237" s="5">
        <v>4</v>
      </c>
      <c r="AK237" s="5">
        <v>8549</v>
      </c>
      <c r="AL237" s="5">
        <v>95526</v>
      </c>
      <c r="AM237" s="5">
        <v>3194</v>
      </c>
      <c r="AN237" s="5">
        <v>15292</v>
      </c>
      <c r="AO237" s="5">
        <v>36</v>
      </c>
      <c r="AP237" s="5">
        <v>30</v>
      </c>
      <c r="AQ237" s="5">
        <v>4909</v>
      </c>
      <c r="AR237" s="5">
        <v>0</v>
      </c>
      <c r="AS237" s="5">
        <v>1804</v>
      </c>
      <c r="AT237" s="5">
        <v>1</v>
      </c>
      <c r="AU237" s="5">
        <v>4113</v>
      </c>
      <c r="AV237" s="5">
        <v>2133</v>
      </c>
      <c r="AW237" s="5">
        <v>3676</v>
      </c>
      <c r="AX237" s="5">
        <v>10453</v>
      </c>
      <c r="AY237" s="155"/>
      <c r="AZ237" s="155"/>
      <c r="BA237" s="155">
        <v>427</v>
      </c>
      <c r="BB237" s="155"/>
      <c r="BC237" s="5">
        <v>382</v>
      </c>
      <c r="BD237" s="5"/>
      <c r="BE237" s="5">
        <v>0</v>
      </c>
      <c r="BF237" s="5">
        <v>0</v>
      </c>
      <c r="BG237" s="5">
        <v>1038</v>
      </c>
      <c r="BH237" s="5">
        <v>0</v>
      </c>
      <c r="BI237" s="5">
        <v>0</v>
      </c>
      <c r="BJ237" s="5">
        <v>8140</v>
      </c>
      <c r="BK237" s="5">
        <v>42</v>
      </c>
      <c r="BL237" s="5">
        <v>4109</v>
      </c>
      <c r="BM237" s="5"/>
      <c r="BN237" s="5">
        <v>220</v>
      </c>
      <c r="BO237" s="5">
        <v>33</v>
      </c>
      <c r="BP237" s="5">
        <v>10848</v>
      </c>
      <c r="BQ237" s="5">
        <v>50844</v>
      </c>
      <c r="BR237" s="5">
        <v>730</v>
      </c>
      <c r="BS237" s="5">
        <v>140</v>
      </c>
      <c r="BT237" s="5">
        <v>4853</v>
      </c>
      <c r="BU237" s="5">
        <v>63</v>
      </c>
      <c r="BV237" s="5"/>
      <c r="BW237" s="5">
        <v>2</v>
      </c>
      <c r="BX237" s="5">
        <v>110</v>
      </c>
      <c r="BY237" s="5"/>
      <c r="BZ237" s="5">
        <v>3</v>
      </c>
      <c r="CA237" s="5">
        <v>0</v>
      </c>
      <c r="CB237" s="5">
        <v>19790</v>
      </c>
      <c r="CC237" s="5">
        <v>16132</v>
      </c>
      <c r="CD237" s="5">
        <v>110457</v>
      </c>
      <c r="CE237" s="5">
        <v>173981</v>
      </c>
      <c r="CF237" s="5">
        <v>22489</v>
      </c>
      <c r="CG237" s="5">
        <v>35022</v>
      </c>
      <c r="CH237" s="5">
        <v>0</v>
      </c>
      <c r="CI237" s="5">
        <v>20</v>
      </c>
      <c r="CJ237" s="5">
        <v>6</v>
      </c>
      <c r="CK237" s="5">
        <v>33</v>
      </c>
      <c r="CL237" s="5"/>
      <c r="CM237" s="5"/>
      <c r="CN237" s="5"/>
      <c r="CO237" s="5"/>
      <c r="CP237" s="5"/>
      <c r="CQ237" s="5"/>
      <c r="CR237" s="5"/>
      <c r="CS237" s="5"/>
      <c r="CT237" s="5">
        <v>0</v>
      </c>
      <c r="CU237" s="5">
        <v>0</v>
      </c>
      <c r="CV237" s="5">
        <v>0</v>
      </c>
      <c r="CW237" s="5">
        <v>26</v>
      </c>
      <c r="CX237" s="5">
        <v>0</v>
      </c>
      <c r="CY237" s="5">
        <v>62</v>
      </c>
      <c r="DA237" s="6"/>
      <c r="DC237" s="6"/>
      <c r="DD237" s="18">
        <f t="shared" si="56"/>
        <v>459105</v>
      </c>
      <c r="DE237" s="6">
        <f t="shared" si="57"/>
        <v>221728</v>
      </c>
      <c r="DF237" s="19">
        <f t="shared" si="70"/>
        <v>680833</v>
      </c>
      <c r="DG237" s="17"/>
      <c r="DH237" s="17"/>
      <c r="DI237" s="17"/>
      <c r="DJ237" s="17"/>
      <c r="DK237" s="6">
        <f t="shared" si="59"/>
        <v>60398</v>
      </c>
      <c r="DL237" s="6">
        <f t="shared" si="60"/>
        <v>120347</v>
      </c>
      <c r="DM237" s="6">
        <f t="shared" si="68"/>
        <v>10670</v>
      </c>
      <c r="DN237" s="6">
        <f t="shared" si="69"/>
        <v>30740</v>
      </c>
      <c r="DO237" s="6">
        <f t="shared" si="51"/>
        <v>327769</v>
      </c>
      <c r="DP237" s="6">
        <f t="shared" si="64"/>
        <v>55917</v>
      </c>
      <c r="DQ237" s="6"/>
      <c r="DR237" s="6">
        <f t="shared" si="52"/>
        <v>16152</v>
      </c>
      <c r="DS237" s="6">
        <f t="shared" si="53"/>
        <v>10848</v>
      </c>
      <c r="DT237" s="6">
        <f t="shared" si="54"/>
        <v>13397</v>
      </c>
      <c r="DU237" s="6"/>
      <c r="DV237" s="6"/>
      <c r="DW237" s="6">
        <f t="shared" si="55"/>
        <v>646238</v>
      </c>
      <c r="DX237" s="17"/>
      <c r="DY237" s="6">
        <f t="shared" si="61"/>
        <v>422424</v>
      </c>
      <c r="DZ237" s="6">
        <f t="shared" si="62"/>
        <v>46902</v>
      </c>
      <c r="EA237" s="17"/>
      <c r="EB237" s="6">
        <f t="shared" si="63"/>
        <v>727735</v>
      </c>
      <c r="EC237" s="6"/>
      <c r="ED237" s="6"/>
      <c r="EE237" s="17"/>
      <c r="EF237" s="18">
        <f t="shared" si="71"/>
        <v>413235</v>
      </c>
      <c r="EG237" s="18">
        <f t="shared" si="65"/>
        <v>217246</v>
      </c>
      <c r="EH237" s="18">
        <f t="shared" si="72"/>
        <v>630481</v>
      </c>
      <c r="EI237" s="6"/>
    </row>
    <row r="238" spans="1:163">
      <c r="B238" s="4">
        <v>39203</v>
      </c>
      <c r="C238" s="5">
        <v>2</v>
      </c>
      <c r="D238" s="5">
        <v>0</v>
      </c>
      <c r="E238" s="5">
        <v>1657</v>
      </c>
      <c r="F238" s="5">
        <v>0</v>
      </c>
      <c r="G238" s="5">
        <v>702</v>
      </c>
      <c r="H238" s="5">
        <v>12906</v>
      </c>
      <c r="I238" s="5">
        <v>22929</v>
      </c>
      <c r="J238" s="5">
        <v>3904</v>
      </c>
      <c r="K238" s="5">
        <v>7120</v>
      </c>
      <c r="L238" s="5"/>
      <c r="M238" s="5">
        <v>29787</v>
      </c>
      <c r="N238" s="5">
        <v>2299</v>
      </c>
      <c r="O238" s="5"/>
      <c r="P238" s="5">
        <v>1611</v>
      </c>
      <c r="Q238" s="5">
        <v>9319</v>
      </c>
      <c r="R238" s="5">
        <v>446</v>
      </c>
      <c r="S238" s="5">
        <v>8644</v>
      </c>
      <c r="T238" s="5">
        <v>10683</v>
      </c>
      <c r="U238" s="5"/>
      <c r="V238" s="5"/>
      <c r="W238" s="5">
        <v>544</v>
      </c>
      <c r="X238" s="5">
        <v>7742</v>
      </c>
      <c r="Y238" s="5">
        <v>359</v>
      </c>
      <c r="Z238" s="5">
        <v>8</v>
      </c>
      <c r="AA238" s="155"/>
      <c r="AB238" s="5">
        <v>7</v>
      </c>
      <c r="AC238" s="5">
        <v>48</v>
      </c>
      <c r="AD238" s="5">
        <v>14</v>
      </c>
      <c r="AE238" s="5">
        <v>26</v>
      </c>
      <c r="AF238" s="5">
        <v>42</v>
      </c>
      <c r="AG238" s="5">
        <v>59</v>
      </c>
      <c r="AH238" s="5"/>
      <c r="AI238" s="5"/>
      <c r="AJ238" s="5">
        <v>4</v>
      </c>
      <c r="AK238" s="5">
        <v>8614</v>
      </c>
      <c r="AL238" s="5">
        <v>95822</v>
      </c>
      <c r="AM238" s="5">
        <v>3198</v>
      </c>
      <c r="AN238" s="5">
        <v>15378</v>
      </c>
      <c r="AO238" s="5">
        <v>35</v>
      </c>
      <c r="AP238" s="5">
        <v>30</v>
      </c>
      <c r="AQ238" s="5">
        <v>5233</v>
      </c>
      <c r="AR238" s="5">
        <v>0</v>
      </c>
      <c r="AS238" s="5">
        <v>1815</v>
      </c>
      <c r="AT238" s="5">
        <v>1</v>
      </c>
      <c r="AU238" s="5">
        <v>4129</v>
      </c>
      <c r="AV238" s="5">
        <v>2147</v>
      </c>
      <c r="AW238" s="5">
        <v>3685</v>
      </c>
      <c r="AX238" s="5">
        <v>10506</v>
      </c>
      <c r="AY238" s="155"/>
      <c r="AZ238" s="155"/>
      <c r="BA238" s="155">
        <v>436</v>
      </c>
      <c r="BB238" s="155"/>
      <c r="BC238" s="5">
        <v>385</v>
      </c>
      <c r="BD238" s="5"/>
      <c r="BE238" s="5">
        <v>0</v>
      </c>
      <c r="BF238" s="5">
        <v>0</v>
      </c>
      <c r="BG238" s="5">
        <v>1030</v>
      </c>
      <c r="BH238" s="5">
        <v>0</v>
      </c>
      <c r="BI238" s="5">
        <v>0</v>
      </c>
      <c r="BJ238" s="5">
        <v>8371</v>
      </c>
      <c r="BK238" s="5">
        <v>40</v>
      </c>
      <c r="BL238" s="5">
        <v>3814</v>
      </c>
      <c r="BM238" s="5"/>
      <c r="BN238" s="5">
        <v>179</v>
      </c>
      <c r="BO238" s="5">
        <v>31</v>
      </c>
      <c r="BP238" s="5">
        <v>10745</v>
      </c>
      <c r="BQ238" s="5">
        <v>51197</v>
      </c>
      <c r="BR238" s="5">
        <v>723</v>
      </c>
      <c r="BS238" s="5">
        <v>140</v>
      </c>
      <c r="BT238" s="5">
        <v>4762</v>
      </c>
      <c r="BU238" s="5">
        <v>75</v>
      </c>
      <c r="BV238" s="5"/>
      <c r="BW238" s="5">
        <v>2</v>
      </c>
      <c r="BX238" s="5">
        <v>103</v>
      </c>
      <c r="BY238" s="5"/>
      <c r="BZ238" s="5">
        <v>2</v>
      </c>
      <c r="CA238" s="5">
        <v>0</v>
      </c>
      <c r="CB238" s="5">
        <v>19847</v>
      </c>
      <c r="CC238" s="5">
        <v>16196</v>
      </c>
      <c r="CD238" s="5">
        <v>111053</v>
      </c>
      <c r="CE238" s="5">
        <v>174502</v>
      </c>
      <c r="CF238" s="5">
        <v>22371</v>
      </c>
      <c r="CG238" s="5">
        <v>35053</v>
      </c>
      <c r="CH238" s="5">
        <v>0</v>
      </c>
      <c r="CI238" s="5">
        <v>19</v>
      </c>
      <c r="CJ238" s="5">
        <v>6</v>
      </c>
      <c r="CK238" s="5">
        <v>34</v>
      </c>
      <c r="CL238" s="5"/>
      <c r="CM238" s="5"/>
      <c r="CN238" s="5"/>
      <c r="CO238" s="5"/>
      <c r="CP238" s="5"/>
      <c r="CQ238" s="5"/>
      <c r="CR238" s="5"/>
      <c r="CS238" s="5"/>
      <c r="CT238" s="5">
        <v>0</v>
      </c>
      <c r="CU238" s="5">
        <v>0</v>
      </c>
      <c r="CV238" s="5">
        <v>0</v>
      </c>
      <c r="CW238" s="5">
        <v>26</v>
      </c>
      <c r="CX238" s="5">
        <v>0</v>
      </c>
      <c r="CY238" s="5">
        <v>60</v>
      </c>
      <c r="DA238" s="6"/>
      <c r="DC238" s="6"/>
      <c r="DD238" s="18">
        <f t="shared" si="56"/>
        <v>460295</v>
      </c>
      <c r="DE238" s="6">
        <f t="shared" si="57"/>
        <v>222620</v>
      </c>
      <c r="DF238" s="19">
        <f t="shared" si="70"/>
        <v>682915</v>
      </c>
      <c r="DG238" s="17"/>
      <c r="DH238" s="17"/>
      <c r="DI238" s="17"/>
      <c r="DJ238" s="17"/>
      <c r="DK238" s="6">
        <f t="shared" si="59"/>
        <v>60392</v>
      </c>
      <c r="DL238" s="6">
        <f t="shared" si="60"/>
        <v>120775</v>
      </c>
      <c r="DM238" s="6">
        <f t="shared" si="68"/>
        <v>10683</v>
      </c>
      <c r="DN238" s="6">
        <f t="shared" si="69"/>
        <v>31206</v>
      </c>
      <c r="DO238" s="6">
        <f t="shared" si="51"/>
        <v>328826</v>
      </c>
      <c r="DP238" s="6">
        <f t="shared" si="64"/>
        <v>56138</v>
      </c>
      <c r="DQ238" s="6"/>
      <c r="DR238" s="6">
        <f t="shared" si="52"/>
        <v>16215</v>
      </c>
      <c r="DS238" s="6">
        <f t="shared" si="53"/>
        <v>10745</v>
      </c>
      <c r="DT238" s="6">
        <f t="shared" si="54"/>
        <v>13318</v>
      </c>
      <c r="DU238" s="6"/>
      <c r="DV238" s="6"/>
      <c r="DW238" s="6">
        <f t="shared" si="55"/>
        <v>648298</v>
      </c>
      <c r="DX238" s="17"/>
      <c r="DY238" s="6">
        <f t="shared" si="61"/>
        <v>424056</v>
      </c>
      <c r="DZ238" s="6">
        <f t="shared" si="62"/>
        <v>47561</v>
      </c>
      <c r="EA238" s="17"/>
      <c r="EB238" s="6">
        <f t="shared" si="63"/>
        <v>730476</v>
      </c>
      <c r="EC238" s="6"/>
      <c r="ED238" s="6"/>
      <c r="EE238" s="17"/>
      <c r="EF238" s="18">
        <f t="shared" si="71"/>
        <v>414497</v>
      </c>
      <c r="EG238" s="18">
        <f t="shared" si="65"/>
        <v>217823</v>
      </c>
      <c r="EH238" s="18">
        <f t="shared" si="72"/>
        <v>632320</v>
      </c>
      <c r="EI238" s="6"/>
    </row>
    <row r="239" spans="1:163">
      <c r="B239" s="20">
        <v>39234</v>
      </c>
      <c r="C239" s="21">
        <v>2</v>
      </c>
      <c r="D239" s="21">
        <v>1</v>
      </c>
      <c r="E239" s="21">
        <v>1793</v>
      </c>
      <c r="F239" s="21">
        <v>0</v>
      </c>
      <c r="G239" s="21">
        <v>736</v>
      </c>
      <c r="H239" s="21">
        <v>12934</v>
      </c>
      <c r="I239" s="21">
        <v>22968</v>
      </c>
      <c r="J239" s="21">
        <v>3962</v>
      </c>
      <c r="K239" s="21">
        <v>7189</v>
      </c>
      <c r="L239" s="21"/>
      <c r="M239" s="21">
        <v>29649</v>
      </c>
      <c r="N239" s="21">
        <v>2286</v>
      </c>
      <c r="O239" s="21"/>
      <c r="P239" s="21">
        <v>1626</v>
      </c>
      <c r="Q239" s="21">
        <v>9318</v>
      </c>
      <c r="R239" s="21">
        <v>446</v>
      </c>
      <c r="S239" s="21">
        <v>8609</v>
      </c>
      <c r="T239" s="21">
        <v>10703</v>
      </c>
      <c r="U239" s="21"/>
      <c r="V239" s="21"/>
      <c r="W239" s="21">
        <v>534</v>
      </c>
      <c r="X239" s="21">
        <v>7768</v>
      </c>
      <c r="Y239" s="21">
        <v>348</v>
      </c>
      <c r="Z239" s="21">
        <v>8</v>
      </c>
      <c r="AA239" s="158"/>
      <c r="AB239" s="21">
        <v>6</v>
      </c>
      <c r="AC239" s="21">
        <v>47</v>
      </c>
      <c r="AD239" s="21">
        <v>14</v>
      </c>
      <c r="AE239" s="21">
        <v>27</v>
      </c>
      <c r="AF239" s="21">
        <v>42</v>
      </c>
      <c r="AG239" s="21">
        <v>60</v>
      </c>
      <c r="AH239" s="21"/>
      <c r="AI239" s="21"/>
      <c r="AJ239" s="21">
        <v>4</v>
      </c>
      <c r="AK239" s="21">
        <v>8626</v>
      </c>
      <c r="AL239" s="21">
        <v>95472</v>
      </c>
      <c r="AM239" s="21">
        <v>3184</v>
      </c>
      <c r="AN239" s="21">
        <v>15429</v>
      </c>
      <c r="AO239" s="21">
        <v>33</v>
      </c>
      <c r="AP239" s="21">
        <v>30</v>
      </c>
      <c r="AQ239" s="21">
        <v>5498</v>
      </c>
      <c r="AR239" s="21">
        <v>0</v>
      </c>
      <c r="AS239" s="21">
        <v>1842</v>
      </c>
      <c r="AT239" s="21">
        <v>0</v>
      </c>
      <c r="AU239" s="21">
        <v>4181</v>
      </c>
      <c r="AV239" s="21">
        <v>2157</v>
      </c>
      <c r="AW239" s="21">
        <v>3698</v>
      </c>
      <c r="AX239" s="21">
        <v>10581</v>
      </c>
      <c r="AY239" s="158"/>
      <c r="AZ239" s="158"/>
      <c r="BA239" s="158">
        <v>462</v>
      </c>
      <c r="BB239" s="158"/>
      <c r="BC239" s="21">
        <v>388</v>
      </c>
      <c r="BD239" s="21"/>
      <c r="BE239" s="21">
        <v>0</v>
      </c>
      <c r="BF239" s="21">
        <v>0</v>
      </c>
      <c r="BG239" s="21">
        <v>1027</v>
      </c>
      <c r="BH239" s="21">
        <v>0</v>
      </c>
      <c r="BI239" s="21">
        <v>0</v>
      </c>
      <c r="BJ239" s="21">
        <v>8427</v>
      </c>
      <c r="BK239" s="21">
        <v>39</v>
      </c>
      <c r="BL239" s="21">
        <v>3830</v>
      </c>
      <c r="BM239" s="21"/>
      <c r="BN239" s="21">
        <v>206</v>
      </c>
      <c r="BO239" s="21">
        <v>33</v>
      </c>
      <c r="BP239" s="21">
        <v>10688</v>
      </c>
      <c r="BQ239" s="21">
        <v>51612</v>
      </c>
      <c r="BR239" s="21">
        <v>720</v>
      </c>
      <c r="BS239" s="21">
        <v>139</v>
      </c>
      <c r="BT239" s="21">
        <v>4633</v>
      </c>
      <c r="BU239" s="21">
        <v>78</v>
      </c>
      <c r="BV239" s="21"/>
      <c r="BW239" s="21">
        <v>2</v>
      </c>
      <c r="BX239" s="21">
        <v>104</v>
      </c>
      <c r="BY239" s="21"/>
      <c r="BZ239" s="21">
        <v>4</v>
      </c>
      <c r="CA239" s="21">
        <v>0</v>
      </c>
      <c r="CB239" s="21">
        <v>19967</v>
      </c>
      <c r="CC239" s="21">
        <v>16206</v>
      </c>
      <c r="CD239" s="21">
        <v>111350</v>
      </c>
      <c r="CE239" s="21">
        <v>174266</v>
      </c>
      <c r="CF239" s="21">
        <v>22251</v>
      </c>
      <c r="CG239" s="21">
        <v>35046</v>
      </c>
      <c r="CH239" s="21">
        <v>0</v>
      </c>
      <c r="CI239" s="21">
        <v>19</v>
      </c>
      <c r="CJ239" s="21">
        <v>5</v>
      </c>
      <c r="CK239" s="21">
        <v>31</v>
      </c>
      <c r="CL239" s="21"/>
      <c r="CM239" s="21"/>
      <c r="CN239" s="21"/>
      <c r="CO239" s="21"/>
      <c r="CP239" s="21"/>
      <c r="CQ239" s="21"/>
      <c r="CR239" s="21"/>
      <c r="CS239" s="21"/>
      <c r="CT239" s="21">
        <v>0</v>
      </c>
      <c r="CU239" s="21">
        <v>0</v>
      </c>
      <c r="CV239" s="21">
        <v>0</v>
      </c>
      <c r="CW239" s="21">
        <v>26</v>
      </c>
      <c r="CX239" s="21">
        <v>0</v>
      </c>
      <c r="CY239" s="21">
        <v>63</v>
      </c>
      <c r="DA239" s="6"/>
      <c r="DC239" s="6"/>
      <c r="DD239" s="23">
        <f t="shared" si="56"/>
        <v>460683</v>
      </c>
      <c r="DE239" s="6">
        <f t="shared" si="57"/>
        <v>222614</v>
      </c>
      <c r="DF239" s="24">
        <f t="shared" si="70"/>
        <v>683297</v>
      </c>
      <c r="DG239" s="22"/>
      <c r="DH239" s="17"/>
      <c r="DI239" s="17"/>
      <c r="DJ239" s="17"/>
      <c r="DK239" s="6">
        <f t="shared" si="59"/>
        <v>60236</v>
      </c>
      <c r="DL239" s="6">
        <f t="shared" si="60"/>
        <v>120539</v>
      </c>
      <c r="DM239" s="6">
        <f t="shared" si="68"/>
        <v>10703</v>
      </c>
      <c r="DN239" s="6">
        <f t="shared" si="69"/>
        <v>31598</v>
      </c>
      <c r="DO239" s="6">
        <f t="shared" si="51"/>
        <v>328885</v>
      </c>
      <c r="DP239" s="6">
        <f t="shared" si="64"/>
        <v>56451</v>
      </c>
      <c r="DQ239" s="6"/>
      <c r="DR239" s="6">
        <f t="shared" si="52"/>
        <v>16225</v>
      </c>
      <c r="DS239" s="6">
        <f t="shared" si="53"/>
        <v>10688</v>
      </c>
      <c r="DT239" s="6">
        <f t="shared" si="54"/>
        <v>13388</v>
      </c>
      <c r="DU239" s="6"/>
      <c r="DV239" s="6"/>
      <c r="DW239" s="6">
        <f t="shared" si="55"/>
        <v>648713</v>
      </c>
      <c r="DX239" s="22"/>
      <c r="DY239" s="6">
        <f t="shared" si="61"/>
        <v>424372</v>
      </c>
      <c r="DZ239" s="6">
        <f t="shared" si="62"/>
        <v>47789</v>
      </c>
      <c r="EA239" s="22"/>
      <c r="EB239" s="6">
        <f t="shared" si="63"/>
        <v>731086</v>
      </c>
      <c r="EC239" s="6"/>
      <c r="ED239" s="6"/>
      <c r="EE239" s="22"/>
      <c r="EF239" s="23">
        <f t="shared" si="71"/>
        <v>414949</v>
      </c>
      <c r="EG239" s="23">
        <f t="shared" si="65"/>
        <v>217578</v>
      </c>
      <c r="EH239" s="23">
        <f t="shared" si="72"/>
        <v>632527</v>
      </c>
      <c r="EI239" s="6"/>
      <c r="ES239" t="s">
        <v>94</v>
      </c>
      <c r="ET239" t="s">
        <v>95</v>
      </c>
      <c r="EU239" t="s">
        <v>96</v>
      </c>
      <c r="EV239" s="33" t="s">
        <v>97</v>
      </c>
      <c r="EW239" t="s">
        <v>98</v>
      </c>
      <c r="EX239" t="s">
        <v>99</v>
      </c>
      <c r="EY239" t="s">
        <v>100</v>
      </c>
      <c r="EZ239" t="s">
        <v>101</v>
      </c>
      <c r="FA239" t="s">
        <v>102</v>
      </c>
      <c r="FB239" t="s">
        <v>103</v>
      </c>
      <c r="FC239" s="33" t="s">
        <v>105</v>
      </c>
      <c r="FD239" t="s">
        <v>104</v>
      </c>
    </row>
    <row r="240" spans="1:163">
      <c r="B240" s="9">
        <v>39264</v>
      </c>
      <c r="C240" s="10">
        <v>2</v>
      </c>
      <c r="D240" s="10">
        <v>3</v>
      </c>
      <c r="E240" s="10">
        <v>2565</v>
      </c>
      <c r="F240" s="10">
        <v>0</v>
      </c>
      <c r="G240" s="10">
        <v>757</v>
      </c>
      <c r="H240" s="10">
        <v>13041</v>
      </c>
      <c r="I240" s="10">
        <v>23071</v>
      </c>
      <c r="J240" s="10">
        <v>3954</v>
      </c>
      <c r="K240" s="10">
        <v>7167</v>
      </c>
      <c r="L240" s="10"/>
      <c r="M240" s="10">
        <v>29588</v>
      </c>
      <c r="N240" s="10">
        <v>2237</v>
      </c>
      <c r="O240" s="10"/>
      <c r="P240" s="10">
        <v>1604</v>
      </c>
      <c r="Q240" s="10">
        <v>9295</v>
      </c>
      <c r="R240" s="10">
        <v>440</v>
      </c>
      <c r="S240" s="10">
        <v>8574</v>
      </c>
      <c r="T240" s="10">
        <v>10747</v>
      </c>
      <c r="U240" s="10"/>
      <c r="V240" s="10"/>
      <c r="W240" s="10">
        <v>528</v>
      </c>
      <c r="X240" s="10">
        <v>7803</v>
      </c>
      <c r="Y240" s="10">
        <v>353</v>
      </c>
      <c r="Z240" s="10">
        <v>8</v>
      </c>
      <c r="AA240" s="159"/>
      <c r="AB240" s="10">
        <v>7</v>
      </c>
      <c r="AC240" s="10">
        <v>50</v>
      </c>
      <c r="AD240" s="10">
        <v>14</v>
      </c>
      <c r="AE240" s="10">
        <v>28</v>
      </c>
      <c r="AF240" s="10">
        <v>40</v>
      </c>
      <c r="AG240" s="10">
        <v>60</v>
      </c>
      <c r="AH240" s="10"/>
      <c r="AI240" s="10"/>
      <c r="AJ240" s="10">
        <v>4</v>
      </c>
      <c r="AK240" s="10">
        <v>8683</v>
      </c>
      <c r="AL240" s="10">
        <v>95994</v>
      </c>
      <c r="AM240" s="10">
        <v>3160</v>
      </c>
      <c r="AN240" s="10">
        <v>15526</v>
      </c>
      <c r="AO240" s="10">
        <v>31</v>
      </c>
      <c r="AP240" s="10">
        <v>28</v>
      </c>
      <c r="AQ240" s="10">
        <v>5698</v>
      </c>
      <c r="AR240" s="10">
        <v>0</v>
      </c>
      <c r="AS240" s="10">
        <v>1767</v>
      </c>
      <c r="AT240" s="10">
        <v>5</v>
      </c>
      <c r="AU240" s="10">
        <v>4211</v>
      </c>
      <c r="AV240" s="10">
        <v>2165</v>
      </c>
      <c r="AW240" s="10">
        <v>3693</v>
      </c>
      <c r="AX240" s="10">
        <v>10633</v>
      </c>
      <c r="AY240" s="159"/>
      <c r="AZ240" s="159"/>
      <c r="BA240" s="159">
        <v>469</v>
      </c>
      <c r="BB240" s="159"/>
      <c r="BC240" s="10">
        <v>381</v>
      </c>
      <c r="BD240" s="10"/>
      <c r="BE240" s="10">
        <v>0</v>
      </c>
      <c r="BF240" s="10">
        <v>0</v>
      </c>
      <c r="BG240" s="10">
        <v>1012</v>
      </c>
      <c r="BH240" s="10">
        <v>0</v>
      </c>
      <c r="BI240" s="10">
        <v>0</v>
      </c>
      <c r="BJ240" s="10">
        <v>8447</v>
      </c>
      <c r="BK240" s="10">
        <v>42</v>
      </c>
      <c r="BL240" s="10">
        <v>3876</v>
      </c>
      <c r="BM240" s="10"/>
      <c r="BN240" s="10">
        <v>206</v>
      </c>
      <c r="BO240" s="10">
        <v>32</v>
      </c>
      <c r="BP240" s="10">
        <v>10583</v>
      </c>
      <c r="BQ240" s="10">
        <v>51876</v>
      </c>
      <c r="BR240" s="10">
        <v>726</v>
      </c>
      <c r="BS240" s="10">
        <v>141</v>
      </c>
      <c r="BT240" s="10">
        <v>4529</v>
      </c>
      <c r="BU240" s="10">
        <v>83</v>
      </c>
      <c r="BV240" s="10"/>
      <c r="BW240" s="10">
        <v>1</v>
      </c>
      <c r="BX240" s="10">
        <v>100</v>
      </c>
      <c r="BY240" s="10"/>
      <c r="BZ240" s="10">
        <v>3</v>
      </c>
      <c r="CA240" s="10">
        <v>0</v>
      </c>
      <c r="CB240" s="10">
        <v>20088</v>
      </c>
      <c r="CC240" s="10">
        <v>16287</v>
      </c>
      <c r="CD240" s="10">
        <v>111702</v>
      </c>
      <c r="CE240" s="10">
        <v>174356</v>
      </c>
      <c r="CF240" s="10">
        <v>22284</v>
      </c>
      <c r="CG240" s="10">
        <v>34998</v>
      </c>
      <c r="CH240" s="10">
        <v>0</v>
      </c>
      <c r="CI240" s="10">
        <v>19</v>
      </c>
      <c r="CJ240" s="10">
        <v>4</v>
      </c>
      <c r="CK240" s="10">
        <v>25</v>
      </c>
      <c r="CL240" s="10"/>
      <c r="CM240" s="10"/>
      <c r="CN240" s="10"/>
      <c r="CO240" s="10"/>
      <c r="CP240" s="10"/>
      <c r="CQ240" s="10"/>
      <c r="CR240" s="10"/>
      <c r="CS240" s="10"/>
      <c r="CT240" s="10">
        <v>0</v>
      </c>
      <c r="CU240" s="10">
        <v>0</v>
      </c>
      <c r="CV240" s="10">
        <v>0</v>
      </c>
      <c r="CW240" s="10">
        <v>26</v>
      </c>
      <c r="CX240" s="10">
        <v>0</v>
      </c>
      <c r="CY240" s="10">
        <v>65</v>
      </c>
      <c r="DA240" s="6"/>
      <c r="DC240" s="6"/>
      <c r="DD240" s="6">
        <f t="shared" si="56"/>
        <v>461420</v>
      </c>
      <c r="DE240" s="6">
        <f t="shared" si="57"/>
        <v>223355</v>
      </c>
      <c r="DF240" s="8">
        <f t="shared" si="70"/>
        <v>684775</v>
      </c>
      <c r="DK240" s="6">
        <f t="shared" si="59"/>
        <v>60069</v>
      </c>
      <c r="DL240" s="6">
        <f t="shared" si="60"/>
        <v>121063</v>
      </c>
      <c r="DM240" s="6">
        <f t="shared" si="68"/>
        <v>10747</v>
      </c>
      <c r="DN240" s="6">
        <f t="shared" si="69"/>
        <v>31945</v>
      </c>
      <c r="DO240" s="6">
        <f t="shared" si="51"/>
        <v>329487</v>
      </c>
      <c r="DP240" s="6">
        <f t="shared" si="64"/>
        <v>56611</v>
      </c>
      <c r="DQ240" s="6"/>
      <c r="DR240" s="6">
        <f t="shared" si="52"/>
        <v>16306</v>
      </c>
      <c r="DS240" s="6">
        <f t="shared" si="53"/>
        <v>10583</v>
      </c>
      <c r="DT240" s="6">
        <f t="shared" si="54"/>
        <v>13435</v>
      </c>
      <c r="DU240" s="6"/>
      <c r="DV240" s="6"/>
      <c r="DW240" s="6">
        <f t="shared" si="55"/>
        <v>650246</v>
      </c>
      <c r="DY240" s="6">
        <f t="shared" si="61"/>
        <v>425153</v>
      </c>
      <c r="DZ240" s="6">
        <f t="shared" si="62"/>
        <v>47990</v>
      </c>
      <c r="EB240" s="6">
        <f t="shared" si="63"/>
        <v>732765</v>
      </c>
      <c r="EC240" s="6"/>
      <c r="ED240" s="6"/>
      <c r="EF240" s="6">
        <f t="shared" si="71"/>
        <v>415839</v>
      </c>
      <c r="EG240" s="6">
        <f t="shared" si="65"/>
        <v>218126</v>
      </c>
      <c r="EH240" s="6">
        <f t="shared" si="72"/>
        <v>633965</v>
      </c>
      <c r="EI240" s="6"/>
      <c r="ES240">
        <v>56405</v>
      </c>
      <c r="ET240">
        <v>2159</v>
      </c>
      <c r="EU240">
        <v>99515</v>
      </c>
      <c r="EV240">
        <v>19412</v>
      </c>
      <c r="EW240">
        <v>36994</v>
      </c>
      <c r="EX240">
        <v>2132</v>
      </c>
      <c r="EY240">
        <v>31825</v>
      </c>
      <c r="EZ240">
        <v>26112</v>
      </c>
      <c r="FA240">
        <v>342757</v>
      </c>
      <c r="FB240">
        <v>133</v>
      </c>
      <c r="FC240">
        <v>16306</v>
      </c>
      <c r="FD240">
        <v>238</v>
      </c>
      <c r="FE240" s="32">
        <f>SUM(ES240:FD240)</f>
        <v>633988</v>
      </c>
      <c r="FF240" s="34">
        <f>EH240</f>
        <v>633965</v>
      </c>
      <c r="FG240" s="31">
        <f>FF240-FE240</f>
        <v>-23</v>
      </c>
    </row>
    <row r="241" spans="1:165">
      <c r="B241" s="4">
        <v>39295</v>
      </c>
      <c r="C241" s="5">
        <v>2</v>
      </c>
      <c r="D241" s="5">
        <v>10</v>
      </c>
      <c r="E241" s="5">
        <v>3432</v>
      </c>
      <c r="F241" s="5">
        <v>0</v>
      </c>
      <c r="G241" s="5">
        <v>821</v>
      </c>
      <c r="H241" s="5">
        <v>13202</v>
      </c>
      <c r="I241" s="5">
        <v>23167</v>
      </c>
      <c r="J241" s="5">
        <v>4030</v>
      </c>
      <c r="K241" s="5">
        <v>7259</v>
      </c>
      <c r="L241" s="5"/>
      <c r="M241" s="5">
        <v>29549</v>
      </c>
      <c r="N241" s="5">
        <v>2231</v>
      </c>
      <c r="O241" s="5"/>
      <c r="P241" s="5">
        <v>1582</v>
      </c>
      <c r="Q241" s="5">
        <v>9380</v>
      </c>
      <c r="R241" s="5">
        <v>438</v>
      </c>
      <c r="S241" s="5">
        <v>8609</v>
      </c>
      <c r="T241" s="5">
        <v>10772</v>
      </c>
      <c r="U241" s="5"/>
      <c r="V241" s="5"/>
      <c r="W241" s="5">
        <v>522</v>
      </c>
      <c r="X241" s="5">
        <v>7841</v>
      </c>
      <c r="Y241" s="5">
        <v>350</v>
      </c>
      <c r="Z241" s="5">
        <v>8</v>
      </c>
      <c r="AA241" s="155"/>
      <c r="AB241" s="5">
        <v>5</v>
      </c>
      <c r="AC241" s="5">
        <v>52</v>
      </c>
      <c r="AD241" s="5">
        <v>15</v>
      </c>
      <c r="AE241" s="5">
        <v>28</v>
      </c>
      <c r="AF241" s="5">
        <v>39</v>
      </c>
      <c r="AG241" s="5">
        <v>60</v>
      </c>
      <c r="AH241" s="5"/>
      <c r="AI241" s="5"/>
      <c r="AJ241" s="5">
        <v>4</v>
      </c>
      <c r="AK241" s="5">
        <v>8726</v>
      </c>
      <c r="AL241" s="5">
        <v>96219</v>
      </c>
      <c r="AM241" s="5">
        <v>3155</v>
      </c>
      <c r="AN241" s="5">
        <v>15659</v>
      </c>
      <c r="AO241" s="5">
        <v>30</v>
      </c>
      <c r="AP241" s="5">
        <v>29</v>
      </c>
      <c r="AQ241" s="5">
        <v>5926</v>
      </c>
      <c r="AR241" s="5">
        <v>0</v>
      </c>
      <c r="AS241" s="5">
        <v>1797</v>
      </c>
      <c r="AT241" s="5">
        <v>5</v>
      </c>
      <c r="AU241" s="5">
        <v>4297</v>
      </c>
      <c r="AV241" s="5">
        <v>2166</v>
      </c>
      <c r="AW241" s="5">
        <v>3696</v>
      </c>
      <c r="AX241" s="5">
        <v>10695</v>
      </c>
      <c r="AY241" s="155"/>
      <c r="AZ241" s="155"/>
      <c r="BA241" s="155">
        <v>480</v>
      </c>
      <c r="BB241" s="155"/>
      <c r="BC241" s="5">
        <v>383</v>
      </c>
      <c r="BD241" s="5"/>
      <c r="BE241" s="5">
        <v>0</v>
      </c>
      <c r="BF241" s="5">
        <v>0</v>
      </c>
      <c r="BG241" s="5">
        <v>1013</v>
      </c>
      <c r="BH241" s="5">
        <v>0</v>
      </c>
      <c r="BI241" s="5">
        <v>0</v>
      </c>
      <c r="BJ241" s="5">
        <v>8435</v>
      </c>
      <c r="BK241" s="5">
        <v>34</v>
      </c>
      <c r="BL241" s="5">
        <v>3872</v>
      </c>
      <c r="BM241" s="5"/>
      <c r="BN241" s="5">
        <v>223</v>
      </c>
      <c r="BO241" s="5">
        <v>31</v>
      </c>
      <c r="BP241" s="5">
        <v>10376</v>
      </c>
      <c r="BQ241" s="5">
        <v>52391</v>
      </c>
      <c r="BR241" s="5">
        <v>723</v>
      </c>
      <c r="BS241" s="5">
        <v>143</v>
      </c>
      <c r="BT241" s="5">
        <v>4525</v>
      </c>
      <c r="BU241" s="5">
        <v>87</v>
      </c>
      <c r="BV241" s="5"/>
      <c r="BW241" s="5">
        <v>2</v>
      </c>
      <c r="BX241" s="5">
        <v>99</v>
      </c>
      <c r="BY241" s="5"/>
      <c r="BZ241" s="5">
        <v>4</v>
      </c>
      <c r="CA241" s="5">
        <v>0</v>
      </c>
      <c r="CB241" s="5">
        <v>20052</v>
      </c>
      <c r="CC241" s="5">
        <v>16535</v>
      </c>
      <c r="CD241" s="5">
        <v>111714</v>
      </c>
      <c r="CE241" s="5">
        <v>174231</v>
      </c>
      <c r="CF241" s="5">
        <v>21985</v>
      </c>
      <c r="CG241" s="5">
        <v>35091</v>
      </c>
      <c r="CH241" s="5">
        <v>0</v>
      </c>
      <c r="CI241" s="5">
        <v>22</v>
      </c>
      <c r="CJ241" s="5">
        <v>4</v>
      </c>
      <c r="CK241" s="5">
        <v>24</v>
      </c>
      <c r="CL241" s="5"/>
      <c r="CM241" s="5"/>
      <c r="CN241" s="5"/>
      <c r="CO241" s="5"/>
      <c r="CP241" s="5"/>
      <c r="CQ241" s="5"/>
      <c r="CR241" s="5"/>
      <c r="CS241" s="5"/>
      <c r="CT241" s="5">
        <v>0</v>
      </c>
      <c r="CU241" s="5">
        <v>0</v>
      </c>
      <c r="CV241" s="5">
        <v>0</v>
      </c>
      <c r="CW241" s="5">
        <v>25</v>
      </c>
      <c r="CX241" s="5">
        <v>0</v>
      </c>
      <c r="CY241" s="5">
        <v>66</v>
      </c>
      <c r="DA241" s="6"/>
      <c r="DC241" s="6"/>
      <c r="DD241" s="6">
        <f t="shared" si="56"/>
        <v>461616</v>
      </c>
      <c r="DE241" s="6">
        <f t="shared" si="57"/>
        <v>224268</v>
      </c>
      <c r="DF241" s="8">
        <f t="shared" si="70"/>
        <v>685884</v>
      </c>
      <c r="DK241" s="6">
        <f t="shared" si="59"/>
        <v>60152</v>
      </c>
      <c r="DL241" s="6">
        <f t="shared" si="60"/>
        <v>121455</v>
      </c>
      <c r="DM241" s="6">
        <f t="shared" si="68"/>
        <v>10772</v>
      </c>
      <c r="DN241" s="6">
        <f t="shared" si="69"/>
        <v>32369</v>
      </c>
      <c r="DO241" s="6">
        <f t="shared" si="51"/>
        <v>329034</v>
      </c>
      <c r="DP241" s="6">
        <f t="shared" si="64"/>
        <v>57139</v>
      </c>
      <c r="DQ241" s="6"/>
      <c r="DR241" s="6">
        <f t="shared" si="52"/>
        <v>16557</v>
      </c>
      <c r="DS241" s="6">
        <f t="shared" si="53"/>
        <v>10376</v>
      </c>
      <c r="DT241" s="6">
        <f t="shared" si="54"/>
        <v>13419</v>
      </c>
      <c r="DU241" s="6"/>
      <c r="DV241" s="6"/>
      <c r="DW241" s="6">
        <f t="shared" si="55"/>
        <v>651273</v>
      </c>
      <c r="DY241" s="6">
        <f t="shared" si="61"/>
        <v>425202</v>
      </c>
      <c r="DZ241" s="6">
        <f t="shared" si="62"/>
        <v>48479</v>
      </c>
      <c r="EB241" s="6">
        <f t="shared" si="63"/>
        <v>734363</v>
      </c>
      <c r="EC241" s="6"/>
      <c r="ED241" s="6"/>
      <c r="EF241" s="6">
        <f t="shared" si="71"/>
        <v>416149</v>
      </c>
      <c r="EG241" s="6">
        <f t="shared" si="65"/>
        <v>218822</v>
      </c>
      <c r="EH241" s="6">
        <f t="shared" si="72"/>
        <v>634971</v>
      </c>
      <c r="EI241" s="6"/>
      <c r="ES241">
        <v>56916</v>
      </c>
      <c r="ET241">
        <v>2189</v>
      </c>
      <c r="EU241">
        <v>99732</v>
      </c>
      <c r="EV241">
        <v>19558</v>
      </c>
      <c r="EW241">
        <v>37215</v>
      </c>
      <c r="EX241">
        <v>2104</v>
      </c>
      <c r="EY241">
        <v>31780</v>
      </c>
      <c r="EZ241">
        <v>26268</v>
      </c>
      <c r="FA241">
        <v>342289</v>
      </c>
      <c r="FB241">
        <v>133</v>
      </c>
      <c r="FC241">
        <v>16557</v>
      </c>
      <c r="FD241">
        <v>254</v>
      </c>
      <c r="FE241" s="32">
        <f t="shared" ref="FE241:FE252" si="73">SUM(ES241:FD241)</f>
        <v>634995</v>
      </c>
      <c r="FF241" s="34">
        <f t="shared" ref="FF241:FF252" si="74">EH241</f>
        <v>634971</v>
      </c>
      <c r="FG241" s="31">
        <f t="shared" ref="FG241:FG252" si="75">FF241-FE241</f>
        <v>-24</v>
      </c>
    </row>
    <row r="242" spans="1:165">
      <c r="B242" s="4">
        <v>39326</v>
      </c>
      <c r="C242" s="5">
        <v>0</v>
      </c>
      <c r="D242" s="5">
        <v>13</v>
      </c>
      <c r="E242" s="5">
        <v>4514</v>
      </c>
      <c r="F242" s="5">
        <v>0</v>
      </c>
      <c r="G242" s="5">
        <v>825</v>
      </c>
      <c r="H242" s="5">
        <v>13329</v>
      </c>
      <c r="I242" s="5">
        <v>23108</v>
      </c>
      <c r="J242" s="5">
        <v>4019</v>
      </c>
      <c r="K242" s="5">
        <v>7289</v>
      </c>
      <c r="L242" s="5"/>
      <c r="M242" s="5">
        <v>29535</v>
      </c>
      <c r="N242" s="5">
        <v>2212</v>
      </c>
      <c r="O242" s="5"/>
      <c r="P242" s="5">
        <v>1580</v>
      </c>
      <c r="Q242" s="5">
        <v>9426</v>
      </c>
      <c r="R242" s="5">
        <v>433</v>
      </c>
      <c r="S242" s="5">
        <v>8611</v>
      </c>
      <c r="T242" s="5">
        <v>10847</v>
      </c>
      <c r="U242" s="5"/>
      <c r="V242" s="5"/>
      <c r="W242" s="5">
        <v>525</v>
      </c>
      <c r="X242" s="5">
        <v>7887</v>
      </c>
      <c r="Y242" s="5">
        <v>348</v>
      </c>
      <c r="Z242" s="5">
        <v>8</v>
      </c>
      <c r="AA242" s="155"/>
      <c r="AB242" s="5">
        <v>5</v>
      </c>
      <c r="AC242" s="5">
        <v>54</v>
      </c>
      <c r="AD242" s="5">
        <v>16</v>
      </c>
      <c r="AE242" s="5">
        <v>28</v>
      </c>
      <c r="AF242" s="5">
        <v>40</v>
      </c>
      <c r="AG242" s="5">
        <v>60</v>
      </c>
      <c r="AH242" s="5"/>
      <c r="AI242" s="5"/>
      <c r="AJ242" s="5">
        <v>5</v>
      </c>
      <c r="AK242" s="5">
        <v>8765</v>
      </c>
      <c r="AL242" s="5">
        <v>96658</v>
      </c>
      <c r="AM242" s="5">
        <v>3143</v>
      </c>
      <c r="AN242" s="5">
        <v>15686</v>
      </c>
      <c r="AO242" s="5">
        <v>32</v>
      </c>
      <c r="AP242" s="5">
        <v>27</v>
      </c>
      <c r="AQ242" s="5">
        <v>6148</v>
      </c>
      <c r="AR242" s="5">
        <v>0</v>
      </c>
      <c r="AS242" s="5">
        <v>1775</v>
      </c>
      <c r="AT242" s="5">
        <v>7</v>
      </c>
      <c r="AU242" s="5">
        <v>4339</v>
      </c>
      <c r="AV242" s="5">
        <v>2152</v>
      </c>
      <c r="AW242" s="5">
        <v>3752</v>
      </c>
      <c r="AX242" s="5">
        <v>10795</v>
      </c>
      <c r="AY242" s="155"/>
      <c r="AZ242" s="155"/>
      <c r="BA242" s="155">
        <v>495</v>
      </c>
      <c r="BB242" s="155"/>
      <c r="BC242" s="5">
        <v>371</v>
      </c>
      <c r="BD242" s="5"/>
      <c r="BE242" s="5">
        <v>0</v>
      </c>
      <c r="BF242" s="5">
        <v>0</v>
      </c>
      <c r="BG242" s="5">
        <v>988</v>
      </c>
      <c r="BH242" s="5">
        <v>0</v>
      </c>
      <c r="BI242" s="5">
        <v>0</v>
      </c>
      <c r="BJ242" s="5">
        <v>8395</v>
      </c>
      <c r="BK242" s="5">
        <v>35</v>
      </c>
      <c r="BL242" s="5">
        <v>3857</v>
      </c>
      <c r="BM242" s="5"/>
      <c r="BN242" s="5">
        <v>247</v>
      </c>
      <c r="BO242" s="5">
        <v>30</v>
      </c>
      <c r="BP242" s="5">
        <v>10119</v>
      </c>
      <c r="BQ242" s="5">
        <v>52999</v>
      </c>
      <c r="BR242" s="5">
        <v>708</v>
      </c>
      <c r="BS242" s="5">
        <v>143</v>
      </c>
      <c r="BT242" s="5">
        <v>4568</v>
      </c>
      <c r="BU242" s="5">
        <v>89</v>
      </c>
      <c r="BV242" s="5"/>
      <c r="BW242" s="5">
        <v>2</v>
      </c>
      <c r="BX242" s="5">
        <v>100</v>
      </c>
      <c r="BY242" s="5"/>
      <c r="BZ242" s="5">
        <v>7</v>
      </c>
      <c r="CA242" s="5">
        <v>0</v>
      </c>
      <c r="CB242" s="5">
        <v>20225</v>
      </c>
      <c r="CC242" s="5">
        <v>16731</v>
      </c>
      <c r="CD242" s="5">
        <v>112734</v>
      </c>
      <c r="CE242" s="5">
        <v>174719</v>
      </c>
      <c r="CF242" s="5">
        <v>21978</v>
      </c>
      <c r="CG242" s="5">
        <v>35351</v>
      </c>
      <c r="CH242" s="5">
        <v>0</v>
      </c>
      <c r="CI242" s="5">
        <v>21</v>
      </c>
      <c r="CJ242" s="5">
        <v>4</v>
      </c>
      <c r="CK242" s="5">
        <v>22</v>
      </c>
      <c r="CL242" s="5"/>
      <c r="CM242" s="5"/>
      <c r="CN242" s="5"/>
      <c r="CO242" s="5"/>
      <c r="CP242" s="5"/>
      <c r="CQ242" s="5"/>
      <c r="CR242" s="5"/>
      <c r="CS242" s="5"/>
      <c r="CT242" s="5">
        <v>0</v>
      </c>
      <c r="CU242" s="5">
        <v>0</v>
      </c>
      <c r="CV242" s="5">
        <v>0</v>
      </c>
      <c r="CW242" s="5">
        <v>25</v>
      </c>
      <c r="CX242" s="5">
        <v>0</v>
      </c>
      <c r="CY242" s="5">
        <v>66</v>
      </c>
      <c r="DA242" s="6"/>
      <c r="DC242" s="6"/>
      <c r="DD242" s="6">
        <f t="shared" si="56"/>
        <v>464072</v>
      </c>
      <c r="DE242" s="6">
        <f t="shared" si="57"/>
        <v>225270</v>
      </c>
      <c r="DF242" s="8">
        <f t="shared" si="70"/>
        <v>689342</v>
      </c>
      <c r="DK242" s="6">
        <f t="shared" si="59"/>
        <v>60209</v>
      </c>
      <c r="DL242" s="6">
        <f t="shared" si="60"/>
        <v>121993</v>
      </c>
      <c r="DM242" s="6">
        <f t="shared" si="68"/>
        <v>10847</v>
      </c>
      <c r="DN242" s="6">
        <f t="shared" si="69"/>
        <v>32716</v>
      </c>
      <c r="DO242" s="6">
        <f t="shared" si="51"/>
        <v>330696</v>
      </c>
      <c r="DP242" s="6">
        <f t="shared" si="64"/>
        <v>57814</v>
      </c>
      <c r="DQ242" s="6"/>
      <c r="DR242" s="6">
        <f t="shared" si="52"/>
        <v>16752</v>
      </c>
      <c r="DS242" s="6">
        <f t="shared" si="53"/>
        <v>10119</v>
      </c>
      <c r="DT242" s="6">
        <f t="shared" si="54"/>
        <v>13340</v>
      </c>
      <c r="DU242" s="6"/>
      <c r="DV242" s="6"/>
      <c r="DW242" s="6">
        <f t="shared" si="55"/>
        <v>654486</v>
      </c>
      <c r="DY242" s="6">
        <f t="shared" si="61"/>
        <v>427132</v>
      </c>
      <c r="DZ242" s="6">
        <f t="shared" si="62"/>
        <v>48570</v>
      </c>
      <c r="EB242" s="6">
        <f t="shared" si="63"/>
        <v>737912</v>
      </c>
      <c r="EC242" s="6"/>
      <c r="ED242" s="6"/>
      <c r="EF242" s="6">
        <f t="shared" si="71"/>
        <v>418602</v>
      </c>
      <c r="EG242" s="6">
        <f t="shared" si="65"/>
        <v>219617</v>
      </c>
      <c r="EH242" s="6">
        <f t="shared" si="72"/>
        <v>638219</v>
      </c>
      <c r="EI242" s="6"/>
      <c r="ES242">
        <v>57567</v>
      </c>
      <c r="ET242">
        <v>2156</v>
      </c>
      <c r="EU242">
        <v>100157</v>
      </c>
      <c r="EV242">
        <v>19700</v>
      </c>
      <c r="EW242">
        <v>37415</v>
      </c>
      <c r="EX242">
        <v>2105</v>
      </c>
      <c r="EY242">
        <v>31747</v>
      </c>
      <c r="EZ242">
        <v>26357</v>
      </c>
      <c r="FA242">
        <v>343871</v>
      </c>
      <c r="FB242">
        <v>135</v>
      </c>
      <c r="FC242">
        <v>16752</v>
      </c>
      <c r="FD242">
        <v>277</v>
      </c>
      <c r="FE242" s="32">
        <f t="shared" si="73"/>
        <v>638239</v>
      </c>
      <c r="FF242" s="34">
        <f t="shared" si="74"/>
        <v>638219</v>
      </c>
      <c r="FG242" s="31">
        <f t="shared" si="75"/>
        <v>-20</v>
      </c>
    </row>
    <row r="243" spans="1:165">
      <c r="B243" s="4">
        <v>39356</v>
      </c>
      <c r="C243" s="5">
        <v>0</v>
      </c>
      <c r="D243" s="5">
        <v>19</v>
      </c>
      <c r="E243" s="5">
        <v>5364</v>
      </c>
      <c r="F243" s="5">
        <v>1</v>
      </c>
      <c r="G243" s="5">
        <v>855</v>
      </c>
      <c r="H243" s="5">
        <v>13340</v>
      </c>
      <c r="I243" s="5">
        <v>22898</v>
      </c>
      <c r="J243" s="5">
        <v>3965</v>
      </c>
      <c r="K243" s="5">
        <v>7289</v>
      </c>
      <c r="L243" s="5"/>
      <c r="M243" s="5">
        <v>29536</v>
      </c>
      <c r="N243" s="5">
        <v>2213</v>
      </c>
      <c r="O243" s="5"/>
      <c r="P243" s="5">
        <v>1566</v>
      </c>
      <c r="Q243" s="5">
        <v>9530</v>
      </c>
      <c r="R243" s="5">
        <v>426</v>
      </c>
      <c r="S243" s="5">
        <v>8651</v>
      </c>
      <c r="T243" s="5">
        <v>10825</v>
      </c>
      <c r="U243" s="5"/>
      <c r="V243" s="5"/>
      <c r="W243" s="5">
        <v>512</v>
      </c>
      <c r="X243" s="5">
        <v>7875</v>
      </c>
      <c r="Y243" s="5">
        <v>345</v>
      </c>
      <c r="Z243" s="5">
        <v>8</v>
      </c>
      <c r="AA243" s="155"/>
      <c r="AB243" s="5">
        <v>5</v>
      </c>
      <c r="AC243" s="5">
        <v>55</v>
      </c>
      <c r="AD243" s="5">
        <v>18</v>
      </c>
      <c r="AE243" s="5">
        <v>27</v>
      </c>
      <c r="AF243" s="5">
        <v>43</v>
      </c>
      <c r="AG243" s="5">
        <v>58</v>
      </c>
      <c r="AH243" s="5"/>
      <c r="AI243" s="5"/>
      <c r="AJ243" s="5">
        <v>7</v>
      </c>
      <c r="AK243" s="5">
        <v>8726</v>
      </c>
      <c r="AL243" s="5">
        <v>96734</v>
      </c>
      <c r="AM243" s="5">
        <v>3152</v>
      </c>
      <c r="AN243" s="5">
        <v>15707</v>
      </c>
      <c r="AO243" s="5">
        <v>32</v>
      </c>
      <c r="AP243" s="5">
        <v>26</v>
      </c>
      <c r="AQ243" s="5">
        <v>6347</v>
      </c>
      <c r="AR243" s="5">
        <v>0</v>
      </c>
      <c r="AS243" s="5">
        <v>1724</v>
      </c>
      <c r="AT243" s="5">
        <v>8</v>
      </c>
      <c r="AU243" s="5">
        <v>4359</v>
      </c>
      <c r="AV243" s="5">
        <v>2152</v>
      </c>
      <c r="AW243" s="5">
        <v>3772</v>
      </c>
      <c r="AX243" s="5">
        <v>10797</v>
      </c>
      <c r="AY243" s="155"/>
      <c r="AZ243" s="155"/>
      <c r="BA243" s="155">
        <v>484</v>
      </c>
      <c r="BB243" s="155"/>
      <c r="BC243" s="5">
        <v>361</v>
      </c>
      <c r="BD243" s="5"/>
      <c r="BE243" s="5">
        <v>0</v>
      </c>
      <c r="BF243" s="5">
        <v>0</v>
      </c>
      <c r="BG243" s="5">
        <v>977</v>
      </c>
      <c r="BH243" s="5">
        <v>0</v>
      </c>
      <c r="BI243" s="5">
        <v>0</v>
      </c>
      <c r="BJ243" s="5">
        <v>8459</v>
      </c>
      <c r="BK243" s="5">
        <v>34</v>
      </c>
      <c r="BL243" s="5">
        <v>3821</v>
      </c>
      <c r="BM243" s="5"/>
      <c r="BN243" s="5">
        <v>256</v>
      </c>
      <c r="BO243" s="5">
        <v>30</v>
      </c>
      <c r="BP243" s="5">
        <v>10013</v>
      </c>
      <c r="BQ243" s="5">
        <v>53400</v>
      </c>
      <c r="BR243" s="5">
        <v>697</v>
      </c>
      <c r="BS243" s="5">
        <v>146</v>
      </c>
      <c r="BT243" s="5">
        <v>4479</v>
      </c>
      <c r="BU243" s="5">
        <v>79</v>
      </c>
      <c r="BV243" s="5"/>
      <c r="BW243" s="5">
        <v>2</v>
      </c>
      <c r="BX243" s="5">
        <v>101</v>
      </c>
      <c r="BY243" s="5"/>
      <c r="BZ243" s="5">
        <v>11</v>
      </c>
      <c r="CA243" s="5">
        <v>0</v>
      </c>
      <c r="CB243" s="5">
        <v>20500</v>
      </c>
      <c r="CC243" s="5">
        <v>16628</v>
      </c>
      <c r="CD243" s="5">
        <v>112689</v>
      </c>
      <c r="CE243" s="5">
        <v>174353</v>
      </c>
      <c r="CF243" s="5">
        <v>21704</v>
      </c>
      <c r="CG243" s="5">
        <v>35633</v>
      </c>
      <c r="CH243" s="5">
        <v>0</v>
      </c>
      <c r="CI243" s="5">
        <v>20</v>
      </c>
      <c r="CJ243" s="5">
        <v>2</v>
      </c>
      <c r="CK243" s="5">
        <v>24</v>
      </c>
      <c r="CL243" s="5"/>
      <c r="CM243" s="5"/>
      <c r="CN243" s="5"/>
      <c r="CO243" s="5"/>
      <c r="CP243" s="5"/>
      <c r="CQ243" s="5"/>
      <c r="CR243" s="5"/>
      <c r="CS243" s="5"/>
      <c r="CT243" s="5">
        <v>0</v>
      </c>
      <c r="CU243" s="5">
        <v>0</v>
      </c>
      <c r="CV243" s="5">
        <v>0</v>
      </c>
      <c r="CW243" s="5">
        <v>24</v>
      </c>
      <c r="CX243" s="5">
        <v>0</v>
      </c>
      <c r="CY243" s="5">
        <v>65</v>
      </c>
      <c r="DA243" s="6"/>
      <c r="DC243" s="6"/>
      <c r="DD243" s="6">
        <f t="shared" si="56"/>
        <v>464058</v>
      </c>
      <c r="DE243" s="6">
        <f t="shared" si="57"/>
        <v>225597</v>
      </c>
      <c r="DF243" s="8">
        <f t="shared" si="70"/>
        <v>689655</v>
      </c>
      <c r="DK243" s="6">
        <f t="shared" si="59"/>
        <v>60309</v>
      </c>
      <c r="DL243" s="6">
        <f t="shared" si="60"/>
        <v>122012</v>
      </c>
      <c r="DM243" s="6">
        <f t="shared" si="68"/>
        <v>10825</v>
      </c>
      <c r="DN243" s="6">
        <f t="shared" si="69"/>
        <v>32935</v>
      </c>
      <c r="DO243" s="6">
        <f t="shared" si="51"/>
        <v>330271</v>
      </c>
      <c r="DP243" s="6">
        <f t="shared" si="64"/>
        <v>58135</v>
      </c>
      <c r="DQ243" s="6"/>
      <c r="DR243" s="6">
        <f t="shared" si="52"/>
        <v>16648</v>
      </c>
      <c r="DS243" s="6">
        <f t="shared" si="53"/>
        <v>10013</v>
      </c>
      <c r="DT243" s="6">
        <f t="shared" si="54"/>
        <v>13358</v>
      </c>
      <c r="DU243" s="6"/>
      <c r="DV243" s="6"/>
      <c r="DW243" s="6">
        <f t="shared" si="55"/>
        <v>654506</v>
      </c>
      <c r="DY243" s="6">
        <f t="shared" si="61"/>
        <v>426754</v>
      </c>
      <c r="DZ243" s="6">
        <f t="shared" si="62"/>
        <v>48347</v>
      </c>
      <c r="EB243" s="6">
        <f t="shared" si="63"/>
        <v>738002</v>
      </c>
      <c r="EC243" s="6"/>
      <c r="ED243" s="6"/>
      <c r="EF243" s="6">
        <f t="shared" si="71"/>
        <v>418412</v>
      </c>
      <c r="EG243" s="6">
        <f t="shared" si="65"/>
        <v>219734</v>
      </c>
      <c r="EH243" s="6">
        <f t="shared" si="72"/>
        <v>638146</v>
      </c>
      <c r="EI243" s="6"/>
      <c r="ES243">
        <v>57879</v>
      </c>
      <c r="ET243">
        <v>2097</v>
      </c>
      <c r="EU243">
        <v>100239</v>
      </c>
      <c r="EV243">
        <v>19694</v>
      </c>
      <c r="EW243">
        <v>37413</v>
      </c>
      <c r="EX243">
        <v>2078</v>
      </c>
      <c r="EY243">
        <v>31749</v>
      </c>
      <c r="EZ243">
        <v>26482</v>
      </c>
      <c r="FA243">
        <v>343459</v>
      </c>
      <c r="FB243">
        <v>140</v>
      </c>
      <c r="FC243">
        <v>16648</v>
      </c>
      <c r="FD243">
        <v>286</v>
      </c>
      <c r="FE243" s="32">
        <f t="shared" si="73"/>
        <v>638164</v>
      </c>
      <c r="FF243" s="34">
        <f t="shared" si="74"/>
        <v>638146</v>
      </c>
      <c r="FG243" s="31">
        <f t="shared" si="75"/>
        <v>-18</v>
      </c>
    </row>
    <row r="244" spans="1:165">
      <c r="B244" s="4">
        <v>39387</v>
      </c>
      <c r="C244" s="5">
        <v>0</v>
      </c>
      <c r="D244" s="5">
        <v>21</v>
      </c>
      <c r="E244" s="5">
        <v>6021</v>
      </c>
      <c r="F244" s="5">
        <v>1</v>
      </c>
      <c r="G244" s="5">
        <v>926</v>
      </c>
      <c r="H244" s="5">
        <v>13619</v>
      </c>
      <c r="I244" s="5">
        <v>23470</v>
      </c>
      <c r="J244" s="5">
        <v>3990</v>
      </c>
      <c r="K244" s="5">
        <v>7435</v>
      </c>
      <c r="L244" s="5"/>
      <c r="M244" s="5">
        <v>29525</v>
      </c>
      <c r="N244" s="5">
        <v>2203</v>
      </c>
      <c r="O244" s="5"/>
      <c r="P244" s="5">
        <v>1595</v>
      </c>
      <c r="Q244" s="5">
        <v>9638</v>
      </c>
      <c r="R244" s="5">
        <v>438</v>
      </c>
      <c r="S244" s="5">
        <v>8643</v>
      </c>
      <c r="T244" s="5">
        <v>10878</v>
      </c>
      <c r="U244" s="5"/>
      <c r="V244" s="5"/>
      <c r="W244" s="5">
        <v>509</v>
      </c>
      <c r="X244" s="5">
        <v>7906</v>
      </c>
      <c r="Y244" s="5">
        <v>345</v>
      </c>
      <c r="Z244" s="5">
        <v>8</v>
      </c>
      <c r="AA244" s="155"/>
      <c r="AB244" s="5">
        <v>5</v>
      </c>
      <c r="AC244" s="5">
        <v>61</v>
      </c>
      <c r="AD244" s="5">
        <v>18</v>
      </c>
      <c r="AE244" s="5">
        <v>28</v>
      </c>
      <c r="AF244" s="5">
        <v>39</v>
      </c>
      <c r="AG244" s="5">
        <v>58</v>
      </c>
      <c r="AH244" s="5"/>
      <c r="AI244" s="5"/>
      <c r="AJ244" s="5">
        <v>6</v>
      </c>
      <c r="AK244" s="5">
        <v>8847</v>
      </c>
      <c r="AL244" s="5">
        <v>97229</v>
      </c>
      <c r="AM244" s="5">
        <v>3151</v>
      </c>
      <c r="AN244" s="5">
        <v>15743</v>
      </c>
      <c r="AO244" s="5">
        <v>30</v>
      </c>
      <c r="AP244" s="5">
        <v>23</v>
      </c>
      <c r="AQ244" s="5">
        <v>6534</v>
      </c>
      <c r="AR244" s="5">
        <v>0</v>
      </c>
      <c r="AS244" s="5">
        <v>1751</v>
      </c>
      <c r="AT244" s="5">
        <v>10</v>
      </c>
      <c r="AU244" s="5">
        <v>4440</v>
      </c>
      <c r="AV244" s="5">
        <v>2164</v>
      </c>
      <c r="AW244" s="5">
        <v>3815</v>
      </c>
      <c r="AX244" s="5">
        <v>10871</v>
      </c>
      <c r="AY244" s="155"/>
      <c r="AZ244" s="155"/>
      <c r="BA244" s="155">
        <v>498</v>
      </c>
      <c r="BB244" s="155"/>
      <c r="BC244" s="5">
        <v>375</v>
      </c>
      <c r="BD244" s="5"/>
      <c r="BE244" s="5">
        <v>0</v>
      </c>
      <c r="BF244" s="5">
        <v>0</v>
      </c>
      <c r="BG244" s="5">
        <v>980</v>
      </c>
      <c r="BH244" s="5">
        <v>0</v>
      </c>
      <c r="BI244" s="5">
        <v>0</v>
      </c>
      <c r="BJ244" s="5">
        <v>8495</v>
      </c>
      <c r="BK244" s="5">
        <v>34</v>
      </c>
      <c r="BL244" s="5">
        <v>3778</v>
      </c>
      <c r="BM244" s="5"/>
      <c r="BN244" s="5">
        <v>312</v>
      </c>
      <c r="BO244" s="5">
        <v>31</v>
      </c>
      <c r="BP244" s="5">
        <v>9894</v>
      </c>
      <c r="BQ244" s="5">
        <v>54286</v>
      </c>
      <c r="BR244" s="5">
        <v>736</v>
      </c>
      <c r="BS244" s="5">
        <v>144</v>
      </c>
      <c r="BT244" s="5">
        <v>4542</v>
      </c>
      <c r="BU244" s="5">
        <v>74</v>
      </c>
      <c r="BV244" s="5"/>
      <c r="BW244" s="5">
        <v>4</v>
      </c>
      <c r="BX244" s="5">
        <v>99</v>
      </c>
      <c r="BY244" s="5"/>
      <c r="BZ244" s="5">
        <v>9</v>
      </c>
      <c r="CA244" s="5">
        <v>0</v>
      </c>
      <c r="CB244" s="5">
        <v>20693</v>
      </c>
      <c r="CC244" s="5">
        <v>16593</v>
      </c>
      <c r="CD244" s="5">
        <v>113910</v>
      </c>
      <c r="CE244" s="5">
        <v>175504</v>
      </c>
      <c r="CF244" s="5">
        <v>22009</v>
      </c>
      <c r="CG244" s="5">
        <v>36187</v>
      </c>
      <c r="CH244" s="5">
        <v>0</v>
      </c>
      <c r="CI244" s="5">
        <v>20</v>
      </c>
      <c r="CJ244" s="5">
        <v>2</v>
      </c>
      <c r="CK244" s="5">
        <v>27</v>
      </c>
      <c r="CL244" s="5"/>
      <c r="CM244" s="5"/>
      <c r="CN244" s="5"/>
      <c r="CO244" s="5"/>
      <c r="CP244" s="5"/>
      <c r="CQ244" s="5"/>
      <c r="CR244" s="5"/>
      <c r="CS244" s="5"/>
      <c r="CT244" s="5">
        <v>0</v>
      </c>
      <c r="CU244" s="5">
        <v>0</v>
      </c>
      <c r="CV244" s="5">
        <v>0</v>
      </c>
      <c r="CW244" s="5">
        <v>24</v>
      </c>
      <c r="CX244" s="5">
        <v>0</v>
      </c>
      <c r="CY244" s="5">
        <v>63</v>
      </c>
      <c r="DA244" s="6"/>
      <c r="DC244" s="6"/>
      <c r="DD244" s="6">
        <f t="shared" si="56"/>
        <v>468363</v>
      </c>
      <c r="DE244" s="6">
        <f t="shared" si="57"/>
        <v>226886</v>
      </c>
      <c r="DF244" s="8">
        <f t="shared" si="70"/>
        <v>695249</v>
      </c>
      <c r="DK244" s="6">
        <f t="shared" si="59"/>
        <v>60457</v>
      </c>
      <c r="DL244" s="6">
        <f t="shared" si="60"/>
        <v>122820</v>
      </c>
      <c r="DM244" s="6">
        <f t="shared" si="68"/>
        <v>10878</v>
      </c>
      <c r="DN244" s="6">
        <f t="shared" si="69"/>
        <v>33229</v>
      </c>
      <c r="DO244" s="6">
        <f t="shared" si="51"/>
        <v>333177</v>
      </c>
      <c r="DP244" s="6">
        <f t="shared" si="64"/>
        <v>59140</v>
      </c>
      <c r="DQ244" s="6"/>
      <c r="DR244" s="6">
        <f t="shared" si="52"/>
        <v>16613</v>
      </c>
      <c r="DS244" s="6">
        <f t="shared" si="53"/>
        <v>9894</v>
      </c>
      <c r="DT244" s="6">
        <f t="shared" si="54"/>
        <v>13352</v>
      </c>
      <c r="DU244" s="6"/>
      <c r="DV244" s="6"/>
      <c r="DW244" s="6">
        <f t="shared" si="55"/>
        <v>659560</v>
      </c>
      <c r="DY244" s="6">
        <f t="shared" si="61"/>
        <v>431230</v>
      </c>
      <c r="DZ244" s="6">
        <f t="shared" si="62"/>
        <v>49440</v>
      </c>
      <c r="EB244" s="6">
        <f t="shared" si="63"/>
        <v>744689</v>
      </c>
      <c r="EC244" s="6"/>
      <c r="ED244" s="6"/>
      <c r="EF244" s="6">
        <f t="shared" si="71"/>
        <v>422282</v>
      </c>
      <c r="EG244" s="6">
        <f t="shared" si="65"/>
        <v>220850</v>
      </c>
      <c r="EH244" s="6">
        <f t="shared" si="72"/>
        <v>643132</v>
      </c>
      <c r="EI244" s="6"/>
      <c r="ES244">
        <v>58828</v>
      </c>
      <c r="ET244">
        <v>2137</v>
      </c>
      <c r="EU244">
        <v>100733</v>
      </c>
      <c r="EV244">
        <v>19963</v>
      </c>
      <c r="EW244">
        <v>37573</v>
      </c>
      <c r="EX244">
        <v>2104</v>
      </c>
      <c r="EY244">
        <v>31728</v>
      </c>
      <c r="EZ244">
        <v>26625</v>
      </c>
      <c r="FA244">
        <v>346357</v>
      </c>
      <c r="FB244">
        <v>141</v>
      </c>
      <c r="FC244">
        <v>16613</v>
      </c>
      <c r="FD244">
        <v>343</v>
      </c>
      <c r="FE244" s="32">
        <f t="shared" si="73"/>
        <v>643145</v>
      </c>
      <c r="FF244" s="34">
        <f t="shared" si="74"/>
        <v>643132</v>
      </c>
      <c r="FG244" s="31">
        <f t="shared" si="75"/>
        <v>-13</v>
      </c>
    </row>
    <row r="245" spans="1:165">
      <c r="B245" s="4">
        <v>39417</v>
      </c>
      <c r="C245" s="5">
        <v>0</v>
      </c>
      <c r="D245" s="5">
        <v>18</v>
      </c>
      <c r="E245" s="5">
        <v>5380</v>
      </c>
      <c r="F245" s="5">
        <v>1</v>
      </c>
      <c r="G245" s="5">
        <v>998</v>
      </c>
      <c r="H245" s="5">
        <v>13875</v>
      </c>
      <c r="I245" s="5">
        <v>23815</v>
      </c>
      <c r="J245" s="5">
        <v>4064</v>
      </c>
      <c r="K245" s="5">
        <v>7498</v>
      </c>
      <c r="L245" s="5"/>
      <c r="M245" s="5">
        <v>29384</v>
      </c>
      <c r="N245" s="5">
        <v>2187</v>
      </c>
      <c r="O245" s="5"/>
      <c r="P245" s="5">
        <v>1597</v>
      </c>
      <c r="Q245" s="5">
        <v>9624</v>
      </c>
      <c r="R245" s="5">
        <v>433</v>
      </c>
      <c r="S245" s="5">
        <v>8572</v>
      </c>
      <c r="T245" s="5">
        <v>10826</v>
      </c>
      <c r="U245" s="5"/>
      <c r="V245" s="5"/>
      <c r="W245" s="5">
        <v>500</v>
      </c>
      <c r="X245" s="5">
        <v>7924</v>
      </c>
      <c r="Y245" s="5">
        <v>342</v>
      </c>
      <c r="Z245" s="5">
        <v>7</v>
      </c>
      <c r="AA245" s="155"/>
      <c r="AB245" s="5">
        <v>3</v>
      </c>
      <c r="AC245" s="5">
        <v>60</v>
      </c>
      <c r="AD245" s="5">
        <v>17</v>
      </c>
      <c r="AE245" s="5">
        <v>27</v>
      </c>
      <c r="AF245" s="5">
        <v>41</v>
      </c>
      <c r="AG245" s="5">
        <v>59</v>
      </c>
      <c r="AH245" s="5"/>
      <c r="AI245" s="5"/>
      <c r="AJ245" s="5">
        <v>5</v>
      </c>
      <c r="AK245" s="5">
        <v>8891</v>
      </c>
      <c r="AL245" s="5">
        <v>97557</v>
      </c>
      <c r="AM245" s="5">
        <v>3158</v>
      </c>
      <c r="AN245" s="5">
        <v>15762</v>
      </c>
      <c r="AO245" s="5">
        <v>32</v>
      </c>
      <c r="AP245" s="5">
        <v>25</v>
      </c>
      <c r="AQ245" s="5">
        <v>6705</v>
      </c>
      <c r="AR245" s="5">
        <v>0</v>
      </c>
      <c r="AS245" s="5">
        <v>1741</v>
      </c>
      <c r="AT245" s="5">
        <v>12</v>
      </c>
      <c r="AU245" s="5">
        <v>4476</v>
      </c>
      <c r="AV245" s="5">
        <v>2161</v>
      </c>
      <c r="AW245" s="5">
        <v>3798</v>
      </c>
      <c r="AX245" s="5">
        <v>10920</v>
      </c>
      <c r="AY245" s="155"/>
      <c r="AZ245" s="155"/>
      <c r="BA245" s="155">
        <v>504</v>
      </c>
      <c r="BB245" s="155"/>
      <c r="BC245" s="5">
        <v>361</v>
      </c>
      <c r="BD245" s="5"/>
      <c r="BE245" s="5">
        <v>0</v>
      </c>
      <c r="BF245" s="5">
        <v>0</v>
      </c>
      <c r="BG245" s="5">
        <v>979</v>
      </c>
      <c r="BH245" s="5">
        <v>0</v>
      </c>
      <c r="BI245" s="5">
        <v>0</v>
      </c>
      <c r="BJ245" s="5">
        <v>8477</v>
      </c>
      <c r="BK245" s="5">
        <v>34</v>
      </c>
      <c r="BL245" s="5">
        <v>3752</v>
      </c>
      <c r="BM245" s="5"/>
      <c r="BN245" s="5">
        <v>311</v>
      </c>
      <c r="BO245" s="5">
        <v>32</v>
      </c>
      <c r="BP245" s="5">
        <v>9847</v>
      </c>
      <c r="BQ245" s="5">
        <v>54599</v>
      </c>
      <c r="BR245" s="5">
        <v>743</v>
      </c>
      <c r="BS245" s="5">
        <v>152</v>
      </c>
      <c r="BT245" s="5">
        <v>4449</v>
      </c>
      <c r="BU245" s="5">
        <v>84</v>
      </c>
      <c r="BV245" s="5"/>
      <c r="BW245" s="5">
        <v>4</v>
      </c>
      <c r="BX245" s="5">
        <v>99</v>
      </c>
      <c r="BY245" s="5"/>
      <c r="BZ245" s="5">
        <v>7</v>
      </c>
      <c r="CA245" s="5">
        <v>0</v>
      </c>
      <c r="CB245" s="5">
        <v>20613</v>
      </c>
      <c r="CC245" s="5">
        <v>16267</v>
      </c>
      <c r="CD245" s="5">
        <v>114160</v>
      </c>
      <c r="CE245" s="5">
        <v>175868</v>
      </c>
      <c r="CF245" s="5">
        <v>22424</v>
      </c>
      <c r="CG245" s="5">
        <v>36417</v>
      </c>
      <c r="CH245" s="5">
        <v>0</v>
      </c>
      <c r="CI245" s="5">
        <v>16</v>
      </c>
      <c r="CJ245" s="5">
        <v>2</v>
      </c>
      <c r="CK245" s="5">
        <v>24</v>
      </c>
      <c r="CL245" s="5"/>
      <c r="CM245" s="5"/>
      <c r="CN245" s="5"/>
      <c r="CO245" s="5"/>
      <c r="CP245" s="5"/>
      <c r="CQ245" s="5"/>
      <c r="CR245" s="5"/>
      <c r="CS245" s="5"/>
      <c r="CT245" s="5">
        <v>0</v>
      </c>
      <c r="CU245" s="5">
        <v>0</v>
      </c>
      <c r="CV245" s="5">
        <v>0</v>
      </c>
      <c r="CW245" s="5">
        <v>24</v>
      </c>
      <c r="CX245" s="5">
        <v>0</v>
      </c>
      <c r="CY245" s="5">
        <v>63</v>
      </c>
      <c r="DA245" s="6"/>
      <c r="DC245" s="6"/>
      <c r="DD245" s="6">
        <f t="shared" si="56"/>
        <v>469360</v>
      </c>
      <c r="DE245" s="6">
        <f t="shared" si="57"/>
        <v>227207</v>
      </c>
      <c r="DF245" s="8">
        <f t="shared" si="70"/>
        <v>696567</v>
      </c>
      <c r="DK245" s="6">
        <f t="shared" si="59"/>
        <v>60221</v>
      </c>
      <c r="DL245" s="6">
        <f t="shared" si="60"/>
        <v>123193</v>
      </c>
      <c r="DM245" s="6">
        <f t="shared" si="68"/>
        <v>10826</v>
      </c>
      <c r="DN245" s="6">
        <f t="shared" si="69"/>
        <v>33471</v>
      </c>
      <c r="DO245" s="6">
        <f t="shared" si="51"/>
        <v>334147</v>
      </c>
      <c r="DP245" s="6">
        <f t="shared" si="64"/>
        <v>59359</v>
      </c>
      <c r="DQ245" s="6"/>
      <c r="DR245" s="6">
        <f t="shared" si="52"/>
        <v>16283</v>
      </c>
      <c r="DS245" s="6">
        <f t="shared" si="53"/>
        <v>9847</v>
      </c>
      <c r="DT245" s="6">
        <f t="shared" si="54"/>
        <v>13307</v>
      </c>
      <c r="DU245" s="6"/>
      <c r="DV245" s="6"/>
      <c r="DW245" s="6">
        <f t="shared" si="55"/>
        <v>660654</v>
      </c>
      <c r="DY245" s="6">
        <f t="shared" si="61"/>
        <v>433123</v>
      </c>
      <c r="DZ245" s="6">
        <f t="shared" si="62"/>
        <v>50250</v>
      </c>
      <c r="EB245" s="6">
        <f t="shared" si="63"/>
        <v>746817</v>
      </c>
      <c r="EC245" s="6"/>
      <c r="ED245" s="6"/>
      <c r="EF245" s="6">
        <f t="shared" si="71"/>
        <v>423096</v>
      </c>
      <c r="EG245" s="6">
        <f t="shared" si="65"/>
        <v>221006</v>
      </c>
      <c r="EH245" s="6">
        <f t="shared" si="72"/>
        <v>644102</v>
      </c>
      <c r="EI245" s="6"/>
      <c r="ES245">
        <v>59048</v>
      </c>
      <c r="ET245">
        <v>2110</v>
      </c>
      <c r="EU245">
        <v>101064</v>
      </c>
      <c r="EV245">
        <v>20032</v>
      </c>
      <c r="EW245">
        <v>37592</v>
      </c>
      <c r="EX245">
        <v>2097</v>
      </c>
      <c r="EY245">
        <v>31571</v>
      </c>
      <c r="EZ245">
        <v>26553</v>
      </c>
      <c r="FA245">
        <v>347286</v>
      </c>
      <c r="FB245">
        <v>136</v>
      </c>
      <c r="FC245">
        <v>16283</v>
      </c>
      <c r="FD245">
        <v>343</v>
      </c>
      <c r="FE245" s="32">
        <f t="shared" si="73"/>
        <v>644115</v>
      </c>
      <c r="FF245" s="34">
        <f t="shared" si="74"/>
        <v>644102</v>
      </c>
      <c r="FG245" s="31">
        <f t="shared" si="75"/>
        <v>-13</v>
      </c>
    </row>
    <row r="246" spans="1:165" s="22" customFormat="1">
      <c r="A246" s="17"/>
      <c r="B246" s="4">
        <v>39448</v>
      </c>
      <c r="C246" s="5">
        <v>0</v>
      </c>
      <c r="D246" s="5">
        <v>12</v>
      </c>
      <c r="E246" s="5">
        <v>4476</v>
      </c>
      <c r="F246" s="5">
        <v>0</v>
      </c>
      <c r="G246" s="5">
        <v>1023</v>
      </c>
      <c r="H246" s="5">
        <v>13980</v>
      </c>
      <c r="I246" s="5">
        <v>23951</v>
      </c>
      <c r="J246" s="5">
        <v>4183</v>
      </c>
      <c r="K246" s="5">
        <v>7817</v>
      </c>
      <c r="L246" s="5"/>
      <c r="M246" s="5">
        <v>29377</v>
      </c>
      <c r="N246" s="5">
        <v>2182</v>
      </c>
      <c r="O246" s="5"/>
      <c r="P246" s="5">
        <v>1593</v>
      </c>
      <c r="Q246" s="5">
        <v>9630</v>
      </c>
      <c r="R246" s="5">
        <v>432</v>
      </c>
      <c r="S246" s="5">
        <v>8560</v>
      </c>
      <c r="T246" s="5">
        <v>10854</v>
      </c>
      <c r="U246" s="5"/>
      <c r="V246" s="5"/>
      <c r="W246" s="5">
        <v>498</v>
      </c>
      <c r="X246" s="5">
        <v>7930</v>
      </c>
      <c r="Y246" s="5">
        <v>340</v>
      </c>
      <c r="Z246" s="5">
        <v>7</v>
      </c>
      <c r="AA246" s="155"/>
      <c r="AB246" s="5">
        <v>3</v>
      </c>
      <c r="AC246" s="5">
        <v>65</v>
      </c>
      <c r="AD246" s="5">
        <v>16</v>
      </c>
      <c r="AE246" s="5">
        <v>26</v>
      </c>
      <c r="AF246" s="5">
        <v>42</v>
      </c>
      <c r="AG246" s="5">
        <v>57</v>
      </c>
      <c r="AH246" s="5"/>
      <c r="AI246" s="5"/>
      <c r="AJ246" s="5">
        <v>4</v>
      </c>
      <c r="AK246" s="5">
        <v>8926</v>
      </c>
      <c r="AL246" s="5">
        <v>97811</v>
      </c>
      <c r="AM246" s="5">
        <v>3146</v>
      </c>
      <c r="AN246" s="5">
        <v>15733</v>
      </c>
      <c r="AO246" s="5">
        <v>35</v>
      </c>
      <c r="AP246" s="5">
        <v>28</v>
      </c>
      <c r="AQ246" s="5">
        <v>0</v>
      </c>
      <c r="AR246" s="5">
        <v>0</v>
      </c>
      <c r="AS246" s="5">
        <v>1763</v>
      </c>
      <c r="AT246" s="5">
        <v>13</v>
      </c>
      <c r="AU246" s="5">
        <v>4498</v>
      </c>
      <c r="AV246" s="5">
        <v>2167</v>
      </c>
      <c r="AW246" s="5">
        <v>3785</v>
      </c>
      <c r="AX246" s="5">
        <v>10979</v>
      </c>
      <c r="AY246" s="155"/>
      <c r="AZ246" s="155"/>
      <c r="BA246" s="155">
        <v>503</v>
      </c>
      <c r="BB246" s="155"/>
      <c r="BC246" s="5">
        <v>342</v>
      </c>
      <c r="BD246" s="5"/>
      <c r="BE246" s="5">
        <v>0</v>
      </c>
      <c r="BF246" s="5">
        <v>0</v>
      </c>
      <c r="BG246" s="5">
        <v>978</v>
      </c>
      <c r="BH246" s="5">
        <v>0</v>
      </c>
      <c r="BI246" s="5">
        <v>0</v>
      </c>
      <c r="BJ246" s="5">
        <v>8453</v>
      </c>
      <c r="BK246" s="5">
        <v>37</v>
      </c>
      <c r="BL246" s="5">
        <v>3740</v>
      </c>
      <c r="BM246" s="5"/>
      <c r="BN246" s="5">
        <v>324</v>
      </c>
      <c r="BO246" s="5">
        <v>30</v>
      </c>
      <c r="BP246" s="5">
        <v>9731</v>
      </c>
      <c r="BQ246" s="5">
        <v>54764</v>
      </c>
      <c r="BR246" s="5">
        <v>741</v>
      </c>
      <c r="BS246" s="5">
        <v>155</v>
      </c>
      <c r="BT246" s="5">
        <v>4463</v>
      </c>
      <c r="BU246" s="5">
        <v>78</v>
      </c>
      <c r="BV246" s="5"/>
      <c r="BW246" s="5">
        <v>4</v>
      </c>
      <c r="BX246" s="5">
        <v>100</v>
      </c>
      <c r="BY246" s="5"/>
      <c r="BZ246" s="5">
        <v>6</v>
      </c>
      <c r="CA246" s="5">
        <v>0</v>
      </c>
      <c r="CB246" s="5">
        <v>20729</v>
      </c>
      <c r="CC246" s="5">
        <v>16114</v>
      </c>
      <c r="CD246" s="5">
        <v>113952</v>
      </c>
      <c r="CE246" s="5">
        <v>176034</v>
      </c>
      <c r="CF246" s="5">
        <v>22465</v>
      </c>
      <c r="CG246" s="5">
        <v>36572</v>
      </c>
      <c r="CH246" s="5">
        <v>0</v>
      </c>
      <c r="CI246" s="5">
        <v>16</v>
      </c>
      <c r="CJ246" s="5">
        <v>4</v>
      </c>
      <c r="CK246" s="5">
        <v>27</v>
      </c>
      <c r="CL246" s="5"/>
      <c r="CM246" s="5"/>
      <c r="CN246" s="5"/>
      <c r="CO246" s="5"/>
      <c r="CP246" s="5"/>
      <c r="CQ246" s="5"/>
      <c r="CR246" s="5"/>
      <c r="CS246" s="5"/>
      <c r="CT246" s="5">
        <v>0</v>
      </c>
      <c r="CU246" s="5">
        <v>0</v>
      </c>
      <c r="CV246" s="5">
        <v>0</v>
      </c>
      <c r="CW246" s="5">
        <v>24</v>
      </c>
      <c r="CX246" s="5">
        <v>0</v>
      </c>
      <c r="CY246" s="5">
        <v>63</v>
      </c>
      <c r="CZ246"/>
      <c r="DA246" s="6"/>
      <c r="DB246"/>
      <c r="DC246" s="6"/>
      <c r="DD246" s="6">
        <f t="shared" si="56"/>
        <v>469517</v>
      </c>
      <c r="DE246" s="6">
        <f t="shared" si="57"/>
        <v>220842</v>
      </c>
      <c r="DF246" s="8">
        <f t="shared" si="70"/>
        <v>690359</v>
      </c>
      <c r="DG246"/>
      <c r="DH246" s="191"/>
      <c r="DI246" s="191"/>
      <c r="DJ246" s="191"/>
      <c r="DK246" s="6">
        <f t="shared" si="59"/>
        <v>60202</v>
      </c>
      <c r="DL246" s="6">
        <f t="shared" si="60"/>
        <v>123492</v>
      </c>
      <c r="DM246" s="6">
        <f t="shared" si="68"/>
        <v>10854</v>
      </c>
      <c r="DN246" s="6">
        <f t="shared" si="69"/>
        <v>26797</v>
      </c>
      <c r="DO246" s="6">
        <f t="shared" si="51"/>
        <v>334262</v>
      </c>
      <c r="DP246" s="6">
        <f t="shared" si="64"/>
        <v>59551</v>
      </c>
      <c r="DQ246" s="6"/>
      <c r="DR246" s="6">
        <f t="shared" si="52"/>
        <v>16130</v>
      </c>
      <c r="DS246" s="6">
        <f t="shared" si="53"/>
        <v>9731</v>
      </c>
      <c r="DT246" s="6">
        <f t="shared" si="54"/>
        <v>13271</v>
      </c>
      <c r="DU246" s="6"/>
      <c r="DV246" s="6"/>
      <c r="DW246" s="6">
        <f t="shared" si="55"/>
        <v>654290</v>
      </c>
      <c r="DX246"/>
      <c r="DY246" s="6">
        <f t="shared" si="61"/>
        <v>434036</v>
      </c>
      <c r="DZ246" s="6">
        <f t="shared" si="62"/>
        <v>50954</v>
      </c>
      <c r="EA246"/>
      <c r="EB246" s="6">
        <f t="shared" si="63"/>
        <v>741313</v>
      </c>
      <c r="EC246" s="6"/>
      <c r="ED246" s="6"/>
      <c r="EE246"/>
      <c r="EF246" s="6">
        <f t="shared" si="71"/>
        <v>423214</v>
      </c>
      <c r="EG246" s="6">
        <f t="shared" si="65"/>
        <v>221345</v>
      </c>
      <c r="EH246" s="6">
        <f t="shared" si="72"/>
        <v>644559</v>
      </c>
      <c r="EI246" s="6"/>
      <c r="ES246" s="22">
        <v>59227</v>
      </c>
      <c r="ET246" s="22">
        <v>2112</v>
      </c>
      <c r="EU246" s="22">
        <v>101304</v>
      </c>
      <c r="EV246" s="22">
        <v>20091</v>
      </c>
      <c r="EW246" s="22">
        <v>37651</v>
      </c>
      <c r="EX246" s="22">
        <v>2091</v>
      </c>
      <c r="EY246" s="22">
        <v>31559</v>
      </c>
      <c r="EZ246" s="22">
        <v>26552</v>
      </c>
      <c r="FA246" s="22">
        <v>347362</v>
      </c>
      <c r="FB246" s="22">
        <v>141</v>
      </c>
      <c r="FC246" s="22">
        <v>16130</v>
      </c>
      <c r="FD246" s="22">
        <v>354</v>
      </c>
      <c r="FE246" s="32">
        <f t="shared" si="73"/>
        <v>644574</v>
      </c>
      <c r="FF246" s="34">
        <f t="shared" si="74"/>
        <v>644559</v>
      </c>
      <c r="FG246" s="31">
        <f t="shared" si="75"/>
        <v>-15</v>
      </c>
      <c r="FI246"/>
    </row>
    <row r="247" spans="1:165">
      <c r="B247" s="4">
        <v>39479</v>
      </c>
      <c r="C247" s="5">
        <v>0</v>
      </c>
      <c r="D247" s="5">
        <v>9</v>
      </c>
      <c r="E247" s="5">
        <v>3620</v>
      </c>
      <c r="F247" s="5">
        <v>0</v>
      </c>
      <c r="G247" s="5">
        <v>1044</v>
      </c>
      <c r="H247" s="5">
        <v>14107</v>
      </c>
      <c r="I247" s="5">
        <v>24317</v>
      </c>
      <c r="J247" s="5">
        <v>4308</v>
      </c>
      <c r="K247" s="5">
        <v>8065</v>
      </c>
      <c r="L247" s="5"/>
      <c r="M247" s="5">
        <v>29256</v>
      </c>
      <c r="N247" s="5">
        <v>2166</v>
      </c>
      <c r="O247" s="5"/>
      <c r="P247" s="5">
        <v>1575</v>
      </c>
      <c r="Q247" s="5">
        <v>9592</v>
      </c>
      <c r="R247" s="5">
        <v>431</v>
      </c>
      <c r="S247" s="5">
        <v>8521</v>
      </c>
      <c r="T247" s="5">
        <v>10838</v>
      </c>
      <c r="U247" s="5"/>
      <c r="V247" s="5"/>
      <c r="W247" s="5">
        <v>500</v>
      </c>
      <c r="X247" s="5">
        <v>7965</v>
      </c>
      <c r="Y247" s="5">
        <v>341</v>
      </c>
      <c r="Z247" s="5">
        <v>7</v>
      </c>
      <c r="AA247" s="155"/>
      <c r="AB247" s="5">
        <v>3</v>
      </c>
      <c r="AC247" s="5">
        <v>68</v>
      </c>
      <c r="AD247" s="5">
        <v>16</v>
      </c>
      <c r="AE247" s="5">
        <v>26</v>
      </c>
      <c r="AF247" s="5">
        <v>40</v>
      </c>
      <c r="AG247" s="5">
        <v>55</v>
      </c>
      <c r="AH247" s="5"/>
      <c r="AI247" s="5"/>
      <c r="AJ247" s="5">
        <v>4</v>
      </c>
      <c r="AK247" s="5">
        <v>8995</v>
      </c>
      <c r="AL247" s="5">
        <v>98147</v>
      </c>
      <c r="AM247" s="5">
        <v>3111</v>
      </c>
      <c r="AN247" s="5">
        <v>15930</v>
      </c>
      <c r="AO247" s="5">
        <v>31</v>
      </c>
      <c r="AP247" s="5">
        <v>28</v>
      </c>
      <c r="AQ247" s="5">
        <v>2853</v>
      </c>
      <c r="AR247" s="5">
        <v>0</v>
      </c>
      <c r="AS247" s="5">
        <v>1763</v>
      </c>
      <c r="AT247" s="5">
        <v>14</v>
      </c>
      <c r="AU247" s="5">
        <v>4536</v>
      </c>
      <c r="AV247" s="5">
        <v>2192</v>
      </c>
      <c r="AW247" s="5">
        <v>3784</v>
      </c>
      <c r="AX247" s="5">
        <v>11071</v>
      </c>
      <c r="AY247" s="155"/>
      <c r="AZ247" s="155"/>
      <c r="BA247" s="155">
        <v>513</v>
      </c>
      <c r="BB247" s="155"/>
      <c r="BC247" s="5">
        <v>357</v>
      </c>
      <c r="BD247" s="5"/>
      <c r="BE247" s="5">
        <v>0</v>
      </c>
      <c r="BF247" s="5">
        <v>0</v>
      </c>
      <c r="BG247" s="5">
        <v>994</v>
      </c>
      <c r="BH247" s="5">
        <v>0</v>
      </c>
      <c r="BI247" s="5">
        <v>0</v>
      </c>
      <c r="BJ247" s="5">
        <v>8456</v>
      </c>
      <c r="BK247" s="5">
        <v>39</v>
      </c>
      <c r="BL247" s="5">
        <v>3722</v>
      </c>
      <c r="BM247" s="5"/>
      <c r="BN247" s="5">
        <v>308</v>
      </c>
      <c r="BO247" s="5">
        <v>30</v>
      </c>
      <c r="BP247" s="5">
        <v>8677</v>
      </c>
      <c r="BQ247" s="5">
        <v>55690</v>
      </c>
      <c r="BR247" s="5">
        <v>715</v>
      </c>
      <c r="BS247" s="5">
        <v>160</v>
      </c>
      <c r="BT247" s="5">
        <v>4501</v>
      </c>
      <c r="BU247" s="5">
        <v>64</v>
      </c>
      <c r="BV247" s="5"/>
      <c r="BW247" s="5">
        <v>3</v>
      </c>
      <c r="BX247" s="5">
        <v>99</v>
      </c>
      <c r="BY247" s="5"/>
      <c r="BZ247" s="5">
        <v>7</v>
      </c>
      <c r="CA247" s="5">
        <v>0</v>
      </c>
      <c r="CB247" s="5">
        <v>20687</v>
      </c>
      <c r="CC247" s="5">
        <v>16243</v>
      </c>
      <c r="CD247" s="5">
        <v>115055</v>
      </c>
      <c r="CE247" s="5">
        <v>177208</v>
      </c>
      <c r="CF247" s="5">
        <v>23196</v>
      </c>
      <c r="CG247" s="5">
        <v>36793</v>
      </c>
      <c r="CH247" s="5">
        <v>0</v>
      </c>
      <c r="CI247" s="5">
        <v>15</v>
      </c>
      <c r="CJ247" s="5">
        <v>5</v>
      </c>
      <c r="CK247" s="5">
        <v>25</v>
      </c>
      <c r="CL247" s="5"/>
      <c r="CM247" s="5"/>
      <c r="CN247" s="5"/>
      <c r="CO247" s="5"/>
      <c r="CP247" s="5"/>
      <c r="CQ247" s="5"/>
      <c r="CR247" s="5"/>
      <c r="CS247" s="5"/>
      <c r="CT247" s="5">
        <v>0</v>
      </c>
      <c r="CU247" s="5">
        <v>0</v>
      </c>
      <c r="CV247" s="5">
        <v>0</v>
      </c>
      <c r="CW247" s="5">
        <v>24</v>
      </c>
      <c r="CX247" s="5">
        <v>0</v>
      </c>
      <c r="CY247" s="5">
        <v>63</v>
      </c>
      <c r="DA247" s="6"/>
      <c r="DC247" s="6"/>
      <c r="DD247" s="6">
        <f t="shared" si="56"/>
        <v>472692</v>
      </c>
      <c r="DE247" s="6">
        <f t="shared" si="57"/>
        <v>224216</v>
      </c>
      <c r="DF247" s="8">
        <f t="shared" si="70"/>
        <v>696908</v>
      </c>
      <c r="DK247" s="6">
        <f t="shared" si="59"/>
        <v>60006</v>
      </c>
      <c r="DL247" s="6">
        <f t="shared" si="60"/>
        <v>123948</v>
      </c>
      <c r="DM247" s="6">
        <f t="shared" si="68"/>
        <v>10838</v>
      </c>
      <c r="DN247" s="6">
        <f t="shared" si="69"/>
        <v>29937</v>
      </c>
      <c r="DO247" s="6">
        <f t="shared" si="51"/>
        <v>337194</v>
      </c>
      <c r="DP247" s="6">
        <f t="shared" si="64"/>
        <v>60499</v>
      </c>
      <c r="DQ247" s="6"/>
      <c r="DR247" s="6">
        <f t="shared" si="52"/>
        <v>16258</v>
      </c>
      <c r="DS247" s="6">
        <f t="shared" si="53"/>
        <v>8677</v>
      </c>
      <c r="DT247" s="6">
        <f t="shared" si="54"/>
        <v>13271</v>
      </c>
      <c r="DU247" s="6"/>
      <c r="DV247" s="6"/>
      <c r="DW247" s="6">
        <f t="shared" si="55"/>
        <v>660628</v>
      </c>
      <c r="DY247" s="6">
        <f t="shared" si="61"/>
        <v>438055</v>
      </c>
      <c r="DZ247" s="6">
        <f t="shared" si="62"/>
        <v>51841</v>
      </c>
      <c r="EB247" s="6">
        <f t="shared" si="63"/>
        <v>748749</v>
      </c>
      <c r="EC247" s="6"/>
      <c r="ED247" s="6"/>
      <c r="EF247" s="6">
        <f t="shared" si="71"/>
        <v>427222</v>
      </c>
      <c r="EG247" s="6">
        <f t="shared" si="65"/>
        <v>221876</v>
      </c>
      <c r="EH247" s="6">
        <f t="shared" si="72"/>
        <v>649098</v>
      </c>
      <c r="EI247" s="6"/>
      <c r="ES247">
        <v>60191</v>
      </c>
      <c r="ET247">
        <v>2127</v>
      </c>
      <c r="EU247">
        <v>101606</v>
      </c>
      <c r="EV247">
        <v>20229</v>
      </c>
      <c r="EW247">
        <v>37922</v>
      </c>
      <c r="EX247">
        <v>2075</v>
      </c>
      <c r="EY247">
        <v>31422</v>
      </c>
      <c r="EZ247">
        <v>26509</v>
      </c>
      <c r="FA247">
        <v>350296</v>
      </c>
      <c r="FB247">
        <v>139</v>
      </c>
      <c r="FC247">
        <v>16258</v>
      </c>
      <c r="FD247">
        <v>338</v>
      </c>
      <c r="FE247" s="32">
        <f t="shared" si="73"/>
        <v>649112</v>
      </c>
      <c r="FF247" s="34">
        <f t="shared" si="74"/>
        <v>649098</v>
      </c>
      <c r="FG247" s="31">
        <f t="shared" si="75"/>
        <v>-14</v>
      </c>
    </row>
    <row r="248" spans="1:165">
      <c r="B248" s="4">
        <v>39508</v>
      </c>
      <c r="C248" s="5">
        <v>0</v>
      </c>
      <c r="D248" s="5">
        <v>4</v>
      </c>
      <c r="E248" s="5">
        <v>2743</v>
      </c>
      <c r="F248" s="5">
        <v>0</v>
      </c>
      <c r="G248" s="5">
        <v>1071</v>
      </c>
      <c r="H248" s="5">
        <v>14153</v>
      </c>
      <c r="I248" s="5">
        <v>24458</v>
      </c>
      <c r="J248" s="5">
        <v>4501</v>
      </c>
      <c r="K248" s="5">
        <v>8354</v>
      </c>
      <c r="L248" s="5"/>
      <c r="M248" s="5">
        <v>29198</v>
      </c>
      <c r="N248" s="5">
        <v>2146</v>
      </c>
      <c r="O248" s="5"/>
      <c r="P248" s="5">
        <v>1554</v>
      </c>
      <c r="Q248" s="5">
        <v>9646</v>
      </c>
      <c r="R248" s="5">
        <v>432</v>
      </c>
      <c r="S248" s="5">
        <v>8592</v>
      </c>
      <c r="T248" s="5">
        <v>10826</v>
      </c>
      <c r="U248" s="5"/>
      <c r="V248" s="5"/>
      <c r="W248" s="5">
        <v>488</v>
      </c>
      <c r="X248" s="5">
        <v>7959</v>
      </c>
      <c r="Y248" s="5">
        <v>343</v>
      </c>
      <c r="Z248" s="5">
        <v>7</v>
      </c>
      <c r="AA248" s="155"/>
      <c r="AB248" s="5">
        <v>4</v>
      </c>
      <c r="AC248" s="5">
        <v>68</v>
      </c>
      <c r="AD248" s="5">
        <v>14</v>
      </c>
      <c r="AE248" s="5">
        <v>26</v>
      </c>
      <c r="AF248" s="5">
        <v>41</v>
      </c>
      <c r="AG248" s="5">
        <v>57</v>
      </c>
      <c r="AH248" s="5"/>
      <c r="AI248" s="5"/>
      <c r="AJ248" s="5">
        <v>5</v>
      </c>
      <c r="AK248" s="5">
        <v>8981</v>
      </c>
      <c r="AL248" s="5">
        <v>97793</v>
      </c>
      <c r="AM248" s="5">
        <v>3071</v>
      </c>
      <c r="AN248" s="5">
        <v>16072</v>
      </c>
      <c r="AO248" s="5">
        <v>32</v>
      </c>
      <c r="AP248" s="5">
        <v>29</v>
      </c>
      <c r="AQ248" s="5">
        <v>4600</v>
      </c>
      <c r="AR248" s="5">
        <v>0</v>
      </c>
      <c r="AS248" s="5">
        <v>1775</v>
      </c>
      <c r="AT248" s="5">
        <v>15</v>
      </c>
      <c r="AU248" s="5">
        <v>4615</v>
      </c>
      <c r="AV248" s="5">
        <v>2199</v>
      </c>
      <c r="AW248" s="5">
        <v>3805</v>
      </c>
      <c r="AX248" s="5">
        <v>11159</v>
      </c>
      <c r="AY248" s="155"/>
      <c r="AZ248" s="155"/>
      <c r="BA248" s="155">
        <v>521</v>
      </c>
      <c r="BB248" s="155"/>
      <c r="BC248" s="5">
        <v>350</v>
      </c>
      <c r="BD248" s="5"/>
      <c r="BE248" s="5">
        <v>0</v>
      </c>
      <c r="BF248" s="5">
        <v>0</v>
      </c>
      <c r="BG248" s="5">
        <v>988</v>
      </c>
      <c r="BH248" s="5">
        <v>0</v>
      </c>
      <c r="BI248" s="5">
        <v>0</v>
      </c>
      <c r="BJ248" s="5">
        <v>8466</v>
      </c>
      <c r="BK248" s="5">
        <v>39</v>
      </c>
      <c r="BL248" s="5">
        <v>3701</v>
      </c>
      <c r="BM248" s="5"/>
      <c r="BN248" s="5">
        <v>305</v>
      </c>
      <c r="BO248" s="5">
        <v>29</v>
      </c>
      <c r="BP248" s="5">
        <v>8143</v>
      </c>
      <c r="BQ248" s="5">
        <v>56024</v>
      </c>
      <c r="BR248" s="5">
        <v>690</v>
      </c>
      <c r="BS248" s="5">
        <v>161</v>
      </c>
      <c r="BT248" s="5">
        <v>4539</v>
      </c>
      <c r="BU248" s="5">
        <v>65</v>
      </c>
      <c r="BV248" s="5"/>
      <c r="BW248" s="5">
        <v>5</v>
      </c>
      <c r="BX248" s="5">
        <v>97</v>
      </c>
      <c r="BY248" s="5"/>
      <c r="BZ248" s="5">
        <v>8</v>
      </c>
      <c r="CA248" s="5">
        <v>0</v>
      </c>
      <c r="CB248" s="5">
        <v>20522</v>
      </c>
      <c r="CC248" s="5">
        <v>16389</v>
      </c>
      <c r="CD248" s="5">
        <v>115569</v>
      </c>
      <c r="CE248" s="5">
        <v>177905</v>
      </c>
      <c r="CF248" s="5">
        <v>23446</v>
      </c>
      <c r="CG248" s="5">
        <v>36491</v>
      </c>
      <c r="CH248" s="5">
        <v>0</v>
      </c>
      <c r="CI248" s="5">
        <v>17</v>
      </c>
      <c r="CJ248" s="5">
        <v>5</v>
      </c>
      <c r="CK248" s="5">
        <v>22</v>
      </c>
      <c r="CL248" s="5"/>
      <c r="CM248" s="5"/>
      <c r="CN248" s="5"/>
      <c r="CO248" s="5"/>
      <c r="CP248" s="5"/>
      <c r="CQ248" s="5"/>
      <c r="CR248" s="5"/>
      <c r="CS248" s="5"/>
      <c r="CT248" s="5">
        <v>0</v>
      </c>
      <c r="CU248" s="5">
        <v>0</v>
      </c>
      <c r="CV248" s="5">
        <v>0</v>
      </c>
      <c r="CW248" s="5">
        <v>24</v>
      </c>
      <c r="CX248" s="5">
        <v>0</v>
      </c>
      <c r="CY248" s="5">
        <v>63</v>
      </c>
      <c r="DA248" s="6"/>
      <c r="DC248" s="6"/>
      <c r="DD248" s="6">
        <f t="shared" si="56"/>
        <v>473626</v>
      </c>
      <c r="DE248" s="6">
        <f t="shared" si="57"/>
        <v>225902</v>
      </c>
      <c r="DF248" s="8">
        <f t="shared" si="70"/>
        <v>699528</v>
      </c>
      <c r="DK248" s="6">
        <f t="shared" si="59"/>
        <v>60015</v>
      </c>
      <c r="DL248" s="6">
        <f t="shared" si="60"/>
        <v>123665</v>
      </c>
      <c r="DM248" s="6">
        <f t="shared" si="68"/>
        <v>10826</v>
      </c>
      <c r="DN248" s="6">
        <f t="shared" si="69"/>
        <v>31917</v>
      </c>
      <c r="DO248" s="6">
        <f t="shared" si="51"/>
        <v>338466</v>
      </c>
      <c r="DP248" s="6">
        <f t="shared" si="64"/>
        <v>60868</v>
      </c>
      <c r="DQ248" s="6"/>
      <c r="DR248" s="6">
        <f t="shared" si="52"/>
        <v>16406</v>
      </c>
      <c r="DS248" s="6">
        <f t="shared" si="53"/>
        <v>8143</v>
      </c>
      <c r="DT248" s="6">
        <f t="shared" si="54"/>
        <v>13252</v>
      </c>
      <c r="DU248" s="6"/>
      <c r="DV248" s="6"/>
      <c r="DW248" s="6">
        <f t="shared" si="55"/>
        <v>663558</v>
      </c>
      <c r="DY248" s="6">
        <f t="shared" si="61"/>
        <v>439675</v>
      </c>
      <c r="DZ248" s="6">
        <f t="shared" si="62"/>
        <v>52537</v>
      </c>
      <c r="EB248" s="6">
        <f t="shared" si="63"/>
        <v>752065</v>
      </c>
      <c r="EC248" s="6"/>
      <c r="ED248" s="6"/>
      <c r="EF248" s="6">
        <f t="shared" si="71"/>
        <v>428992</v>
      </c>
      <c r="EG248" s="6">
        <f t="shared" ref="EG248:EG279" si="76">SUM(M248:BC248)-AQ248</f>
        <v>221823</v>
      </c>
      <c r="EH248" s="6">
        <f t="shared" si="72"/>
        <v>650815</v>
      </c>
      <c r="EI248" s="6"/>
      <c r="ES248">
        <v>60563</v>
      </c>
      <c r="ET248">
        <v>2134</v>
      </c>
      <c r="EU248">
        <v>101214</v>
      </c>
      <c r="EV248">
        <v>20331</v>
      </c>
      <c r="EW248">
        <v>38143</v>
      </c>
      <c r="EX248">
        <v>2042</v>
      </c>
      <c r="EY248">
        <v>31344</v>
      </c>
      <c r="EZ248">
        <v>26629</v>
      </c>
      <c r="FA248">
        <v>351552</v>
      </c>
      <c r="FB248">
        <v>137</v>
      </c>
      <c r="FC248">
        <v>16406</v>
      </c>
      <c r="FD248">
        <v>334</v>
      </c>
      <c r="FE248" s="32">
        <f t="shared" si="73"/>
        <v>650829</v>
      </c>
      <c r="FF248" s="34">
        <f t="shared" si="74"/>
        <v>650815</v>
      </c>
      <c r="FG248" s="31">
        <f t="shared" si="75"/>
        <v>-14</v>
      </c>
    </row>
    <row r="249" spans="1:165">
      <c r="B249" s="4">
        <v>39539</v>
      </c>
      <c r="C249" s="5">
        <v>0</v>
      </c>
      <c r="D249" s="5">
        <v>2</v>
      </c>
      <c r="E249" s="5">
        <v>1809</v>
      </c>
      <c r="F249" s="5">
        <v>0</v>
      </c>
      <c r="G249" s="5">
        <v>1093</v>
      </c>
      <c r="H249" s="5">
        <v>14325</v>
      </c>
      <c r="I249" s="5">
        <v>24600</v>
      </c>
      <c r="J249" s="5">
        <v>4678</v>
      </c>
      <c r="K249" s="5">
        <v>8576</v>
      </c>
      <c r="L249" s="5"/>
      <c r="M249" s="5">
        <v>29114</v>
      </c>
      <c r="N249" s="5">
        <v>2140</v>
      </c>
      <c r="O249" s="5"/>
      <c r="P249" s="5">
        <v>1543</v>
      </c>
      <c r="Q249" s="5">
        <v>9634</v>
      </c>
      <c r="R249" s="5">
        <v>439</v>
      </c>
      <c r="S249" s="5">
        <v>8541</v>
      </c>
      <c r="T249" s="5">
        <v>10819</v>
      </c>
      <c r="U249" s="5"/>
      <c r="V249" s="5"/>
      <c r="W249" s="5">
        <v>490</v>
      </c>
      <c r="X249" s="5">
        <v>7974</v>
      </c>
      <c r="Y249" s="5">
        <v>341</v>
      </c>
      <c r="Z249" s="5">
        <v>7</v>
      </c>
      <c r="AA249" s="155"/>
      <c r="AB249" s="5">
        <v>4</v>
      </c>
      <c r="AC249" s="5">
        <v>73</v>
      </c>
      <c r="AD249" s="5">
        <v>12</v>
      </c>
      <c r="AE249" s="5">
        <v>26</v>
      </c>
      <c r="AF249" s="5">
        <v>43</v>
      </c>
      <c r="AG249" s="5">
        <v>59</v>
      </c>
      <c r="AH249" s="5"/>
      <c r="AI249" s="5"/>
      <c r="AJ249" s="5">
        <v>5</v>
      </c>
      <c r="AK249" s="5">
        <v>9040</v>
      </c>
      <c r="AL249" s="5">
        <v>97892</v>
      </c>
      <c r="AM249" s="5">
        <v>3075</v>
      </c>
      <c r="AN249" s="5">
        <v>16185</v>
      </c>
      <c r="AO249" s="5">
        <v>33</v>
      </c>
      <c r="AP249" s="5">
        <v>31</v>
      </c>
      <c r="AQ249" s="5">
        <v>5313</v>
      </c>
      <c r="AR249" s="5">
        <v>0</v>
      </c>
      <c r="AS249" s="5">
        <v>1770</v>
      </c>
      <c r="AT249" s="5">
        <v>15</v>
      </c>
      <c r="AU249" s="5">
        <v>4627</v>
      </c>
      <c r="AV249" s="5">
        <v>2232</v>
      </c>
      <c r="AW249" s="5">
        <v>3809</v>
      </c>
      <c r="AX249" s="5">
        <v>11174</v>
      </c>
      <c r="AY249" s="155"/>
      <c r="AZ249" s="155"/>
      <c r="BA249" s="155">
        <v>523</v>
      </c>
      <c r="BB249" s="155"/>
      <c r="BC249" s="5">
        <v>342</v>
      </c>
      <c r="BD249" s="5"/>
      <c r="BE249" s="5">
        <v>0</v>
      </c>
      <c r="BF249" s="5">
        <v>0</v>
      </c>
      <c r="BG249" s="5">
        <v>973</v>
      </c>
      <c r="BH249" s="5">
        <v>0</v>
      </c>
      <c r="BI249" s="5">
        <v>0</v>
      </c>
      <c r="BJ249" s="5">
        <v>8515</v>
      </c>
      <c r="BK249" s="5">
        <v>37</v>
      </c>
      <c r="BL249" s="5">
        <v>3659</v>
      </c>
      <c r="BM249" s="5"/>
      <c r="BN249" s="5">
        <v>305</v>
      </c>
      <c r="BO249" s="5">
        <v>28</v>
      </c>
      <c r="BP249" s="5">
        <v>7649</v>
      </c>
      <c r="BQ249" s="5">
        <v>56531</v>
      </c>
      <c r="BR249" s="5">
        <v>704</v>
      </c>
      <c r="BS249" s="5">
        <v>158</v>
      </c>
      <c r="BT249" s="5">
        <v>4623</v>
      </c>
      <c r="BU249" s="5">
        <v>60</v>
      </c>
      <c r="BV249" s="5"/>
      <c r="BW249" s="5">
        <v>6</v>
      </c>
      <c r="BX249" s="5">
        <v>99</v>
      </c>
      <c r="BY249" s="5"/>
      <c r="BZ249" s="5">
        <v>5</v>
      </c>
      <c r="CA249" s="5">
        <v>0</v>
      </c>
      <c r="CB249" s="5">
        <v>20432</v>
      </c>
      <c r="CC249" s="5">
        <v>16465</v>
      </c>
      <c r="CD249" s="5">
        <v>116528</v>
      </c>
      <c r="CE249" s="5">
        <v>179296</v>
      </c>
      <c r="CF249" s="5">
        <v>23717</v>
      </c>
      <c r="CG249" s="5">
        <v>36609</v>
      </c>
      <c r="CH249" s="5">
        <v>0</v>
      </c>
      <c r="CI249" s="5">
        <v>17</v>
      </c>
      <c r="CJ249" s="5">
        <v>5</v>
      </c>
      <c r="CK249" s="5">
        <v>22</v>
      </c>
      <c r="CL249" s="5"/>
      <c r="CM249" s="5"/>
      <c r="CN249" s="5"/>
      <c r="CO249" s="5"/>
      <c r="CP249" s="5"/>
      <c r="CQ249" s="5"/>
      <c r="CR249" s="5"/>
      <c r="CS249" s="5"/>
      <c r="CT249" s="5">
        <v>0</v>
      </c>
      <c r="CU249" s="5">
        <v>0</v>
      </c>
      <c r="CV249" s="5">
        <v>0</v>
      </c>
      <c r="CW249" s="5">
        <v>24</v>
      </c>
      <c r="CX249" s="5">
        <v>0</v>
      </c>
      <c r="CY249" s="5">
        <v>62</v>
      </c>
      <c r="DA249" s="6"/>
      <c r="DC249" s="6"/>
      <c r="DD249" s="6">
        <f t="shared" si="56"/>
        <v>476443</v>
      </c>
      <c r="DE249" s="6">
        <f t="shared" si="57"/>
        <v>226802</v>
      </c>
      <c r="DF249" s="8">
        <f t="shared" si="70"/>
        <v>703245</v>
      </c>
      <c r="DK249" s="6">
        <f t="shared" si="59"/>
        <v>59875</v>
      </c>
      <c r="DL249" s="6">
        <f t="shared" si="60"/>
        <v>123869</v>
      </c>
      <c r="DM249" s="6">
        <f t="shared" si="68"/>
        <v>10819</v>
      </c>
      <c r="DN249" s="6">
        <f t="shared" si="69"/>
        <v>32762</v>
      </c>
      <c r="DO249" s="6">
        <f t="shared" si="51"/>
        <v>340998</v>
      </c>
      <c r="DP249" s="6">
        <f t="shared" si="64"/>
        <v>61459</v>
      </c>
      <c r="DQ249" s="6"/>
      <c r="DR249" s="6">
        <f t="shared" si="52"/>
        <v>16482</v>
      </c>
      <c r="DS249" s="6">
        <f t="shared" si="53"/>
        <v>7649</v>
      </c>
      <c r="DT249" s="6">
        <f t="shared" si="54"/>
        <v>13246</v>
      </c>
      <c r="DU249" s="6"/>
      <c r="DV249" s="6"/>
      <c r="DW249" s="6">
        <f t="shared" si="55"/>
        <v>667159</v>
      </c>
      <c r="DY249" s="6">
        <f t="shared" si="61"/>
        <v>443032</v>
      </c>
      <c r="DZ249" s="6">
        <f t="shared" si="62"/>
        <v>53272</v>
      </c>
      <c r="EB249" s="6">
        <f t="shared" si="63"/>
        <v>756517</v>
      </c>
      <c r="EC249" s="6"/>
      <c r="ED249" s="6"/>
      <c r="EF249" s="6">
        <f t="shared" si="71"/>
        <v>432185</v>
      </c>
      <c r="EG249" s="6">
        <f t="shared" si="76"/>
        <v>222012</v>
      </c>
      <c r="EH249" s="6">
        <f t="shared" si="72"/>
        <v>654197</v>
      </c>
      <c r="EI249" s="6"/>
      <c r="ES249">
        <v>61154</v>
      </c>
      <c r="ET249">
        <v>2121</v>
      </c>
      <c r="EU249">
        <v>101315</v>
      </c>
      <c r="EV249">
        <v>20449</v>
      </c>
      <c r="EW249">
        <v>38268</v>
      </c>
      <c r="EX249">
        <v>2033</v>
      </c>
      <c r="EY249">
        <v>31254</v>
      </c>
      <c r="EZ249">
        <v>26588</v>
      </c>
      <c r="FA249">
        <v>354079</v>
      </c>
      <c r="FB249">
        <v>137</v>
      </c>
      <c r="FC249">
        <v>16482</v>
      </c>
      <c r="FD249">
        <v>333</v>
      </c>
      <c r="FE249" s="32">
        <f t="shared" si="73"/>
        <v>654213</v>
      </c>
      <c r="FF249" s="34">
        <f t="shared" si="74"/>
        <v>654197</v>
      </c>
      <c r="FG249" s="31">
        <f t="shared" si="75"/>
        <v>-16</v>
      </c>
    </row>
    <row r="250" spans="1:165">
      <c r="B250" s="4">
        <v>39569</v>
      </c>
      <c r="C250" s="5">
        <v>1</v>
      </c>
      <c r="D250" s="5">
        <v>2</v>
      </c>
      <c r="E250" s="5">
        <v>1314</v>
      </c>
      <c r="F250" s="5">
        <v>0</v>
      </c>
      <c r="G250" s="5">
        <v>1142</v>
      </c>
      <c r="H250" s="5">
        <v>14442</v>
      </c>
      <c r="I250" s="5">
        <v>24980</v>
      </c>
      <c r="J250" s="5">
        <v>4754</v>
      </c>
      <c r="K250" s="5">
        <v>8696</v>
      </c>
      <c r="L250" s="5"/>
      <c r="M250" s="5">
        <v>29111</v>
      </c>
      <c r="N250" s="5">
        <v>2109</v>
      </c>
      <c r="O250" s="5"/>
      <c r="P250" s="5">
        <v>1536</v>
      </c>
      <c r="Q250" s="5">
        <v>9736</v>
      </c>
      <c r="R250" s="5">
        <v>433</v>
      </c>
      <c r="S250" s="5">
        <v>8612</v>
      </c>
      <c r="T250" s="5">
        <v>10856</v>
      </c>
      <c r="U250" s="5"/>
      <c r="V250" s="5"/>
      <c r="W250" s="5">
        <v>483</v>
      </c>
      <c r="X250" s="5">
        <v>7965</v>
      </c>
      <c r="Y250" s="5">
        <v>335</v>
      </c>
      <c r="Z250" s="5">
        <v>7</v>
      </c>
      <c r="AA250" s="155"/>
      <c r="AB250" s="5">
        <v>5</v>
      </c>
      <c r="AC250" s="5">
        <v>74</v>
      </c>
      <c r="AD250" s="5">
        <v>12</v>
      </c>
      <c r="AE250" s="5">
        <v>28</v>
      </c>
      <c r="AF250" s="5">
        <v>41</v>
      </c>
      <c r="AG250" s="5">
        <v>62</v>
      </c>
      <c r="AH250" s="5"/>
      <c r="AI250" s="5"/>
      <c r="AJ250" s="5">
        <v>4</v>
      </c>
      <c r="AK250" s="5">
        <v>9085</v>
      </c>
      <c r="AL250" s="5">
        <v>98276</v>
      </c>
      <c r="AM250" s="5">
        <v>3049</v>
      </c>
      <c r="AN250" s="5">
        <v>16333</v>
      </c>
      <c r="AO250" s="5">
        <v>35</v>
      </c>
      <c r="AP250" s="5">
        <v>30</v>
      </c>
      <c r="AQ250" s="5">
        <v>5684</v>
      </c>
      <c r="AR250" s="5">
        <v>0</v>
      </c>
      <c r="AS250" s="5">
        <v>1797</v>
      </c>
      <c r="AT250" s="5">
        <v>16</v>
      </c>
      <c r="AU250" s="5">
        <v>4677</v>
      </c>
      <c r="AV250" s="5">
        <v>2223</v>
      </c>
      <c r="AW250" s="5">
        <v>3828</v>
      </c>
      <c r="AX250" s="5">
        <v>11212</v>
      </c>
      <c r="AY250" s="155"/>
      <c r="AZ250" s="155"/>
      <c r="BA250" s="155">
        <v>538</v>
      </c>
      <c r="BB250" s="155"/>
      <c r="BC250" s="5">
        <v>345</v>
      </c>
      <c r="BD250" s="5"/>
      <c r="BE250" s="5">
        <v>0</v>
      </c>
      <c r="BF250" s="5">
        <v>0</v>
      </c>
      <c r="BG250" s="5">
        <v>983</v>
      </c>
      <c r="BH250" s="5">
        <v>0</v>
      </c>
      <c r="BI250" s="5">
        <v>0</v>
      </c>
      <c r="BJ250" s="5">
        <v>8502</v>
      </c>
      <c r="BK250" s="5">
        <v>29</v>
      </c>
      <c r="BL250" s="5">
        <v>3611</v>
      </c>
      <c r="BM250" s="5"/>
      <c r="BN250" s="5">
        <v>238</v>
      </c>
      <c r="BO250" s="5">
        <v>27</v>
      </c>
      <c r="BP250" s="5">
        <v>7110</v>
      </c>
      <c r="BQ250" s="5">
        <v>57052</v>
      </c>
      <c r="BR250" s="5">
        <v>696</v>
      </c>
      <c r="BS250" s="5">
        <v>160</v>
      </c>
      <c r="BT250" s="5">
        <v>4665</v>
      </c>
      <c r="BU250" s="5">
        <v>68</v>
      </c>
      <c r="BV250" s="5"/>
      <c r="BW250" s="5">
        <v>5</v>
      </c>
      <c r="BX250" s="5">
        <v>99</v>
      </c>
      <c r="BY250" s="5"/>
      <c r="BZ250" s="5">
        <v>3</v>
      </c>
      <c r="CA250" s="5">
        <v>0</v>
      </c>
      <c r="CB250" s="5">
        <v>20459</v>
      </c>
      <c r="CC250" s="5">
        <v>16420</v>
      </c>
      <c r="CD250" s="5">
        <v>117469</v>
      </c>
      <c r="CE250" s="5">
        <v>180540</v>
      </c>
      <c r="CF250" s="5">
        <v>24035</v>
      </c>
      <c r="CG250" s="5">
        <v>36666</v>
      </c>
      <c r="CH250" s="5">
        <v>0</v>
      </c>
      <c r="CI250" s="5">
        <v>22</v>
      </c>
      <c r="CJ250" s="5">
        <v>5</v>
      </c>
      <c r="CK250" s="5">
        <v>23</v>
      </c>
      <c r="CL250" s="5"/>
      <c r="CM250" s="5"/>
      <c r="CN250" s="5"/>
      <c r="CO250" s="5"/>
      <c r="CP250" s="5"/>
      <c r="CQ250" s="5"/>
      <c r="CR250" s="5"/>
      <c r="CS250" s="5"/>
      <c r="CT250" s="5">
        <v>0</v>
      </c>
      <c r="CU250" s="5">
        <v>0</v>
      </c>
      <c r="CV250" s="5">
        <v>0</v>
      </c>
      <c r="CW250" s="5">
        <v>24</v>
      </c>
      <c r="CX250" s="5">
        <v>0</v>
      </c>
      <c r="CY250" s="5">
        <v>62</v>
      </c>
      <c r="DA250" s="6"/>
      <c r="DC250" s="6"/>
      <c r="DD250" s="6">
        <f t="shared" si="56"/>
        <v>478887</v>
      </c>
      <c r="DE250" s="6">
        <f t="shared" si="57"/>
        <v>227999</v>
      </c>
      <c r="DF250" s="8">
        <f t="shared" si="70"/>
        <v>706886</v>
      </c>
      <c r="DK250" s="6">
        <f t="shared" si="59"/>
        <v>59985</v>
      </c>
      <c r="DL250" s="6">
        <f t="shared" si="60"/>
        <v>124375</v>
      </c>
      <c r="DM250" s="6">
        <f t="shared" si="68"/>
        <v>10856</v>
      </c>
      <c r="DN250" s="6">
        <f t="shared" si="69"/>
        <v>33321</v>
      </c>
      <c r="DO250" s="6">
        <f t="shared" si="51"/>
        <v>343519</v>
      </c>
      <c r="DP250" s="6">
        <f t="shared" si="64"/>
        <v>61955</v>
      </c>
      <c r="DQ250" s="6"/>
      <c r="DR250" s="6">
        <f t="shared" si="52"/>
        <v>16442</v>
      </c>
      <c r="DS250" s="6">
        <f t="shared" si="53"/>
        <v>7110</v>
      </c>
      <c r="DT250" s="6">
        <f t="shared" si="54"/>
        <v>13195</v>
      </c>
      <c r="DU250" s="6"/>
      <c r="DV250" s="6"/>
      <c r="DW250" s="6">
        <f t="shared" si="55"/>
        <v>670758</v>
      </c>
      <c r="DY250" s="6">
        <f t="shared" si="61"/>
        <v>446252</v>
      </c>
      <c r="DZ250" s="6">
        <f t="shared" si="62"/>
        <v>54014</v>
      </c>
      <c r="EB250" s="6">
        <f t="shared" si="63"/>
        <v>760900</v>
      </c>
      <c r="EC250" s="6"/>
      <c r="ED250" s="6"/>
      <c r="EF250" s="6">
        <f t="shared" si="71"/>
        <v>435111</v>
      </c>
      <c r="EG250" s="6">
        <f t="shared" si="76"/>
        <v>222853</v>
      </c>
      <c r="EH250" s="6">
        <f t="shared" si="72"/>
        <v>657964</v>
      </c>
      <c r="EI250" s="6"/>
      <c r="ES250">
        <v>61717</v>
      </c>
      <c r="ET250">
        <v>2151</v>
      </c>
      <c r="EU250">
        <v>101667</v>
      </c>
      <c r="EV250">
        <v>20571</v>
      </c>
      <c r="EW250">
        <v>38493</v>
      </c>
      <c r="EX250">
        <v>2019</v>
      </c>
      <c r="EY250">
        <v>31220</v>
      </c>
      <c r="EZ250">
        <v>26746</v>
      </c>
      <c r="FA250">
        <v>356552</v>
      </c>
      <c r="FB250">
        <v>135</v>
      </c>
      <c r="FC250">
        <v>16442</v>
      </c>
      <c r="FD250">
        <v>265</v>
      </c>
      <c r="FE250" s="32">
        <f t="shared" si="73"/>
        <v>657978</v>
      </c>
      <c r="FF250" s="34">
        <f t="shared" si="74"/>
        <v>657964</v>
      </c>
      <c r="FG250" s="31">
        <f t="shared" si="75"/>
        <v>-14</v>
      </c>
    </row>
    <row r="251" spans="1:165">
      <c r="B251" s="20">
        <v>39600</v>
      </c>
      <c r="C251" s="21">
        <v>0</v>
      </c>
      <c r="D251" s="21">
        <v>5</v>
      </c>
      <c r="E251" s="21">
        <v>1522</v>
      </c>
      <c r="F251" s="21">
        <v>0</v>
      </c>
      <c r="G251" s="21">
        <v>1128</v>
      </c>
      <c r="H251" s="21">
        <v>14554</v>
      </c>
      <c r="I251" s="21">
        <v>25252</v>
      </c>
      <c r="J251" s="21">
        <v>4843</v>
      </c>
      <c r="K251" s="21">
        <v>8692</v>
      </c>
      <c r="L251" s="21"/>
      <c r="M251" s="21">
        <v>29057</v>
      </c>
      <c r="N251" s="21">
        <v>2117</v>
      </c>
      <c r="O251" s="21"/>
      <c r="P251" s="21">
        <v>1598</v>
      </c>
      <c r="Q251" s="21">
        <v>9851</v>
      </c>
      <c r="R251" s="21">
        <v>437</v>
      </c>
      <c r="S251" s="21">
        <v>8672</v>
      </c>
      <c r="T251" s="21">
        <v>10823</v>
      </c>
      <c r="U251" s="21"/>
      <c r="V251" s="21"/>
      <c r="W251" s="21">
        <v>484</v>
      </c>
      <c r="X251" s="21">
        <v>7991</v>
      </c>
      <c r="Y251" s="21">
        <v>339</v>
      </c>
      <c r="Z251" s="21">
        <v>7</v>
      </c>
      <c r="AA251" s="158"/>
      <c r="AB251" s="21">
        <v>4</v>
      </c>
      <c r="AC251" s="21">
        <v>80</v>
      </c>
      <c r="AD251" s="21">
        <v>14</v>
      </c>
      <c r="AE251" s="21">
        <v>29</v>
      </c>
      <c r="AF251" s="21">
        <v>41</v>
      </c>
      <c r="AG251" s="21">
        <v>62</v>
      </c>
      <c r="AH251" s="21"/>
      <c r="AI251" s="21"/>
      <c r="AJ251" s="21">
        <v>5</v>
      </c>
      <c r="AK251" s="21">
        <v>9149</v>
      </c>
      <c r="AL251" s="21">
        <v>98089</v>
      </c>
      <c r="AM251" s="21">
        <v>3054</v>
      </c>
      <c r="AN251" s="21">
        <v>16367</v>
      </c>
      <c r="AO251" s="21">
        <v>34</v>
      </c>
      <c r="AP251" s="21">
        <v>26</v>
      </c>
      <c r="AQ251" s="21">
        <v>5934</v>
      </c>
      <c r="AR251" s="21">
        <v>0</v>
      </c>
      <c r="AS251" s="21">
        <v>1881</v>
      </c>
      <c r="AT251" s="21">
        <v>16</v>
      </c>
      <c r="AU251" s="21">
        <v>4742</v>
      </c>
      <c r="AV251" s="21">
        <v>2229</v>
      </c>
      <c r="AW251" s="21">
        <v>3846</v>
      </c>
      <c r="AX251" s="21">
        <v>11256</v>
      </c>
      <c r="AY251" s="158"/>
      <c r="AZ251" s="158"/>
      <c r="BA251" s="158">
        <v>534</v>
      </c>
      <c r="BB251" s="158"/>
      <c r="BC251" s="21">
        <v>352</v>
      </c>
      <c r="BD251" s="21"/>
      <c r="BE251" s="21">
        <v>0</v>
      </c>
      <c r="BF251" s="21">
        <v>0</v>
      </c>
      <c r="BG251" s="21">
        <v>995</v>
      </c>
      <c r="BH251" s="21">
        <v>0</v>
      </c>
      <c r="BI251" s="21">
        <v>0</v>
      </c>
      <c r="BJ251" s="21">
        <v>8511</v>
      </c>
      <c r="BK251" s="21">
        <v>32</v>
      </c>
      <c r="BL251" s="21">
        <v>3560</v>
      </c>
      <c r="BM251" s="21"/>
      <c r="BN251" s="21">
        <v>243</v>
      </c>
      <c r="BO251" s="21">
        <v>26</v>
      </c>
      <c r="BP251" s="21">
        <v>6623</v>
      </c>
      <c r="BQ251" s="21">
        <v>57466</v>
      </c>
      <c r="BR251" s="21">
        <v>676</v>
      </c>
      <c r="BS251" s="21">
        <v>159</v>
      </c>
      <c r="BT251" s="21">
        <v>4613</v>
      </c>
      <c r="BU251" s="21">
        <v>68</v>
      </c>
      <c r="BV251" s="21"/>
      <c r="BW251" s="21">
        <v>5</v>
      </c>
      <c r="BX251" s="21">
        <v>102</v>
      </c>
      <c r="BY251" s="21"/>
      <c r="BZ251" s="21">
        <v>5</v>
      </c>
      <c r="CA251" s="21">
        <v>0</v>
      </c>
      <c r="CB251" s="21">
        <v>20467</v>
      </c>
      <c r="CC251" s="21">
        <v>16408</v>
      </c>
      <c r="CD251" s="21">
        <v>117924</v>
      </c>
      <c r="CE251" s="21">
        <v>181414</v>
      </c>
      <c r="CF251" s="21">
        <v>24032</v>
      </c>
      <c r="CG251" s="21">
        <v>36672</v>
      </c>
      <c r="CH251" s="21">
        <v>0</v>
      </c>
      <c r="CI251" s="21">
        <v>23</v>
      </c>
      <c r="CJ251" s="21">
        <v>5</v>
      </c>
      <c r="CK251" s="21">
        <v>28</v>
      </c>
      <c r="CL251" s="21"/>
      <c r="CM251" s="21"/>
      <c r="CN251" s="21"/>
      <c r="CO251" s="21"/>
      <c r="CP251" s="21"/>
      <c r="CQ251" s="21"/>
      <c r="CR251" s="21"/>
      <c r="CS251" s="21"/>
      <c r="CT251" s="21">
        <v>0</v>
      </c>
      <c r="CU251" s="21">
        <v>0</v>
      </c>
      <c r="CV251" s="21">
        <v>0</v>
      </c>
      <c r="CW251" s="21">
        <v>23</v>
      </c>
      <c r="CX251" s="21">
        <v>0</v>
      </c>
      <c r="CY251" s="21">
        <v>62</v>
      </c>
      <c r="DA251" s="6"/>
      <c r="DC251" s="6"/>
      <c r="DD251" s="23">
        <f t="shared" ref="DD251:DD256" si="77">SUM(BE251:CK251)</f>
        <v>480057</v>
      </c>
      <c r="DE251" s="6">
        <f t="shared" si="57"/>
        <v>228586</v>
      </c>
      <c r="DF251" s="24">
        <f t="shared" si="70"/>
        <v>708643</v>
      </c>
      <c r="DG251" s="22"/>
      <c r="DH251" s="17"/>
      <c r="DI251" s="17"/>
      <c r="DJ251" s="17"/>
      <c r="DK251" s="6">
        <f t="shared" si="59"/>
        <v>60207</v>
      </c>
      <c r="DL251" s="6">
        <f t="shared" si="60"/>
        <v>124445</v>
      </c>
      <c r="DM251" s="6">
        <f t="shared" si="68"/>
        <v>10823</v>
      </c>
      <c r="DN251" s="6">
        <f t="shared" si="69"/>
        <v>33645</v>
      </c>
      <c r="DO251" s="6">
        <f t="shared" si="51"/>
        <v>344841</v>
      </c>
      <c r="DP251" s="6">
        <f t="shared" si="64"/>
        <v>62322</v>
      </c>
      <c r="DQ251" s="6"/>
      <c r="DR251" s="6">
        <f t="shared" si="52"/>
        <v>16431</v>
      </c>
      <c r="DS251" s="6">
        <f t="shared" si="53"/>
        <v>6623</v>
      </c>
      <c r="DT251" s="6">
        <f t="shared" si="54"/>
        <v>13168</v>
      </c>
      <c r="DU251" s="6"/>
      <c r="DV251" s="6"/>
      <c r="DW251" s="6">
        <f t="shared" si="55"/>
        <v>672505</v>
      </c>
      <c r="DX251" s="22"/>
      <c r="DY251" s="6">
        <f t="shared" si="61"/>
        <v>448022</v>
      </c>
      <c r="DZ251" s="6">
        <f t="shared" si="62"/>
        <v>54469</v>
      </c>
      <c r="EA251" s="22"/>
      <c r="EB251" s="6">
        <f t="shared" si="63"/>
        <v>763112</v>
      </c>
      <c r="EC251" s="6"/>
      <c r="ED251" s="6"/>
      <c r="EE251" s="22"/>
      <c r="EF251" s="23">
        <f t="shared" si="71"/>
        <v>436762</v>
      </c>
      <c r="EG251" s="23">
        <f t="shared" si="76"/>
        <v>223186</v>
      </c>
      <c r="EH251" s="23">
        <f t="shared" si="72"/>
        <v>659948</v>
      </c>
      <c r="EI251" s="36">
        <f t="shared" ref="EI251:EJ263" si="78">(EF251-EF250)/EF250</f>
        <v>3.7944340639514975E-3</v>
      </c>
      <c r="EJ251" s="36">
        <f t="shared" si="78"/>
        <v>1.4942585471140169E-3</v>
      </c>
      <c r="ES251">
        <v>62079</v>
      </c>
      <c r="ET251">
        <v>2242</v>
      </c>
      <c r="EU251">
        <v>101489</v>
      </c>
      <c r="EV251">
        <v>20724</v>
      </c>
      <c r="EW251">
        <v>38534</v>
      </c>
      <c r="EX251">
        <v>2082</v>
      </c>
      <c r="EY251">
        <v>31174</v>
      </c>
      <c r="EZ251">
        <v>26951</v>
      </c>
      <c r="FA251">
        <v>357838</v>
      </c>
      <c r="FB251">
        <v>145</v>
      </c>
      <c r="FC251">
        <v>16431</v>
      </c>
      <c r="FD251">
        <v>269</v>
      </c>
      <c r="FE251" s="32">
        <f t="shared" si="73"/>
        <v>659958</v>
      </c>
      <c r="FF251" s="34">
        <f t="shared" si="74"/>
        <v>659948</v>
      </c>
      <c r="FG251" s="31">
        <f t="shared" si="75"/>
        <v>-10</v>
      </c>
    </row>
    <row r="252" spans="1:165">
      <c r="B252" s="9">
        <v>39630</v>
      </c>
      <c r="C252" s="10">
        <v>0</v>
      </c>
      <c r="D252" s="10">
        <v>8</v>
      </c>
      <c r="E252" s="10">
        <v>2432</v>
      </c>
      <c r="F252" s="10">
        <v>1</v>
      </c>
      <c r="G252" s="10">
        <v>1122</v>
      </c>
      <c r="H252" s="10">
        <v>14828</v>
      </c>
      <c r="I252" s="10">
        <v>25856</v>
      </c>
      <c r="J252" s="10">
        <v>4775</v>
      </c>
      <c r="K252" s="10">
        <v>8664</v>
      </c>
      <c r="L252" s="10"/>
      <c r="M252" s="10">
        <v>29004</v>
      </c>
      <c r="N252" s="10">
        <v>2137</v>
      </c>
      <c r="O252" s="10"/>
      <c r="P252" s="10">
        <v>1615</v>
      </c>
      <c r="Q252" s="10">
        <v>9888</v>
      </c>
      <c r="R252" s="10">
        <v>432</v>
      </c>
      <c r="S252" s="10">
        <v>8706</v>
      </c>
      <c r="T252" s="10">
        <v>10859</v>
      </c>
      <c r="U252" s="10"/>
      <c r="V252" s="10"/>
      <c r="W252" s="10">
        <v>479</v>
      </c>
      <c r="X252" s="10">
        <v>7971</v>
      </c>
      <c r="Y252" s="10">
        <v>340</v>
      </c>
      <c r="Z252" s="10">
        <v>11</v>
      </c>
      <c r="AA252" s="159"/>
      <c r="AB252" s="10">
        <v>5</v>
      </c>
      <c r="AC252" s="10">
        <v>83</v>
      </c>
      <c r="AD252" s="10">
        <v>14</v>
      </c>
      <c r="AE252" s="10">
        <v>30</v>
      </c>
      <c r="AF252" s="10">
        <v>40</v>
      </c>
      <c r="AG252" s="10">
        <v>60</v>
      </c>
      <c r="AH252" s="10"/>
      <c r="AI252" s="10"/>
      <c r="AJ252" s="10">
        <v>6</v>
      </c>
      <c r="AK252" s="10">
        <v>9167</v>
      </c>
      <c r="AL252" s="10">
        <v>98290</v>
      </c>
      <c r="AM252" s="10">
        <v>3041</v>
      </c>
      <c r="AN252" s="10">
        <v>16393</v>
      </c>
      <c r="AO252" s="10">
        <v>32</v>
      </c>
      <c r="AP252" s="10">
        <v>29</v>
      </c>
      <c r="AQ252" s="10">
        <v>6187</v>
      </c>
      <c r="AR252" s="10">
        <v>0</v>
      </c>
      <c r="AS252" s="10">
        <v>1902</v>
      </c>
      <c r="AT252" s="10">
        <v>14</v>
      </c>
      <c r="AU252" s="10">
        <v>4771</v>
      </c>
      <c r="AV252" s="10">
        <v>2235</v>
      </c>
      <c r="AW252" s="10">
        <v>3854</v>
      </c>
      <c r="AX252" s="10">
        <v>11290</v>
      </c>
      <c r="AY252" s="159"/>
      <c r="AZ252" s="159"/>
      <c r="BA252" s="159">
        <v>536</v>
      </c>
      <c r="BB252" s="159"/>
      <c r="BC252" s="10">
        <v>343</v>
      </c>
      <c r="BD252" s="10"/>
      <c r="BE252" s="10">
        <v>0</v>
      </c>
      <c r="BF252" s="10">
        <v>0</v>
      </c>
      <c r="BG252" s="10">
        <v>1001</v>
      </c>
      <c r="BH252" s="10">
        <v>0</v>
      </c>
      <c r="BI252" s="10">
        <v>0</v>
      </c>
      <c r="BJ252" s="10">
        <v>8460</v>
      </c>
      <c r="BK252" s="10">
        <v>34</v>
      </c>
      <c r="BL252" s="10">
        <v>3551</v>
      </c>
      <c r="BM252" s="10"/>
      <c r="BN252" s="10">
        <v>279</v>
      </c>
      <c r="BO252" s="10">
        <v>26</v>
      </c>
      <c r="BP252" s="10">
        <v>6241</v>
      </c>
      <c r="BQ252" s="10">
        <v>57809</v>
      </c>
      <c r="BR252" s="10">
        <v>656</v>
      </c>
      <c r="BS252" s="10">
        <v>166</v>
      </c>
      <c r="BT252" s="10">
        <v>4533</v>
      </c>
      <c r="BU252" s="10">
        <v>83</v>
      </c>
      <c r="BV252" s="10"/>
      <c r="BW252" s="10">
        <v>6</v>
      </c>
      <c r="BX252" s="10">
        <v>106</v>
      </c>
      <c r="BY252" s="10"/>
      <c r="BZ252" s="10">
        <v>6</v>
      </c>
      <c r="CA252" s="10">
        <v>0</v>
      </c>
      <c r="CB252" s="10">
        <v>20456</v>
      </c>
      <c r="CC252" s="10">
        <v>16427</v>
      </c>
      <c r="CD252" s="10">
        <v>118290</v>
      </c>
      <c r="CE252" s="10">
        <v>182068</v>
      </c>
      <c r="CF252" s="10">
        <v>23885</v>
      </c>
      <c r="CG252" s="10">
        <v>36499</v>
      </c>
      <c r="CH252" s="10">
        <v>0</v>
      </c>
      <c r="CI252" s="10">
        <v>24</v>
      </c>
      <c r="CJ252" s="10">
        <v>6</v>
      </c>
      <c r="CK252" s="10">
        <v>25</v>
      </c>
      <c r="CL252" s="10"/>
      <c r="CM252" s="10"/>
      <c r="CN252" s="10"/>
      <c r="CO252" s="10"/>
      <c r="CP252" s="10"/>
      <c r="CQ252" s="10"/>
      <c r="CR252" s="10"/>
      <c r="CS252" s="10"/>
      <c r="CT252" s="10">
        <v>0</v>
      </c>
      <c r="CU252" s="10">
        <v>0</v>
      </c>
      <c r="CV252" s="10">
        <v>0</v>
      </c>
      <c r="CW252" s="10">
        <v>23</v>
      </c>
      <c r="CX252" s="10">
        <v>0</v>
      </c>
      <c r="CY252" s="10">
        <v>62</v>
      </c>
      <c r="DA252" s="6"/>
      <c r="DC252" s="6"/>
      <c r="DD252" s="6">
        <f t="shared" si="77"/>
        <v>480637</v>
      </c>
      <c r="DE252" s="6">
        <f t="shared" si="57"/>
        <v>229228</v>
      </c>
      <c r="DF252" s="8">
        <f t="shared" si="70"/>
        <v>709865</v>
      </c>
      <c r="DK252" s="6">
        <f t="shared" si="59"/>
        <v>60232</v>
      </c>
      <c r="DL252" s="6">
        <f t="shared" si="60"/>
        <v>124714</v>
      </c>
      <c r="DM252" s="6">
        <f t="shared" si="68"/>
        <v>10859</v>
      </c>
      <c r="DN252" s="6">
        <f t="shared" si="69"/>
        <v>33959</v>
      </c>
      <c r="DO252" s="6">
        <f t="shared" si="51"/>
        <v>345707</v>
      </c>
      <c r="DP252" s="6">
        <f t="shared" si="64"/>
        <v>62621</v>
      </c>
      <c r="DQ252" s="6"/>
      <c r="DR252" s="6">
        <f t="shared" si="52"/>
        <v>16451</v>
      </c>
      <c r="DS252" s="6">
        <f t="shared" si="53"/>
        <v>6241</v>
      </c>
      <c r="DT252" s="6">
        <f t="shared" si="54"/>
        <v>13118</v>
      </c>
      <c r="DU252" s="6"/>
      <c r="DV252" s="6"/>
      <c r="DW252" s="6">
        <f t="shared" si="55"/>
        <v>673902</v>
      </c>
      <c r="DY252" s="6">
        <f t="shared" si="61"/>
        <v>449447</v>
      </c>
      <c r="DZ252" s="6">
        <f t="shared" si="62"/>
        <v>55245</v>
      </c>
      <c r="EB252" s="6">
        <f t="shared" si="63"/>
        <v>765110</v>
      </c>
      <c r="EC252" s="6"/>
      <c r="ED252" s="6"/>
      <c r="EF252" s="6">
        <f t="shared" si="71"/>
        <v>437897</v>
      </c>
      <c r="EG252" s="6">
        <f t="shared" si="76"/>
        <v>223577</v>
      </c>
      <c r="EH252" s="6">
        <f t="shared" si="72"/>
        <v>661474</v>
      </c>
      <c r="EI252" s="36">
        <f t="shared" si="78"/>
        <v>2.5986692981532274E-3</v>
      </c>
      <c r="EJ252" s="36">
        <f t="shared" si="78"/>
        <v>1.7519020010215694E-3</v>
      </c>
      <c r="ES252">
        <v>62342</v>
      </c>
      <c r="ET252">
        <v>2256</v>
      </c>
      <c r="EU252">
        <v>101682</v>
      </c>
      <c r="EV252">
        <v>20791</v>
      </c>
      <c r="EW252">
        <v>38631</v>
      </c>
      <c r="EX252">
        <v>2094</v>
      </c>
      <c r="EY252">
        <v>31141</v>
      </c>
      <c r="EZ252">
        <v>26997</v>
      </c>
      <c r="FA252">
        <v>358650</v>
      </c>
      <c r="FB252">
        <v>149</v>
      </c>
      <c r="FC252">
        <v>16451</v>
      </c>
      <c r="FD252">
        <v>305</v>
      </c>
      <c r="FE252" s="32">
        <f t="shared" si="73"/>
        <v>661489</v>
      </c>
      <c r="FF252" s="34">
        <f t="shared" si="74"/>
        <v>661474</v>
      </c>
      <c r="FG252" s="31">
        <f t="shared" si="75"/>
        <v>-15</v>
      </c>
    </row>
    <row r="253" spans="1:165">
      <c r="B253" s="9">
        <v>39661</v>
      </c>
      <c r="C253" s="10">
        <v>1</v>
      </c>
      <c r="D253" s="10">
        <v>12</v>
      </c>
      <c r="E253" s="10">
        <v>3508</v>
      </c>
      <c r="F253" s="10">
        <v>1</v>
      </c>
      <c r="G253" s="10">
        <v>1128</v>
      </c>
      <c r="H253" s="10">
        <v>15105</v>
      </c>
      <c r="I253" s="10">
        <v>26389</v>
      </c>
      <c r="J253" s="10">
        <v>4880</v>
      </c>
      <c r="K253" s="10">
        <v>8657</v>
      </c>
      <c r="L253" s="10"/>
      <c r="M253" s="10">
        <v>28961</v>
      </c>
      <c r="N253" s="10">
        <v>2108</v>
      </c>
      <c r="O253" s="10"/>
      <c r="P253" s="10">
        <v>1606</v>
      </c>
      <c r="Q253" s="10">
        <v>9953</v>
      </c>
      <c r="R253" s="10">
        <v>429</v>
      </c>
      <c r="S253" s="10">
        <v>8738</v>
      </c>
      <c r="T253" s="10">
        <v>10839</v>
      </c>
      <c r="U253" s="10"/>
      <c r="V253" s="10"/>
      <c r="W253" s="10">
        <v>477</v>
      </c>
      <c r="X253" s="10">
        <v>7997</v>
      </c>
      <c r="Y253" s="10">
        <v>344</v>
      </c>
      <c r="Z253" s="10">
        <v>11</v>
      </c>
      <c r="AA253" s="159"/>
      <c r="AB253" s="10">
        <v>6</v>
      </c>
      <c r="AC253" s="10">
        <v>84</v>
      </c>
      <c r="AD253" s="10">
        <v>16</v>
      </c>
      <c r="AE253" s="10">
        <v>30</v>
      </c>
      <c r="AF253" s="10">
        <v>41</v>
      </c>
      <c r="AG253" s="10">
        <v>62</v>
      </c>
      <c r="AH253" s="10"/>
      <c r="AI253" s="10"/>
      <c r="AJ253" s="10">
        <v>6</v>
      </c>
      <c r="AK253" s="10">
        <v>9181</v>
      </c>
      <c r="AL253" s="10">
        <v>98530</v>
      </c>
      <c r="AM253" s="10">
        <v>3046</v>
      </c>
      <c r="AN253" s="10">
        <v>16568</v>
      </c>
      <c r="AO253" s="10">
        <v>33</v>
      </c>
      <c r="AP253" s="10">
        <v>33</v>
      </c>
      <c r="AQ253" s="10">
        <v>6406</v>
      </c>
      <c r="AR253" s="10">
        <v>0</v>
      </c>
      <c r="AS253" s="10">
        <v>1901</v>
      </c>
      <c r="AT253" s="10">
        <v>15</v>
      </c>
      <c r="AU253" s="10">
        <v>4825</v>
      </c>
      <c r="AV253" s="10">
        <v>2240</v>
      </c>
      <c r="AW253" s="10">
        <v>3878</v>
      </c>
      <c r="AX253" s="10">
        <v>11368</v>
      </c>
      <c r="AY253" s="159"/>
      <c r="AZ253" s="159"/>
      <c r="BA253" s="159">
        <v>535</v>
      </c>
      <c r="BB253" s="159"/>
      <c r="BC253" s="10">
        <v>343</v>
      </c>
      <c r="BD253" s="10"/>
      <c r="BE253" s="10">
        <v>0</v>
      </c>
      <c r="BF253" s="10">
        <v>0</v>
      </c>
      <c r="BG253" s="10">
        <v>1003</v>
      </c>
      <c r="BH253" s="10">
        <v>0</v>
      </c>
      <c r="BI253" s="10">
        <v>0</v>
      </c>
      <c r="BJ253" s="10">
        <v>8423</v>
      </c>
      <c r="BK253" s="10">
        <v>27</v>
      </c>
      <c r="BL253" s="10">
        <v>3528</v>
      </c>
      <c r="BM253" s="10"/>
      <c r="BN253" s="10">
        <v>318</v>
      </c>
      <c r="BO253" s="10">
        <v>25</v>
      </c>
      <c r="BP253" s="10">
        <v>5804</v>
      </c>
      <c r="BQ253" s="10">
        <v>58611</v>
      </c>
      <c r="BR253" s="10">
        <v>652</v>
      </c>
      <c r="BS253" s="10">
        <v>168</v>
      </c>
      <c r="BT253" s="10">
        <v>4514</v>
      </c>
      <c r="BU253" s="10">
        <v>82</v>
      </c>
      <c r="BV253" s="10"/>
      <c r="BW253" s="10">
        <v>6</v>
      </c>
      <c r="BX253" s="10">
        <v>116</v>
      </c>
      <c r="BY253" s="10"/>
      <c r="BZ253" s="10">
        <v>4</v>
      </c>
      <c r="CA253" s="10">
        <v>0</v>
      </c>
      <c r="CB253" s="10">
        <v>20472</v>
      </c>
      <c r="CC253" s="10">
        <v>16772</v>
      </c>
      <c r="CD253" s="10">
        <v>118869</v>
      </c>
      <c r="CE253" s="10">
        <v>181975</v>
      </c>
      <c r="CF253" s="10">
        <v>23732</v>
      </c>
      <c r="CG253" s="10">
        <v>36792</v>
      </c>
      <c r="CH253" s="10">
        <v>0</v>
      </c>
      <c r="CI253" s="10">
        <v>20</v>
      </c>
      <c r="CJ253" s="10">
        <v>6</v>
      </c>
      <c r="CK253" s="10">
        <v>24</v>
      </c>
      <c r="CL253" s="10"/>
      <c r="CM253" s="10"/>
      <c r="CN253" s="10"/>
      <c r="CO253" s="10"/>
      <c r="CP253" s="10"/>
      <c r="CQ253" s="10"/>
      <c r="CR253" s="10"/>
      <c r="CS253" s="10"/>
      <c r="CT253" s="10">
        <v>0</v>
      </c>
      <c r="CU253" s="10">
        <v>0</v>
      </c>
      <c r="CV253" s="10">
        <v>0</v>
      </c>
      <c r="CW253" s="10">
        <v>23</v>
      </c>
      <c r="CX253" s="10">
        <v>0</v>
      </c>
      <c r="CY253" s="10">
        <v>61</v>
      </c>
      <c r="DA253" s="6"/>
      <c r="DC253" s="6"/>
      <c r="DD253" s="6">
        <f t="shared" si="77"/>
        <v>481943</v>
      </c>
      <c r="DE253" s="6">
        <f t="shared" si="57"/>
        <v>230075</v>
      </c>
      <c r="DF253" s="8">
        <f t="shared" ref="DF253:DF258" si="79">SUM(DD253:DE253)</f>
        <v>712018</v>
      </c>
      <c r="DK253" s="6">
        <f t="shared" si="59"/>
        <v>60269</v>
      </c>
      <c r="DL253" s="6">
        <f t="shared" si="60"/>
        <v>125065</v>
      </c>
      <c r="DM253" s="6">
        <f t="shared" si="68"/>
        <v>10839</v>
      </c>
      <c r="DN253" s="6">
        <f t="shared" si="69"/>
        <v>34437</v>
      </c>
      <c r="DO253" s="6">
        <f t="shared" si="51"/>
        <v>346042</v>
      </c>
      <c r="DP253" s="6">
        <f t="shared" si="64"/>
        <v>63443</v>
      </c>
      <c r="DQ253" s="6"/>
      <c r="DR253" s="6">
        <f t="shared" si="52"/>
        <v>16792</v>
      </c>
      <c r="DS253" s="6">
        <f t="shared" si="53"/>
        <v>5804</v>
      </c>
      <c r="DT253" s="6">
        <f t="shared" si="54"/>
        <v>13070</v>
      </c>
      <c r="DU253" s="6"/>
      <c r="DV253" s="6"/>
      <c r="DW253" s="6">
        <f t="shared" si="55"/>
        <v>675761</v>
      </c>
      <c r="DY253" s="6">
        <f t="shared" si="61"/>
        <v>450935</v>
      </c>
      <c r="DZ253" s="6">
        <f t="shared" si="62"/>
        <v>56159</v>
      </c>
      <c r="EB253" s="6">
        <f t="shared" si="63"/>
        <v>768177</v>
      </c>
      <c r="EC253" s="6"/>
      <c r="ED253" s="6"/>
      <c r="EF253" s="6">
        <f t="shared" ref="EF253:EF258" si="80">SUM(BE253:CK253)-CG253-BP253</f>
        <v>439347</v>
      </c>
      <c r="EG253" s="6">
        <f t="shared" si="76"/>
        <v>224204</v>
      </c>
      <c r="EH253" s="6">
        <f t="shared" ref="EH253:EH258" si="81">SUM(EF253:EG253)</f>
        <v>663551</v>
      </c>
      <c r="EI253" s="36">
        <f t="shared" si="78"/>
        <v>3.3112809633315597E-3</v>
      </c>
      <c r="EJ253" s="36">
        <f t="shared" si="78"/>
        <v>2.8044029573703914E-3</v>
      </c>
      <c r="ES253" s="49">
        <f t="shared" ref="ES253:FD253" si="82">AVERAGE(ES240:ES251)</f>
        <v>59297.833333333336</v>
      </c>
      <c r="ET253" s="49">
        <f t="shared" si="82"/>
        <v>2144.5833333333335</v>
      </c>
      <c r="EU253" s="49">
        <f t="shared" si="82"/>
        <v>100836.25</v>
      </c>
      <c r="EV253" s="49">
        <f t="shared" si="82"/>
        <v>20062.833333333332</v>
      </c>
      <c r="EW253" s="49">
        <f t="shared" si="82"/>
        <v>37767.75</v>
      </c>
      <c r="EX253" s="49">
        <f t="shared" si="82"/>
        <v>2080.1666666666665</v>
      </c>
      <c r="EY253" s="49">
        <f t="shared" si="82"/>
        <v>31531.083333333332</v>
      </c>
      <c r="EZ253" s="49">
        <f t="shared" si="82"/>
        <v>26531</v>
      </c>
      <c r="FA253" s="49">
        <f t="shared" si="82"/>
        <v>348641.5</v>
      </c>
      <c r="FB253" s="49">
        <f t="shared" si="82"/>
        <v>137.66666666666666</v>
      </c>
      <c r="FC253" s="49">
        <f t="shared" si="82"/>
        <v>16442.333333333332</v>
      </c>
      <c r="FD253" s="49">
        <f t="shared" si="82"/>
        <v>302.83333333333331</v>
      </c>
      <c r="FE253" s="32">
        <f>AVERAGE(FE240:FE251)</f>
        <v>645775.83333333337</v>
      </c>
      <c r="FF253" s="34">
        <f>AVERAGE(FF240:FF251)</f>
        <v>645759.66666666663</v>
      </c>
      <c r="FG253" s="31">
        <f>FF253-FE253</f>
        <v>-16.166666666744277</v>
      </c>
    </row>
    <row r="254" spans="1:165">
      <c r="B254" s="9">
        <v>39692</v>
      </c>
      <c r="C254" s="10">
        <v>1</v>
      </c>
      <c r="D254" s="10">
        <v>14</v>
      </c>
      <c r="E254" s="10">
        <v>4591</v>
      </c>
      <c r="F254" s="10">
        <v>2</v>
      </c>
      <c r="G254" s="10">
        <v>1119</v>
      </c>
      <c r="H254" s="10">
        <v>14972</v>
      </c>
      <c r="I254" s="10">
        <v>26452</v>
      </c>
      <c r="J254" s="10">
        <v>4947</v>
      </c>
      <c r="K254" s="10">
        <v>8679</v>
      </c>
      <c r="L254" s="10"/>
      <c r="M254" s="10">
        <v>28919</v>
      </c>
      <c r="N254" s="10">
        <v>2117</v>
      </c>
      <c r="O254" s="10"/>
      <c r="P254" s="10">
        <v>1565</v>
      </c>
      <c r="Q254" s="10">
        <v>10025</v>
      </c>
      <c r="R254" s="10">
        <v>421</v>
      </c>
      <c r="S254" s="10">
        <v>8751</v>
      </c>
      <c r="T254" s="10">
        <v>10893</v>
      </c>
      <c r="U254" s="10"/>
      <c r="V254" s="10"/>
      <c r="W254" s="10">
        <v>471</v>
      </c>
      <c r="X254" s="10">
        <v>8022</v>
      </c>
      <c r="Y254" s="10">
        <v>348</v>
      </c>
      <c r="Z254" s="10">
        <v>11</v>
      </c>
      <c r="AA254" s="159"/>
      <c r="AB254" s="10">
        <v>6</v>
      </c>
      <c r="AC254" s="10">
        <v>88</v>
      </c>
      <c r="AD254" s="10">
        <v>16</v>
      </c>
      <c r="AE254" s="10">
        <v>30</v>
      </c>
      <c r="AF254" s="10">
        <v>40</v>
      </c>
      <c r="AG254" s="10">
        <v>63</v>
      </c>
      <c r="AH254" s="10"/>
      <c r="AI254" s="10"/>
      <c r="AJ254" s="10">
        <v>5</v>
      </c>
      <c r="AK254" s="10">
        <v>9180</v>
      </c>
      <c r="AL254" s="10">
        <v>98687</v>
      </c>
      <c r="AM254" s="10">
        <v>3053</v>
      </c>
      <c r="AN254" s="10">
        <v>16630</v>
      </c>
      <c r="AO254" s="10">
        <v>36</v>
      </c>
      <c r="AP254" s="10">
        <v>35</v>
      </c>
      <c r="AQ254" s="10">
        <v>6613</v>
      </c>
      <c r="AR254" s="10">
        <v>0</v>
      </c>
      <c r="AS254" s="10">
        <v>1871</v>
      </c>
      <c r="AT254" s="10">
        <v>17</v>
      </c>
      <c r="AU254" s="10">
        <v>4900</v>
      </c>
      <c r="AV254" s="10">
        <v>2241</v>
      </c>
      <c r="AW254" s="10">
        <v>3911</v>
      </c>
      <c r="AX254" s="10">
        <v>11425</v>
      </c>
      <c r="AY254" s="159"/>
      <c r="AZ254" s="159"/>
      <c r="BA254" s="159">
        <v>545</v>
      </c>
      <c r="BB254" s="159"/>
      <c r="BC254" s="10">
        <v>321</v>
      </c>
      <c r="BD254" s="10"/>
      <c r="BE254" s="10">
        <v>0</v>
      </c>
      <c r="BF254" s="10">
        <v>0</v>
      </c>
      <c r="BG254" s="10">
        <v>1012</v>
      </c>
      <c r="BH254" s="10">
        <v>0</v>
      </c>
      <c r="BI254" s="10">
        <v>0</v>
      </c>
      <c r="BJ254" s="10">
        <v>8392</v>
      </c>
      <c r="BK254" s="10">
        <v>26</v>
      </c>
      <c r="BL254" s="10">
        <v>3485</v>
      </c>
      <c r="BM254" s="10"/>
      <c r="BN254" s="10">
        <v>351</v>
      </c>
      <c r="BO254" s="10">
        <v>30</v>
      </c>
      <c r="BP254" s="10">
        <v>5400</v>
      </c>
      <c r="BQ254" s="10">
        <v>59076</v>
      </c>
      <c r="BR254" s="10">
        <v>642</v>
      </c>
      <c r="BS254" s="10">
        <v>173</v>
      </c>
      <c r="BT254" s="10">
        <v>4513</v>
      </c>
      <c r="BU254" s="10">
        <v>88</v>
      </c>
      <c r="BV254" s="10"/>
      <c r="BW254" s="10">
        <v>5</v>
      </c>
      <c r="BX254" s="10">
        <v>114</v>
      </c>
      <c r="BY254" s="10"/>
      <c r="BZ254" s="10">
        <v>3</v>
      </c>
      <c r="CA254" s="10">
        <v>0</v>
      </c>
      <c r="CB254" s="10">
        <v>20447</v>
      </c>
      <c r="CC254" s="10">
        <v>16808</v>
      </c>
      <c r="CD254" s="10">
        <v>119275</v>
      </c>
      <c r="CE254" s="10">
        <v>183231</v>
      </c>
      <c r="CF254" s="10">
        <v>23579</v>
      </c>
      <c r="CG254" s="10">
        <v>36952</v>
      </c>
      <c r="CH254" s="10">
        <v>0</v>
      </c>
      <c r="CI254" s="10">
        <v>17</v>
      </c>
      <c r="CJ254" s="10">
        <v>6</v>
      </c>
      <c r="CK254" s="10">
        <v>24</v>
      </c>
      <c r="CL254" s="10"/>
      <c r="CM254" s="10"/>
      <c r="CN254" s="10"/>
      <c r="CO254" s="10"/>
      <c r="CP254" s="10"/>
      <c r="CQ254" s="10"/>
      <c r="CR254" s="10"/>
      <c r="CS254" s="10"/>
      <c r="CT254" s="10">
        <v>0</v>
      </c>
      <c r="CU254" s="10">
        <v>0</v>
      </c>
      <c r="CV254" s="10">
        <v>0</v>
      </c>
      <c r="CW254" s="10">
        <v>23</v>
      </c>
      <c r="CX254" s="10">
        <v>0</v>
      </c>
      <c r="CY254" s="10">
        <v>60</v>
      </c>
      <c r="DA254" s="6"/>
      <c r="DC254" s="6"/>
      <c r="DD254" s="6">
        <f t="shared" si="77"/>
        <v>483649</v>
      </c>
      <c r="DE254" s="6">
        <f t="shared" si="57"/>
        <v>230711</v>
      </c>
      <c r="DF254" s="8">
        <f t="shared" si="79"/>
        <v>714360</v>
      </c>
      <c r="DK254" s="6">
        <f t="shared" si="59"/>
        <v>60291</v>
      </c>
      <c r="DL254" s="6">
        <f t="shared" si="60"/>
        <v>125306</v>
      </c>
      <c r="DM254" s="6">
        <f t="shared" si="68"/>
        <v>10893</v>
      </c>
      <c r="DN254" s="6">
        <f t="shared" si="69"/>
        <v>34766</v>
      </c>
      <c r="DO254" s="6">
        <f t="shared" si="51"/>
        <v>347529</v>
      </c>
      <c r="DP254" s="6">
        <f t="shared" si="64"/>
        <v>63940</v>
      </c>
      <c r="DQ254" s="6"/>
      <c r="DR254" s="6">
        <f t="shared" si="52"/>
        <v>16825</v>
      </c>
      <c r="DS254" s="6">
        <f t="shared" si="53"/>
        <v>5400</v>
      </c>
      <c r="DT254" s="6">
        <f t="shared" si="54"/>
        <v>13003</v>
      </c>
      <c r="DU254" s="6"/>
      <c r="DV254" s="6"/>
      <c r="DW254" s="6">
        <f t="shared" si="55"/>
        <v>677953</v>
      </c>
      <c r="DY254" s="6">
        <f t="shared" si="61"/>
        <v>452534</v>
      </c>
      <c r="DZ254" s="6">
        <f t="shared" si="62"/>
        <v>56169</v>
      </c>
      <c r="EB254" s="6">
        <f t="shared" si="63"/>
        <v>770529</v>
      </c>
      <c r="EC254" s="6"/>
      <c r="ED254" s="6"/>
      <c r="EF254" s="6">
        <f t="shared" si="80"/>
        <v>441297</v>
      </c>
      <c r="EG254" s="6">
        <f t="shared" si="76"/>
        <v>224643</v>
      </c>
      <c r="EH254" s="6">
        <f t="shared" si="81"/>
        <v>665940</v>
      </c>
      <c r="EI254" s="36">
        <f t="shared" si="78"/>
        <v>4.438405178594596E-3</v>
      </c>
      <c r="EJ254" s="36">
        <f t="shared" si="78"/>
        <v>1.9580382151968743E-3</v>
      </c>
      <c r="ES254" s="49">
        <v>59297.833333333336</v>
      </c>
      <c r="ET254" s="49">
        <v>2144.5833333333335</v>
      </c>
      <c r="EU254" s="49">
        <v>100836.25</v>
      </c>
      <c r="EV254" s="49">
        <v>20062.833333333332</v>
      </c>
      <c r="EW254" s="49">
        <v>37767.75</v>
      </c>
      <c r="EX254" s="49">
        <v>2080.1666666666665</v>
      </c>
      <c r="EY254" s="49">
        <v>31531.083333333332</v>
      </c>
      <c r="EZ254" s="49">
        <v>26531</v>
      </c>
      <c r="FA254" s="49">
        <v>348641.5</v>
      </c>
      <c r="FB254" s="49">
        <v>137.66666666666666</v>
      </c>
      <c r="FC254" s="49">
        <v>16442.333333333332</v>
      </c>
      <c r="FD254" s="49">
        <v>302.83333333333331</v>
      </c>
      <c r="FE254" s="32">
        <f>AVERAGE(FE241:FE252)</f>
        <v>648067.58333333337</v>
      </c>
      <c r="FF254" s="34">
        <f>AVERAGE(FF241:FF252)</f>
        <v>648052.08333333337</v>
      </c>
      <c r="FG254" s="31">
        <f>FF254-FE254</f>
        <v>-15.5</v>
      </c>
    </row>
    <row r="255" spans="1:165">
      <c r="B255" s="9">
        <v>39722</v>
      </c>
      <c r="C255" s="10">
        <v>1</v>
      </c>
      <c r="D255" s="10">
        <v>24</v>
      </c>
      <c r="E255" s="10">
        <v>5502</v>
      </c>
      <c r="F255" s="10">
        <v>2</v>
      </c>
      <c r="G255" s="10">
        <v>1152</v>
      </c>
      <c r="H255" s="10">
        <v>15240</v>
      </c>
      <c r="I255" s="10">
        <v>27052</v>
      </c>
      <c r="J255" s="10">
        <v>4975</v>
      </c>
      <c r="K255" s="10">
        <v>8813</v>
      </c>
      <c r="L255" s="10"/>
      <c r="M255" s="10">
        <v>28884</v>
      </c>
      <c r="N255" s="10">
        <v>2094</v>
      </c>
      <c r="O255" s="10"/>
      <c r="P255" s="10">
        <v>1551</v>
      </c>
      <c r="Q255" s="10">
        <v>10070</v>
      </c>
      <c r="R255" s="10">
        <v>422</v>
      </c>
      <c r="S255" s="10">
        <v>8802</v>
      </c>
      <c r="T255" s="10">
        <v>10887</v>
      </c>
      <c r="U255" s="10"/>
      <c r="V255" s="10"/>
      <c r="W255" s="10">
        <v>479</v>
      </c>
      <c r="X255" s="10">
        <v>8015</v>
      </c>
      <c r="Y255" s="10">
        <v>353</v>
      </c>
      <c r="Z255" s="10">
        <v>10</v>
      </c>
      <c r="AA255" s="159"/>
      <c r="AB255" s="10">
        <v>6</v>
      </c>
      <c r="AC255" s="10">
        <v>96</v>
      </c>
      <c r="AD255" s="10">
        <v>19</v>
      </c>
      <c r="AE255" s="10">
        <v>30</v>
      </c>
      <c r="AF255" s="10">
        <v>40</v>
      </c>
      <c r="AG255" s="10">
        <v>64</v>
      </c>
      <c r="AH255" s="10"/>
      <c r="AI255" s="10"/>
      <c r="AJ255" s="10">
        <v>5</v>
      </c>
      <c r="AK255" s="10">
        <v>9149</v>
      </c>
      <c r="AL255" s="10">
        <v>98780</v>
      </c>
      <c r="AM255" s="10">
        <v>3056</v>
      </c>
      <c r="AN255" s="10">
        <v>16672</v>
      </c>
      <c r="AO255" s="10">
        <v>41</v>
      </c>
      <c r="AP255" s="10">
        <v>35</v>
      </c>
      <c r="AQ255" s="10">
        <v>6841</v>
      </c>
      <c r="AR255" s="10">
        <v>0</v>
      </c>
      <c r="AS255" s="10">
        <v>1906</v>
      </c>
      <c r="AT255" s="10">
        <v>16</v>
      </c>
      <c r="AU255" s="10">
        <v>4933</v>
      </c>
      <c r="AV255" s="10">
        <v>2244</v>
      </c>
      <c r="AW255" s="10">
        <v>3942</v>
      </c>
      <c r="AX255" s="10">
        <v>11405</v>
      </c>
      <c r="AY255" s="159"/>
      <c r="AZ255" s="159"/>
      <c r="BA255" s="159">
        <v>528</v>
      </c>
      <c r="BB255" s="159"/>
      <c r="BC255" s="10">
        <v>327</v>
      </c>
      <c r="BD255" s="10"/>
      <c r="BE255" s="10">
        <v>0</v>
      </c>
      <c r="BF255" s="10">
        <v>0</v>
      </c>
      <c r="BG255" s="10">
        <v>1028</v>
      </c>
      <c r="BH255" s="10">
        <v>0</v>
      </c>
      <c r="BI255" s="10">
        <v>0</v>
      </c>
      <c r="BJ255" s="10">
        <v>8362</v>
      </c>
      <c r="BK255" s="10">
        <v>20</v>
      </c>
      <c r="BL255" s="10">
        <v>3394</v>
      </c>
      <c r="BM255" s="10"/>
      <c r="BN255" s="10">
        <v>380</v>
      </c>
      <c r="BO255" s="10">
        <v>28</v>
      </c>
      <c r="BP255" s="10">
        <v>5037</v>
      </c>
      <c r="BQ255" s="10">
        <v>59859</v>
      </c>
      <c r="BR255" s="10">
        <v>628</v>
      </c>
      <c r="BS255" s="10">
        <v>172</v>
      </c>
      <c r="BT255" s="10">
        <v>4664</v>
      </c>
      <c r="BU255" s="10">
        <v>79</v>
      </c>
      <c r="BV255" s="10"/>
      <c r="BW255" s="10">
        <v>5</v>
      </c>
      <c r="BX255" s="10">
        <v>118</v>
      </c>
      <c r="BY255" s="10"/>
      <c r="BZ255" s="10">
        <v>1</v>
      </c>
      <c r="CA255" s="10">
        <v>0</v>
      </c>
      <c r="CB255" s="10">
        <v>20657</v>
      </c>
      <c r="CC255" s="10">
        <v>16741</v>
      </c>
      <c r="CD255" s="10">
        <v>120478</v>
      </c>
      <c r="CE255" s="10">
        <v>184398</v>
      </c>
      <c r="CF255" s="10">
        <v>23649</v>
      </c>
      <c r="CG255" s="10">
        <v>37361</v>
      </c>
      <c r="CH255" s="10">
        <v>0</v>
      </c>
      <c r="CI255" s="10">
        <v>16</v>
      </c>
      <c r="CJ255" s="10">
        <v>7</v>
      </c>
      <c r="CK255" s="10">
        <v>24</v>
      </c>
      <c r="CL255" s="10"/>
      <c r="CM255" s="10"/>
      <c r="CN255" s="10"/>
      <c r="CO255" s="10"/>
      <c r="CP255" s="10"/>
      <c r="CQ255" s="10"/>
      <c r="CR255" s="10"/>
      <c r="CS255" s="10"/>
      <c r="CT255" s="10">
        <v>0</v>
      </c>
      <c r="CU255" s="10">
        <v>0</v>
      </c>
      <c r="CV255" s="10">
        <v>0</v>
      </c>
      <c r="CW255" s="10">
        <v>23</v>
      </c>
      <c r="CX255" s="10">
        <v>0</v>
      </c>
      <c r="CY255" s="10">
        <v>59</v>
      </c>
      <c r="DA255" s="6"/>
      <c r="DC255" s="6"/>
      <c r="DD255" s="6">
        <f t="shared" si="77"/>
        <v>487106</v>
      </c>
      <c r="DE255" s="6">
        <f t="shared" si="57"/>
        <v>231174</v>
      </c>
      <c r="DF255" s="8">
        <f t="shared" si="79"/>
        <v>718280</v>
      </c>
      <c r="DK255" s="6">
        <f t="shared" si="59"/>
        <v>60317</v>
      </c>
      <c r="DL255" s="6">
        <f t="shared" si="60"/>
        <v>125481</v>
      </c>
      <c r="DM255" s="6">
        <f t="shared" si="68"/>
        <v>10887</v>
      </c>
      <c r="DN255" s="6">
        <f t="shared" si="69"/>
        <v>35017</v>
      </c>
      <c r="DO255" s="6">
        <f t="shared" si="51"/>
        <v>350146</v>
      </c>
      <c r="DP255" s="6">
        <f t="shared" si="64"/>
        <v>64903</v>
      </c>
      <c r="DQ255" s="6"/>
      <c r="DR255" s="6">
        <f t="shared" si="52"/>
        <v>16757</v>
      </c>
      <c r="DS255" s="6">
        <f t="shared" si="53"/>
        <v>5037</v>
      </c>
      <c r="DT255" s="6">
        <f t="shared" si="54"/>
        <v>12902</v>
      </c>
      <c r="DU255" s="6"/>
      <c r="DV255" s="6"/>
      <c r="DW255" s="6">
        <f t="shared" si="55"/>
        <v>681447</v>
      </c>
      <c r="DY255" s="6">
        <f t="shared" si="61"/>
        <v>456489</v>
      </c>
      <c r="DZ255" s="6">
        <f t="shared" si="62"/>
        <v>57232</v>
      </c>
      <c r="EB255" s="6">
        <f t="shared" si="63"/>
        <v>775512</v>
      </c>
      <c r="EC255" s="6"/>
      <c r="ED255" s="6"/>
      <c r="EF255" s="6">
        <f t="shared" si="80"/>
        <v>444708</v>
      </c>
      <c r="EG255" s="6">
        <f t="shared" si="76"/>
        <v>224861</v>
      </c>
      <c r="EH255" s="6">
        <f t="shared" si="81"/>
        <v>669569</v>
      </c>
      <c r="EI255" s="36">
        <f t="shared" si="78"/>
        <v>7.7294883037954034E-3</v>
      </c>
      <c r="EJ255" s="36">
        <f t="shared" si="78"/>
        <v>9.7042863565746543E-4</v>
      </c>
      <c r="FE255" s="32"/>
      <c r="FF255" s="34"/>
      <c r="FG255" s="31"/>
    </row>
    <row r="256" spans="1:165">
      <c r="B256" s="9">
        <v>39753</v>
      </c>
      <c r="C256" s="10">
        <v>1</v>
      </c>
      <c r="D256" s="10">
        <v>23</v>
      </c>
      <c r="E256" s="10">
        <v>5793</v>
      </c>
      <c r="F256" s="10">
        <v>2</v>
      </c>
      <c r="G256" s="10">
        <v>1201</v>
      </c>
      <c r="H256" s="10">
        <v>15375</v>
      </c>
      <c r="I256" s="10">
        <v>27563</v>
      </c>
      <c r="J256" s="10">
        <v>5040</v>
      </c>
      <c r="K256" s="10">
        <v>8933</v>
      </c>
      <c r="L256" s="10"/>
      <c r="M256" s="10">
        <v>28776</v>
      </c>
      <c r="N256" s="10">
        <v>2085</v>
      </c>
      <c r="O256" s="10"/>
      <c r="P256" s="10">
        <v>1560</v>
      </c>
      <c r="Q256" s="10">
        <v>10094</v>
      </c>
      <c r="R256" s="10">
        <v>419</v>
      </c>
      <c r="S256" s="10">
        <v>8778</v>
      </c>
      <c r="T256" s="10">
        <v>10914</v>
      </c>
      <c r="U256" s="10"/>
      <c r="V256" s="10"/>
      <c r="W256" s="10">
        <v>493</v>
      </c>
      <c r="X256" s="10">
        <v>8030</v>
      </c>
      <c r="Y256" s="10">
        <v>353</v>
      </c>
      <c r="Z256" s="10">
        <v>10</v>
      </c>
      <c r="AA256" s="159"/>
      <c r="AB256" s="10">
        <v>6</v>
      </c>
      <c r="AC256" s="10">
        <v>101</v>
      </c>
      <c r="AD256" s="10">
        <v>19</v>
      </c>
      <c r="AE256" s="10">
        <v>30</v>
      </c>
      <c r="AF256" s="10">
        <v>40</v>
      </c>
      <c r="AG256" s="10">
        <v>63</v>
      </c>
      <c r="AH256" s="10"/>
      <c r="AI256" s="10"/>
      <c r="AJ256" s="10">
        <v>4</v>
      </c>
      <c r="AK256" s="10">
        <v>9225</v>
      </c>
      <c r="AL256" s="10">
        <v>99345</v>
      </c>
      <c r="AM256" s="10">
        <v>3074</v>
      </c>
      <c r="AN256" s="10">
        <v>16735</v>
      </c>
      <c r="AO256" s="10">
        <v>40</v>
      </c>
      <c r="AP256" s="10">
        <v>30</v>
      </c>
      <c r="AQ256" s="10">
        <v>7056</v>
      </c>
      <c r="AR256" s="10">
        <v>0</v>
      </c>
      <c r="AS256" s="10">
        <v>1918</v>
      </c>
      <c r="AT256" s="10">
        <v>16</v>
      </c>
      <c r="AU256" s="10">
        <v>4922</v>
      </c>
      <c r="AV256" s="10">
        <v>2247</v>
      </c>
      <c r="AW256" s="10">
        <v>3946</v>
      </c>
      <c r="AX256" s="10">
        <v>11459</v>
      </c>
      <c r="AY256" s="159"/>
      <c r="AZ256" s="159"/>
      <c r="BA256" s="159">
        <v>533</v>
      </c>
      <c r="BB256" s="159"/>
      <c r="BC256" s="10">
        <v>332</v>
      </c>
      <c r="BD256" s="10"/>
      <c r="BE256" s="10">
        <v>0</v>
      </c>
      <c r="BF256" s="10">
        <v>0</v>
      </c>
      <c r="BG256" s="10">
        <v>1029</v>
      </c>
      <c r="BH256" s="10">
        <v>0</v>
      </c>
      <c r="BI256" s="10">
        <v>0</v>
      </c>
      <c r="BJ256" s="10">
        <v>8373</v>
      </c>
      <c r="BK256" s="10">
        <v>21</v>
      </c>
      <c r="BL256" s="10">
        <v>3365</v>
      </c>
      <c r="BM256" s="10"/>
      <c r="BN256" s="10">
        <v>409</v>
      </c>
      <c r="BO256" s="10">
        <v>29</v>
      </c>
      <c r="BP256" s="10">
        <v>4800</v>
      </c>
      <c r="BQ256" s="10">
        <v>61142</v>
      </c>
      <c r="BR256" s="10">
        <v>660</v>
      </c>
      <c r="BS256" s="10">
        <v>177</v>
      </c>
      <c r="BT256" s="10">
        <v>4764</v>
      </c>
      <c r="BU256" s="10">
        <v>60</v>
      </c>
      <c r="BV256" s="10"/>
      <c r="BW256" s="10">
        <v>7</v>
      </c>
      <c r="BX256" s="10">
        <v>133</v>
      </c>
      <c r="BY256" s="10"/>
      <c r="BZ256" s="10">
        <v>1</v>
      </c>
      <c r="CA256" s="10">
        <v>0</v>
      </c>
      <c r="CB256" s="10">
        <v>20995</v>
      </c>
      <c r="CC256" s="10">
        <v>16977</v>
      </c>
      <c r="CD256" s="10">
        <v>122410</v>
      </c>
      <c r="CE256" s="10">
        <v>186589</v>
      </c>
      <c r="CF256" s="10">
        <v>23974</v>
      </c>
      <c r="CG256" s="10">
        <v>38083</v>
      </c>
      <c r="CH256" s="10">
        <v>0</v>
      </c>
      <c r="CI256" s="10">
        <v>17</v>
      </c>
      <c r="CJ256" s="10">
        <v>5</v>
      </c>
      <c r="CK256" s="10">
        <v>27</v>
      </c>
      <c r="CL256" s="10"/>
      <c r="CM256" s="10"/>
      <c r="CN256" s="10"/>
      <c r="CO256" s="10"/>
      <c r="CP256" s="10"/>
      <c r="CQ256" s="10"/>
      <c r="CR256" s="10"/>
      <c r="CS256" s="10"/>
      <c r="CT256" s="10">
        <v>0</v>
      </c>
      <c r="CU256" s="10">
        <v>0</v>
      </c>
      <c r="CV256" s="10">
        <v>0</v>
      </c>
      <c r="CW256" s="10">
        <v>23</v>
      </c>
      <c r="CX256" s="10">
        <v>0</v>
      </c>
      <c r="CY256" s="10">
        <v>59</v>
      </c>
      <c r="DA256" s="6"/>
      <c r="DC256" s="6"/>
      <c r="DD256" s="6">
        <f t="shared" si="77"/>
        <v>494047</v>
      </c>
      <c r="DE256" s="6">
        <f t="shared" si="57"/>
        <v>232120</v>
      </c>
      <c r="DF256" s="8">
        <f t="shared" si="79"/>
        <v>726167</v>
      </c>
      <c r="DK256" s="6">
        <f t="shared" si="59"/>
        <v>60235</v>
      </c>
      <c r="DL256" s="6">
        <f t="shared" si="60"/>
        <v>126161</v>
      </c>
      <c r="DM256" s="6">
        <f t="shared" si="68"/>
        <v>10914</v>
      </c>
      <c r="DN256" s="6">
        <f t="shared" si="69"/>
        <v>35343</v>
      </c>
      <c r="DO256" s="6">
        <f t="shared" ref="DO256:DO262" si="83">SUM(BF256,BI256,BK256,BO256,BR256:BS256,BU256:BW256,BZ256:CB256,CD256:CF256,CJ256:CK256)</f>
        <v>354955</v>
      </c>
      <c r="DP256" s="6">
        <f t="shared" si="64"/>
        <v>66315</v>
      </c>
      <c r="DQ256" s="6"/>
      <c r="DR256" s="6">
        <f t="shared" ref="DR256:DR262" si="84">CC256+CI256</f>
        <v>16994</v>
      </c>
      <c r="DS256" s="6">
        <f t="shared" ref="DS256:DS262" si="85">BP256</f>
        <v>4800</v>
      </c>
      <c r="DT256" s="6">
        <f t="shared" ref="DT256:DT262" si="86">BG256+BJ256+BL256+BX256</f>
        <v>12900</v>
      </c>
      <c r="DU256" s="6"/>
      <c r="DV256" s="6"/>
      <c r="DW256" s="6">
        <f t="shared" ref="DW256:DW262" si="87">SUM(DK256:DT256)</f>
        <v>688617</v>
      </c>
      <c r="DY256" s="6">
        <f t="shared" si="61"/>
        <v>462849</v>
      </c>
      <c r="DZ256" s="6">
        <f t="shared" si="62"/>
        <v>58112</v>
      </c>
      <c r="EB256" s="6">
        <f t="shared" si="63"/>
        <v>784279</v>
      </c>
      <c r="EC256" s="6"/>
      <c r="ED256" s="6"/>
      <c r="EF256" s="6">
        <f t="shared" si="80"/>
        <v>451164</v>
      </c>
      <c r="EG256" s="6">
        <f t="shared" si="76"/>
        <v>225597</v>
      </c>
      <c r="EH256" s="6">
        <f t="shared" si="81"/>
        <v>676761</v>
      </c>
      <c r="EI256" s="36">
        <f t="shared" si="78"/>
        <v>1.4517391187026094E-2</v>
      </c>
      <c r="EJ256" s="36">
        <f t="shared" si="78"/>
        <v>3.2731331800534553E-3</v>
      </c>
      <c r="FE256" s="32"/>
      <c r="FF256" s="34"/>
      <c r="FG256" s="31"/>
    </row>
    <row r="257" spans="2:163">
      <c r="B257" s="9">
        <v>39783</v>
      </c>
      <c r="C257" s="10">
        <v>1</v>
      </c>
      <c r="D257" s="10">
        <v>17</v>
      </c>
      <c r="E257" s="10">
        <v>4819</v>
      </c>
      <c r="F257" s="10">
        <v>1</v>
      </c>
      <c r="G257" s="10">
        <v>1169</v>
      </c>
      <c r="H257" s="10">
        <v>15319</v>
      </c>
      <c r="I257" s="10">
        <v>27701</v>
      </c>
      <c r="J257" s="10">
        <v>4997</v>
      </c>
      <c r="K257" s="10">
        <v>8814</v>
      </c>
      <c r="L257" s="10"/>
      <c r="M257" s="10">
        <v>28737</v>
      </c>
      <c r="N257" s="10">
        <v>2091</v>
      </c>
      <c r="O257" s="10"/>
      <c r="P257" s="10">
        <v>1563</v>
      </c>
      <c r="Q257" s="10">
        <v>10116</v>
      </c>
      <c r="R257" s="10">
        <v>416</v>
      </c>
      <c r="S257" s="10">
        <v>8778</v>
      </c>
      <c r="T257" s="10">
        <v>10938</v>
      </c>
      <c r="U257" s="10"/>
      <c r="V257" s="10"/>
      <c r="W257" s="10">
        <v>485</v>
      </c>
      <c r="X257" s="10">
        <v>8043</v>
      </c>
      <c r="Y257" s="10">
        <v>350</v>
      </c>
      <c r="Z257" s="10">
        <v>10</v>
      </c>
      <c r="AA257" s="159"/>
      <c r="AB257" s="10">
        <v>5</v>
      </c>
      <c r="AC257" s="10">
        <v>107</v>
      </c>
      <c r="AD257" s="10">
        <v>20</v>
      </c>
      <c r="AE257" s="10">
        <v>30</v>
      </c>
      <c r="AF257" s="10">
        <v>41</v>
      </c>
      <c r="AG257" s="10">
        <v>63</v>
      </c>
      <c r="AH257" s="10"/>
      <c r="AI257" s="10"/>
      <c r="AJ257" s="10">
        <v>5</v>
      </c>
      <c r="AK257" s="10">
        <v>9280</v>
      </c>
      <c r="AL257" s="10">
        <v>99639</v>
      </c>
      <c r="AM257" s="10">
        <v>3069</v>
      </c>
      <c r="AN257" s="10">
        <v>16873</v>
      </c>
      <c r="AO257" s="10">
        <v>40</v>
      </c>
      <c r="AP257" s="10">
        <v>30</v>
      </c>
      <c r="AQ257" s="10">
        <v>7237</v>
      </c>
      <c r="AR257" s="10">
        <v>0</v>
      </c>
      <c r="AS257" s="10">
        <v>1931</v>
      </c>
      <c r="AT257" s="10">
        <v>20</v>
      </c>
      <c r="AU257" s="10">
        <v>4971</v>
      </c>
      <c r="AV257" s="10">
        <v>2254</v>
      </c>
      <c r="AW257" s="10">
        <v>3977</v>
      </c>
      <c r="AX257" s="10">
        <v>11499</v>
      </c>
      <c r="AY257" s="159"/>
      <c r="AZ257" s="159"/>
      <c r="BA257" s="159">
        <v>537</v>
      </c>
      <c r="BB257" s="159"/>
      <c r="BC257" s="10">
        <v>328</v>
      </c>
      <c r="BD257" s="10"/>
      <c r="BE257" s="10">
        <v>0</v>
      </c>
      <c r="BF257" s="10">
        <v>0</v>
      </c>
      <c r="BG257" s="10">
        <v>1035</v>
      </c>
      <c r="BH257" s="10">
        <v>0</v>
      </c>
      <c r="BI257" s="10">
        <v>0</v>
      </c>
      <c r="BJ257" s="10">
        <v>8312</v>
      </c>
      <c r="BK257" s="10">
        <v>23</v>
      </c>
      <c r="BL257" s="10">
        <v>3343</v>
      </c>
      <c r="BM257" s="10"/>
      <c r="BN257" s="10">
        <v>433</v>
      </c>
      <c r="BO257" s="10">
        <v>29</v>
      </c>
      <c r="BP257" s="10">
        <v>4638</v>
      </c>
      <c r="BQ257" s="10">
        <v>61681</v>
      </c>
      <c r="BR257" s="10">
        <v>621</v>
      </c>
      <c r="BS257" s="10">
        <v>177</v>
      </c>
      <c r="BT257" s="10">
        <v>4887</v>
      </c>
      <c r="BU257" s="10">
        <v>58</v>
      </c>
      <c r="BV257" s="10"/>
      <c r="BW257" s="10">
        <v>7</v>
      </c>
      <c r="BX257" s="10">
        <v>137</v>
      </c>
      <c r="BY257" s="10"/>
      <c r="BZ257" s="10">
        <v>2</v>
      </c>
      <c r="CA257" s="10">
        <v>0</v>
      </c>
      <c r="CB257" s="10">
        <v>21150</v>
      </c>
      <c r="CC257" s="10">
        <v>16514</v>
      </c>
      <c r="CD257" s="10">
        <v>123116</v>
      </c>
      <c r="CE257" s="10">
        <v>188508</v>
      </c>
      <c r="CF257" s="10">
        <v>23846</v>
      </c>
      <c r="CG257" s="10">
        <v>38511</v>
      </c>
      <c r="CH257" s="10">
        <v>0</v>
      </c>
      <c r="CI257" s="10">
        <v>14</v>
      </c>
      <c r="CJ257" s="10">
        <v>5</v>
      </c>
      <c r="CK257" s="10">
        <v>30</v>
      </c>
      <c r="CL257" s="10"/>
      <c r="CM257" s="10"/>
      <c r="CN257" s="10"/>
      <c r="CO257" s="10"/>
      <c r="CP257" s="10"/>
      <c r="CQ257" s="10"/>
      <c r="CR257" s="10"/>
      <c r="CS257" s="10"/>
      <c r="CT257" s="10">
        <v>0</v>
      </c>
      <c r="CU257" s="10">
        <v>0</v>
      </c>
      <c r="CV257" s="10">
        <v>0</v>
      </c>
      <c r="CW257" s="10">
        <v>23</v>
      </c>
      <c r="CX257" s="10">
        <v>0</v>
      </c>
      <c r="CY257" s="10">
        <v>59</v>
      </c>
      <c r="DA257" s="6"/>
      <c r="DC257" s="6"/>
      <c r="DD257" s="6">
        <f t="shared" ref="DD257:DD262" si="88">SUM(BE257:CK257)</f>
        <v>497077</v>
      </c>
      <c r="DE257" s="6">
        <f t="shared" si="57"/>
        <v>232946</v>
      </c>
      <c r="DF257" s="8">
        <f t="shared" si="79"/>
        <v>730023</v>
      </c>
      <c r="DK257" s="6">
        <f t="shared" si="59"/>
        <v>60229</v>
      </c>
      <c r="DL257" s="6">
        <f t="shared" si="60"/>
        <v>126614</v>
      </c>
      <c r="DM257" s="6">
        <f t="shared" si="68"/>
        <v>10938</v>
      </c>
      <c r="DN257" s="6">
        <f t="shared" si="69"/>
        <v>35702</v>
      </c>
      <c r="DO257" s="6">
        <f t="shared" si="83"/>
        <v>357572</v>
      </c>
      <c r="DP257" s="6">
        <f t="shared" si="64"/>
        <v>67001</v>
      </c>
      <c r="DQ257" s="6"/>
      <c r="DR257" s="6">
        <f t="shared" si="84"/>
        <v>16528</v>
      </c>
      <c r="DS257" s="6">
        <f t="shared" si="85"/>
        <v>4638</v>
      </c>
      <c r="DT257" s="6">
        <f t="shared" si="86"/>
        <v>12827</v>
      </c>
      <c r="DU257" s="6"/>
      <c r="DV257" s="6"/>
      <c r="DW257" s="6">
        <f t="shared" si="87"/>
        <v>692049</v>
      </c>
      <c r="DY257" s="6">
        <f t="shared" si="61"/>
        <v>465741</v>
      </c>
      <c r="DZ257" s="6">
        <f t="shared" si="62"/>
        <v>58000</v>
      </c>
      <c r="EB257" s="6">
        <f t="shared" si="63"/>
        <v>788023</v>
      </c>
      <c r="EC257" s="6"/>
      <c r="ED257" s="6"/>
      <c r="EF257" s="6">
        <f t="shared" si="80"/>
        <v>453928</v>
      </c>
      <c r="EG257" s="6">
        <f t="shared" si="76"/>
        <v>226246</v>
      </c>
      <c r="EH257" s="6">
        <f t="shared" si="81"/>
        <v>680174</v>
      </c>
      <c r="EI257" s="36">
        <f t="shared" si="78"/>
        <v>6.1263753313650915E-3</v>
      </c>
      <c r="EJ257" s="36">
        <f t="shared" si="78"/>
        <v>2.876811305114873E-3</v>
      </c>
      <c r="FE257" s="32"/>
      <c r="FF257" s="34"/>
      <c r="FG257" s="31"/>
    </row>
    <row r="258" spans="2:163">
      <c r="B258" s="9">
        <v>39814</v>
      </c>
      <c r="C258" s="10">
        <v>1</v>
      </c>
      <c r="D258" s="10">
        <v>17</v>
      </c>
      <c r="E258" s="10">
        <v>3857</v>
      </c>
      <c r="F258" s="10">
        <v>1</v>
      </c>
      <c r="G258" s="10">
        <v>1165</v>
      </c>
      <c r="H258" s="10">
        <v>15439</v>
      </c>
      <c r="I258" s="10">
        <v>27989</v>
      </c>
      <c r="J258" s="10">
        <v>4969</v>
      </c>
      <c r="K258" s="10">
        <v>8808</v>
      </c>
      <c r="L258" s="10"/>
      <c r="M258" s="10">
        <v>28679</v>
      </c>
      <c r="N258" s="10">
        <v>2090</v>
      </c>
      <c r="O258" s="10"/>
      <c r="P258" s="10">
        <v>1558</v>
      </c>
      <c r="Q258" s="10">
        <v>10066</v>
      </c>
      <c r="R258" s="10">
        <v>403</v>
      </c>
      <c r="S258" s="10">
        <v>8638</v>
      </c>
      <c r="T258" s="10">
        <v>10975</v>
      </c>
      <c r="U258" s="10"/>
      <c r="V258" s="10"/>
      <c r="W258" s="10">
        <v>488</v>
      </c>
      <c r="X258" s="10">
        <v>8076</v>
      </c>
      <c r="Y258" s="10">
        <v>352</v>
      </c>
      <c r="Z258" s="10">
        <v>9</v>
      </c>
      <c r="AA258" s="159"/>
      <c r="AB258" s="10">
        <v>4</v>
      </c>
      <c r="AC258" s="10">
        <v>111</v>
      </c>
      <c r="AD258" s="10">
        <v>19</v>
      </c>
      <c r="AE258" s="10">
        <v>30</v>
      </c>
      <c r="AF258" s="10">
        <v>42</v>
      </c>
      <c r="AG258" s="10">
        <v>65</v>
      </c>
      <c r="AH258" s="10"/>
      <c r="AI258" s="10"/>
      <c r="AJ258" s="10">
        <v>6</v>
      </c>
      <c r="AK258" s="10">
        <v>9274</v>
      </c>
      <c r="AL258" s="10">
        <v>99759</v>
      </c>
      <c r="AM258" s="10">
        <v>3076</v>
      </c>
      <c r="AN258" s="10">
        <v>16809</v>
      </c>
      <c r="AO258" s="10">
        <v>39</v>
      </c>
      <c r="AP258" s="10">
        <v>32</v>
      </c>
      <c r="AQ258" s="10">
        <v>0</v>
      </c>
      <c r="AR258" s="10">
        <v>0</v>
      </c>
      <c r="AS258" s="10">
        <v>1905</v>
      </c>
      <c r="AT258" s="10">
        <v>21</v>
      </c>
      <c r="AU258" s="10">
        <v>5001</v>
      </c>
      <c r="AV258" s="10">
        <v>2257</v>
      </c>
      <c r="AW258" s="10">
        <v>3982</v>
      </c>
      <c r="AX258" s="10">
        <v>11543</v>
      </c>
      <c r="AY258" s="159"/>
      <c r="AZ258" s="159"/>
      <c r="BA258" s="159">
        <v>538</v>
      </c>
      <c r="BB258" s="159"/>
      <c r="BC258" s="10">
        <v>330</v>
      </c>
      <c r="BD258" s="10"/>
      <c r="BE258" s="10">
        <v>0</v>
      </c>
      <c r="BF258" s="10">
        <v>0</v>
      </c>
      <c r="BG258" s="10">
        <v>1035</v>
      </c>
      <c r="BH258" s="10">
        <v>0</v>
      </c>
      <c r="BI258" s="10">
        <v>0</v>
      </c>
      <c r="BJ258" s="10">
        <v>8284</v>
      </c>
      <c r="BK258" s="10">
        <v>31</v>
      </c>
      <c r="BL258" s="10">
        <v>3316</v>
      </c>
      <c r="BM258" s="10"/>
      <c r="BN258" s="10">
        <v>449</v>
      </c>
      <c r="BO258" s="10">
        <v>28</v>
      </c>
      <c r="BP258" s="10">
        <v>4291</v>
      </c>
      <c r="BQ258" s="10">
        <v>61880</v>
      </c>
      <c r="BR258" s="10">
        <v>627</v>
      </c>
      <c r="BS258" s="10">
        <v>174</v>
      </c>
      <c r="BT258" s="10">
        <v>4993</v>
      </c>
      <c r="BU258" s="10">
        <v>47</v>
      </c>
      <c r="BV258" s="10"/>
      <c r="BW258" s="10">
        <v>7</v>
      </c>
      <c r="BX258" s="10">
        <v>144</v>
      </c>
      <c r="BY258" s="10"/>
      <c r="BZ258" s="10">
        <v>2</v>
      </c>
      <c r="CA258" s="10">
        <v>0</v>
      </c>
      <c r="CB258" s="10">
        <v>21210</v>
      </c>
      <c r="CC258" s="10">
        <v>16238</v>
      </c>
      <c r="CD258" s="10">
        <v>124370</v>
      </c>
      <c r="CE258" s="10">
        <v>190539</v>
      </c>
      <c r="CF258" s="10">
        <v>24067</v>
      </c>
      <c r="CG258" s="10">
        <v>38809</v>
      </c>
      <c r="CH258" s="10">
        <v>0</v>
      </c>
      <c r="CI258" s="10">
        <v>11</v>
      </c>
      <c r="CJ258" s="10">
        <v>5</v>
      </c>
      <c r="CK258" s="10">
        <v>25</v>
      </c>
      <c r="CL258" s="10"/>
      <c r="CM258" s="10"/>
      <c r="CN258" s="10"/>
      <c r="CO258" s="10"/>
      <c r="CP258" s="10"/>
      <c r="CQ258" s="10"/>
      <c r="CR258" s="10"/>
      <c r="CS258" s="10"/>
      <c r="CT258" s="10">
        <v>0</v>
      </c>
      <c r="CU258" s="10">
        <v>0</v>
      </c>
      <c r="CV258" s="10">
        <v>0</v>
      </c>
      <c r="CW258" s="10">
        <v>23</v>
      </c>
      <c r="CX258" s="10">
        <v>0</v>
      </c>
      <c r="CY258" s="10">
        <v>58</v>
      </c>
      <c r="DA258" s="6"/>
      <c r="DC258" s="6"/>
      <c r="DD258" s="6">
        <f t="shared" si="88"/>
        <v>500582</v>
      </c>
      <c r="DE258" s="6">
        <f t="shared" si="57"/>
        <v>225639</v>
      </c>
      <c r="DF258" s="8">
        <f t="shared" si="79"/>
        <v>726221</v>
      </c>
      <c r="DK258" s="6">
        <f t="shared" si="59"/>
        <v>59998</v>
      </c>
      <c r="DL258" s="6">
        <f t="shared" si="60"/>
        <v>126755</v>
      </c>
      <c r="DM258" s="6">
        <f t="shared" si="68"/>
        <v>10975</v>
      </c>
      <c r="DN258" s="6">
        <f t="shared" si="69"/>
        <v>28449</v>
      </c>
      <c r="DO258" s="6">
        <f t="shared" si="83"/>
        <v>361132</v>
      </c>
      <c r="DP258" s="6">
        <f t="shared" si="64"/>
        <v>67322</v>
      </c>
      <c r="DQ258" s="6"/>
      <c r="DR258" s="6">
        <f t="shared" si="84"/>
        <v>16249</v>
      </c>
      <c r="DS258" s="6">
        <f t="shared" si="85"/>
        <v>4291</v>
      </c>
      <c r="DT258" s="6">
        <f t="shared" si="86"/>
        <v>12779</v>
      </c>
      <c r="DU258" s="6"/>
      <c r="DV258" s="6"/>
      <c r="DW258" s="6">
        <f t="shared" si="87"/>
        <v>687950</v>
      </c>
      <c r="DY258" s="6">
        <f t="shared" si="61"/>
        <v>469925</v>
      </c>
      <c r="DZ258" s="6">
        <f t="shared" si="62"/>
        <v>58370</v>
      </c>
      <c r="EB258" s="6">
        <f t="shared" si="63"/>
        <v>784591</v>
      </c>
      <c r="EC258" s="6"/>
      <c r="ED258" s="6"/>
      <c r="EF258" s="6">
        <f t="shared" si="80"/>
        <v>457482</v>
      </c>
      <c r="EG258" s="6">
        <f t="shared" si="76"/>
        <v>226177</v>
      </c>
      <c r="EH258" s="6">
        <f t="shared" si="81"/>
        <v>683659</v>
      </c>
      <c r="EI258" s="36">
        <f t="shared" si="78"/>
        <v>7.8294355051902499E-3</v>
      </c>
      <c r="EJ258" s="36">
        <f t="shared" si="78"/>
        <v>-3.0497776756274145E-4</v>
      </c>
      <c r="FE258" s="32"/>
      <c r="FF258" s="34"/>
      <c r="FG258" s="31"/>
    </row>
    <row r="259" spans="2:163">
      <c r="B259" s="9">
        <v>39845</v>
      </c>
      <c r="C259" s="10">
        <v>1</v>
      </c>
      <c r="D259" s="10">
        <v>10</v>
      </c>
      <c r="E259" s="10">
        <v>2712</v>
      </c>
      <c r="F259" s="10">
        <v>0</v>
      </c>
      <c r="G259" s="10">
        <v>1161</v>
      </c>
      <c r="H259" s="10">
        <v>15394</v>
      </c>
      <c r="I259" s="10">
        <v>27906</v>
      </c>
      <c r="J259" s="10">
        <v>4903</v>
      </c>
      <c r="K259" s="10">
        <v>8802</v>
      </c>
      <c r="L259" s="10"/>
      <c r="M259" s="10">
        <v>28643</v>
      </c>
      <c r="N259" s="10">
        <v>2069</v>
      </c>
      <c r="O259" s="10"/>
      <c r="P259" s="10">
        <v>1553</v>
      </c>
      <c r="Q259" s="10">
        <v>10046</v>
      </c>
      <c r="R259" s="10">
        <v>396</v>
      </c>
      <c r="S259" s="10">
        <v>8580</v>
      </c>
      <c r="T259" s="10">
        <v>10999</v>
      </c>
      <c r="U259" s="10"/>
      <c r="V259" s="10"/>
      <c r="W259" s="10">
        <v>489</v>
      </c>
      <c r="X259" s="10">
        <v>8051</v>
      </c>
      <c r="Y259" s="10">
        <v>353</v>
      </c>
      <c r="Z259" s="10">
        <v>8</v>
      </c>
      <c r="AA259" s="159"/>
      <c r="AB259" s="10">
        <v>5</v>
      </c>
      <c r="AC259" s="10">
        <v>109</v>
      </c>
      <c r="AD259" s="10">
        <v>19</v>
      </c>
      <c r="AE259" s="10">
        <v>30</v>
      </c>
      <c r="AF259" s="10">
        <v>40</v>
      </c>
      <c r="AG259" s="10">
        <v>65</v>
      </c>
      <c r="AH259" s="10"/>
      <c r="AI259" s="10"/>
      <c r="AJ259" s="10">
        <v>5</v>
      </c>
      <c r="AK259" s="10">
        <v>9326</v>
      </c>
      <c r="AL259" s="10">
        <v>100234</v>
      </c>
      <c r="AM259" s="10">
        <v>3072</v>
      </c>
      <c r="AN259" s="10">
        <v>16898</v>
      </c>
      <c r="AO259" s="10">
        <v>36</v>
      </c>
      <c r="AP259" s="10">
        <v>33</v>
      </c>
      <c r="AQ259" s="10">
        <v>2718</v>
      </c>
      <c r="AR259" s="10">
        <v>0</v>
      </c>
      <c r="AS259" s="10">
        <v>1959</v>
      </c>
      <c r="AT259" s="10">
        <v>22</v>
      </c>
      <c r="AU259" s="10">
        <v>5064</v>
      </c>
      <c r="AV259" s="10">
        <v>2251</v>
      </c>
      <c r="AW259" s="10">
        <v>3971</v>
      </c>
      <c r="AX259" s="10">
        <v>11585</v>
      </c>
      <c r="AY259" s="159"/>
      <c r="AZ259" s="159"/>
      <c r="BA259" s="159">
        <v>565</v>
      </c>
      <c r="BB259" s="159"/>
      <c r="BC259" s="10">
        <v>317</v>
      </c>
      <c r="BD259" s="10"/>
      <c r="BE259" s="10">
        <v>0</v>
      </c>
      <c r="BF259" s="10">
        <v>0</v>
      </c>
      <c r="BG259" s="10">
        <v>1039</v>
      </c>
      <c r="BH259" s="10">
        <v>0</v>
      </c>
      <c r="BI259" s="10">
        <v>0</v>
      </c>
      <c r="BJ259" s="10">
        <v>8252</v>
      </c>
      <c r="BK259" s="10">
        <v>25</v>
      </c>
      <c r="BL259" s="10">
        <v>3263</v>
      </c>
      <c r="BM259" s="10"/>
      <c r="BN259" s="10">
        <v>424</v>
      </c>
      <c r="BO259" s="10">
        <v>32</v>
      </c>
      <c r="BP259" s="10">
        <v>4026</v>
      </c>
      <c r="BQ259" s="10">
        <v>62258</v>
      </c>
      <c r="BR259" s="10">
        <v>549</v>
      </c>
      <c r="BS259" s="10">
        <v>174</v>
      </c>
      <c r="BT259" s="10">
        <v>5104</v>
      </c>
      <c r="BU259" s="10">
        <v>53</v>
      </c>
      <c r="BV259" s="10"/>
      <c r="BW259" s="10">
        <v>5</v>
      </c>
      <c r="BX259" s="10">
        <v>145</v>
      </c>
      <c r="BY259" s="10"/>
      <c r="BZ259" s="10">
        <v>1</v>
      </c>
      <c r="CA259" s="10">
        <v>0</v>
      </c>
      <c r="CB259" s="10">
        <v>21317</v>
      </c>
      <c r="CC259" s="10">
        <v>16177</v>
      </c>
      <c r="CD259" s="10">
        <v>126332</v>
      </c>
      <c r="CE259" s="10">
        <v>192933</v>
      </c>
      <c r="CF259" s="10">
        <v>24027</v>
      </c>
      <c r="CG259" s="10">
        <v>39039</v>
      </c>
      <c r="CH259" s="10">
        <v>0</v>
      </c>
      <c r="CI259" s="10">
        <v>10</v>
      </c>
      <c r="CJ259" s="10">
        <v>7</v>
      </c>
      <c r="CK259" s="10">
        <v>24</v>
      </c>
      <c r="CL259" s="10"/>
      <c r="CM259" s="10"/>
      <c r="CN259" s="10"/>
      <c r="CO259" s="10"/>
      <c r="CP259" s="10"/>
      <c r="CQ259" s="10"/>
      <c r="CR259" s="10"/>
      <c r="CS259" s="10"/>
      <c r="CT259" s="10">
        <v>0</v>
      </c>
      <c r="CU259" s="10">
        <v>0</v>
      </c>
      <c r="CV259" s="10">
        <v>0</v>
      </c>
      <c r="CW259" s="10">
        <v>22</v>
      </c>
      <c r="CX259" s="10">
        <v>0</v>
      </c>
      <c r="CY259" s="10">
        <v>58</v>
      </c>
      <c r="DA259" s="6"/>
      <c r="DC259" s="6"/>
      <c r="DD259" s="6">
        <f t="shared" si="88"/>
        <v>505216</v>
      </c>
      <c r="DE259" s="6">
        <f t="shared" si="57"/>
        <v>228946</v>
      </c>
      <c r="DF259" s="8">
        <f t="shared" ref="DF259:DF264" si="89">SUM(DD259:DE259)</f>
        <v>734162</v>
      </c>
      <c r="DK259" s="6">
        <f t="shared" si="59"/>
        <v>59827</v>
      </c>
      <c r="DL259" s="6">
        <f t="shared" si="60"/>
        <v>127386</v>
      </c>
      <c r="DM259" s="6">
        <f t="shared" si="68"/>
        <v>10999</v>
      </c>
      <c r="DN259" s="6">
        <f t="shared" si="69"/>
        <v>31299</v>
      </c>
      <c r="DO259" s="6">
        <f t="shared" si="83"/>
        <v>365479</v>
      </c>
      <c r="DP259" s="6">
        <f t="shared" si="64"/>
        <v>67786</v>
      </c>
      <c r="DQ259" s="6"/>
      <c r="DR259" s="6">
        <f t="shared" si="84"/>
        <v>16187</v>
      </c>
      <c r="DS259" s="6">
        <f t="shared" si="85"/>
        <v>4026</v>
      </c>
      <c r="DT259" s="6">
        <f t="shared" si="86"/>
        <v>12699</v>
      </c>
      <c r="DU259" s="6"/>
      <c r="DV259" s="6"/>
      <c r="DW259" s="6">
        <f t="shared" si="87"/>
        <v>695688</v>
      </c>
      <c r="DY259" s="6">
        <f t="shared" si="61"/>
        <v>474222</v>
      </c>
      <c r="DZ259" s="6">
        <f t="shared" si="62"/>
        <v>58166</v>
      </c>
      <c r="EB259" s="6">
        <f t="shared" si="63"/>
        <v>792328</v>
      </c>
      <c r="EC259" s="6"/>
      <c r="ED259" s="6"/>
      <c r="EF259" s="6">
        <f t="shared" ref="EF259:EF264" si="90">SUM(BE259:CK259)-CG259-BP259</f>
        <v>462151</v>
      </c>
      <c r="EG259" s="6">
        <f t="shared" si="76"/>
        <v>226793</v>
      </c>
      <c r="EH259" s="6">
        <f t="shared" ref="EH259:EH264" si="91">SUM(EF259:EG259)</f>
        <v>688944</v>
      </c>
      <c r="EI259" s="36">
        <f t="shared" si="78"/>
        <v>1.020586602314408E-2</v>
      </c>
      <c r="EJ259" s="36">
        <f t="shared" si="78"/>
        <v>2.7235306861440375E-3</v>
      </c>
      <c r="FE259" s="32"/>
      <c r="FF259" s="34"/>
      <c r="FG259" s="31"/>
    </row>
    <row r="260" spans="2:163">
      <c r="B260" s="9">
        <v>39873</v>
      </c>
      <c r="C260" s="10">
        <v>1</v>
      </c>
      <c r="D260" s="10">
        <v>3</v>
      </c>
      <c r="E260" s="10">
        <v>1989</v>
      </c>
      <c r="F260" s="10">
        <v>0</v>
      </c>
      <c r="G260" s="10">
        <v>1127</v>
      </c>
      <c r="H260" s="10">
        <v>15229</v>
      </c>
      <c r="I260" s="10">
        <v>27951</v>
      </c>
      <c r="J260" s="10">
        <v>4852</v>
      </c>
      <c r="K260" s="10">
        <v>8886</v>
      </c>
      <c r="L260" s="10"/>
      <c r="M260" s="10">
        <v>28623</v>
      </c>
      <c r="N260" s="10">
        <v>2046</v>
      </c>
      <c r="O260" s="10"/>
      <c r="P260" s="10">
        <v>1544</v>
      </c>
      <c r="Q260" s="10">
        <v>10147</v>
      </c>
      <c r="R260" s="10">
        <v>391</v>
      </c>
      <c r="S260" s="10">
        <v>8561</v>
      </c>
      <c r="T260" s="10">
        <v>11016</v>
      </c>
      <c r="U260" s="10"/>
      <c r="V260" s="10"/>
      <c r="W260" s="10">
        <v>487</v>
      </c>
      <c r="X260" s="10">
        <v>8004</v>
      </c>
      <c r="Y260" s="10">
        <v>353</v>
      </c>
      <c r="Z260" s="10">
        <v>8</v>
      </c>
      <c r="AA260" s="159"/>
      <c r="AB260" s="10">
        <v>5</v>
      </c>
      <c r="AC260" s="10">
        <v>109</v>
      </c>
      <c r="AD260" s="10">
        <v>20</v>
      </c>
      <c r="AE260" s="10">
        <v>30</v>
      </c>
      <c r="AF260" s="10">
        <v>39</v>
      </c>
      <c r="AG260" s="10">
        <v>65</v>
      </c>
      <c r="AH260" s="10"/>
      <c r="AI260" s="10"/>
      <c r="AJ260" s="10">
        <v>4</v>
      </c>
      <c r="AK260" s="10">
        <v>9291</v>
      </c>
      <c r="AL260" s="10">
        <v>100381</v>
      </c>
      <c r="AM260" s="10">
        <v>3073</v>
      </c>
      <c r="AN260" s="10">
        <v>16984</v>
      </c>
      <c r="AO260" s="10">
        <v>36</v>
      </c>
      <c r="AP260" s="10">
        <v>29</v>
      </c>
      <c r="AQ260" s="10">
        <v>4757</v>
      </c>
      <c r="AR260" s="10">
        <v>0</v>
      </c>
      <c r="AS260" s="10">
        <v>1989</v>
      </c>
      <c r="AT260" s="10">
        <v>21</v>
      </c>
      <c r="AU260" s="10">
        <v>5078</v>
      </c>
      <c r="AV260" s="10">
        <v>2261</v>
      </c>
      <c r="AW260" s="10">
        <v>3976</v>
      </c>
      <c r="AX260" s="10">
        <v>11690</v>
      </c>
      <c r="AY260" s="159"/>
      <c r="AZ260" s="159"/>
      <c r="BA260" s="159">
        <v>563</v>
      </c>
      <c r="BB260" s="159"/>
      <c r="BC260" s="10">
        <v>318</v>
      </c>
      <c r="BD260" s="10"/>
      <c r="BE260" s="10">
        <v>0</v>
      </c>
      <c r="BF260" s="10">
        <v>0</v>
      </c>
      <c r="BG260" s="10">
        <v>1050</v>
      </c>
      <c r="BH260" s="10">
        <v>0</v>
      </c>
      <c r="BI260" s="10">
        <v>0</v>
      </c>
      <c r="BJ260" s="10">
        <v>8222</v>
      </c>
      <c r="BK260" s="10">
        <v>28</v>
      </c>
      <c r="BL260" s="10">
        <v>3172</v>
      </c>
      <c r="BM260" s="10"/>
      <c r="BN260" s="10">
        <v>426</v>
      </c>
      <c r="BO260" s="10">
        <v>32</v>
      </c>
      <c r="BP260" s="10">
        <v>3821</v>
      </c>
      <c r="BQ260" s="10">
        <v>62615</v>
      </c>
      <c r="BR260" s="10">
        <v>527</v>
      </c>
      <c r="BS260" s="10">
        <v>174</v>
      </c>
      <c r="BT260" s="10">
        <v>5228</v>
      </c>
      <c r="BU260" s="10">
        <v>58</v>
      </c>
      <c r="BV260" s="10"/>
      <c r="BW260" s="10">
        <v>4</v>
      </c>
      <c r="BX260" s="10">
        <v>142</v>
      </c>
      <c r="BY260" s="10"/>
      <c r="BZ260" s="10">
        <v>1</v>
      </c>
      <c r="CA260" s="10">
        <v>0</v>
      </c>
      <c r="CB260" s="10">
        <v>21078</v>
      </c>
      <c r="CC260" s="10">
        <v>16009</v>
      </c>
      <c r="CD260" s="10">
        <v>128612</v>
      </c>
      <c r="CE260" s="10">
        <v>195707</v>
      </c>
      <c r="CF260" s="10">
        <v>23849</v>
      </c>
      <c r="CG260" s="10">
        <v>38731</v>
      </c>
      <c r="CH260" s="10">
        <v>0</v>
      </c>
      <c r="CI260" s="10">
        <v>7</v>
      </c>
      <c r="CJ260" s="10">
        <v>7</v>
      </c>
      <c r="CK260" s="10">
        <v>22</v>
      </c>
      <c r="CL260" s="10"/>
      <c r="CM260" s="10"/>
      <c r="CN260" s="10"/>
      <c r="CO260" s="10"/>
      <c r="CP260" s="10"/>
      <c r="CQ260" s="10"/>
      <c r="CR260" s="10"/>
      <c r="CS260" s="10"/>
      <c r="CT260" s="10">
        <v>0</v>
      </c>
      <c r="CU260" s="10">
        <v>0</v>
      </c>
      <c r="CV260" s="10">
        <v>0</v>
      </c>
      <c r="CW260" s="10">
        <v>22</v>
      </c>
      <c r="CX260" s="10">
        <v>0</v>
      </c>
      <c r="CY260" s="10">
        <v>58</v>
      </c>
      <c r="DA260" s="6"/>
      <c r="DC260" s="6"/>
      <c r="DD260" s="6">
        <f t="shared" si="88"/>
        <v>509522</v>
      </c>
      <c r="DE260" s="6">
        <f t="shared" si="57"/>
        <v>231336</v>
      </c>
      <c r="DF260" s="8">
        <f t="shared" si="89"/>
        <v>740858</v>
      </c>
      <c r="DK260" s="6">
        <f t="shared" si="59"/>
        <v>59803</v>
      </c>
      <c r="DL260" s="6">
        <f t="shared" si="60"/>
        <v>127555</v>
      </c>
      <c r="DM260" s="6">
        <f t="shared" si="68"/>
        <v>11016</v>
      </c>
      <c r="DN260" s="6">
        <f t="shared" si="69"/>
        <v>33525</v>
      </c>
      <c r="DO260" s="6">
        <f t="shared" si="83"/>
        <v>370099</v>
      </c>
      <c r="DP260" s="6">
        <f t="shared" si="64"/>
        <v>68269</v>
      </c>
      <c r="DQ260" s="6"/>
      <c r="DR260" s="6">
        <f t="shared" si="84"/>
        <v>16016</v>
      </c>
      <c r="DS260" s="6">
        <f t="shared" si="85"/>
        <v>3821</v>
      </c>
      <c r="DT260" s="6">
        <f t="shared" si="86"/>
        <v>12586</v>
      </c>
      <c r="DU260" s="6"/>
      <c r="DV260" s="6"/>
      <c r="DW260" s="6">
        <f t="shared" si="87"/>
        <v>702690</v>
      </c>
      <c r="DY260" s="6">
        <f t="shared" si="61"/>
        <v>478334</v>
      </c>
      <c r="DZ260" s="6">
        <f t="shared" si="62"/>
        <v>58045</v>
      </c>
      <c r="EB260" s="6">
        <f t="shared" si="63"/>
        <v>798903</v>
      </c>
      <c r="EC260" s="6"/>
      <c r="ED260" s="6"/>
      <c r="EF260" s="6">
        <f t="shared" si="90"/>
        <v>466970</v>
      </c>
      <c r="EG260" s="6">
        <f t="shared" si="76"/>
        <v>227142</v>
      </c>
      <c r="EH260" s="6">
        <f t="shared" si="91"/>
        <v>694112</v>
      </c>
      <c r="EI260" s="36">
        <f t="shared" si="78"/>
        <v>1.042732786470223E-2</v>
      </c>
      <c r="EJ260" s="36">
        <f t="shared" si="78"/>
        <v>1.5388482007822112E-3</v>
      </c>
      <c r="FE260" s="32"/>
      <c r="FF260" s="34"/>
      <c r="FG260" s="31"/>
    </row>
    <row r="261" spans="2:163">
      <c r="B261" s="9">
        <v>39904</v>
      </c>
      <c r="C261" s="10">
        <v>1</v>
      </c>
      <c r="D261" s="10">
        <v>0</v>
      </c>
      <c r="E261" s="10">
        <v>1231</v>
      </c>
      <c r="F261" s="10">
        <v>0</v>
      </c>
      <c r="G261" s="10">
        <v>1118</v>
      </c>
      <c r="H261" s="10">
        <v>15278</v>
      </c>
      <c r="I261" s="10">
        <v>28230</v>
      </c>
      <c r="J261" s="10">
        <v>4869</v>
      </c>
      <c r="K261" s="10">
        <v>9192</v>
      </c>
      <c r="L261" s="10"/>
      <c r="M261" s="10">
        <v>28518</v>
      </c>
      <c r="N261" s="10">
        <v>2034</v>
      </c>
      <c r="O261" s="10"/>
      <c r="P261" s="10">
        <v>1557</v>
      </c>
      <c r="Q261" s="10">
        <v>10238</v>
      </c>
      <c r="R261" s="10">
        <v>397</v>
      </c>
      <c r="S261" s="10">
        <v>8564</v>
      </c>
      <c r="T261" s="10">
        <v>11021</v>
      </c>
      <c r="U261" s="10"/>
      <c r="V261" s="10"/>
      <c r="W261" s="10">
        <v>481</v>
      </c>
      <c r="X261" s="10">
        <v>7996</v>
      </c>
      <c r="Y261" s="10">
        <v>347</v>
      </c>
      <c r="Z261" s="10">
        <v>8</v>
      </c>
      <c r="AA261" s="159"/>
      <c r="AB261" s="10">
        <v>6</v>
      </c>
      <c r="AC261" s="10">
        <v>110</v>
      </c>
      <c r="AD261" s="10">
        <v>21</v>
      </c>
      <c r="AE261" s="10">
        <v>30</v>
      </c>
      <c r="AF261" s="10">
        <v>37</v>
      </c>
      <c r="AG261" s="10">
        <v>70</v>
      </c>
      <c r="AH261" s="10"/>
      <c r="AI261" s="10"/>
      <c r="AJ261" s="10">
        <v>4</v>
      </c>
      <c r="AK261" s="10">
        <v>9278</v>
      </c>
      <c r="AL261" s="10">
        <v>100466</v>
      </c>
      <c r="AM261" s="10">
        <v>3059</v>
      </c>
      <c r="AN261" s="10">
        <v>17031</v>
      </c>
      <c r="AO261" s="10">
        <v>32</v>
      </c>
      <c r="AP261" s="10">
        <v>28</v>
      </c>
      <c r="AQ261" s="10">
        <v>5683</v>
      </c>
      <c r="AR261" s="10">
        <v>0</v>
      </c>
      <c r="AS261" s="10">
        <v>2071</v>
      </c>
      <c r="AT261" s="10">
        <v>22</v>
      </c>
      <c r="AU261" s="10">
        <v>5136</v>
      </c>
      <c r="AV261" s="10">
        <v>2257</v>
      </c>
      <c r="AW261" s="10">
        <v>4019</v>
      </c>
      <c r="AX261" s="10">
        <v>11783</v>
      </c>
      <c r="AY261" s="159"/>
      <c r="AZ261" s="159"/>
      <c r="BA261" s="159">
        <v>573</v>
      </c>
      <c r="BB261" s="159"/>
      <c r="BC261" s="10">
        <v>316</v>
      </c>
      <c r="BD261" s="10"/>
      <c r="BE261" s="10">
        <v>0</v>
      </c>
      <c r="BF261" s="10">
        <v>0</v>
      </c>
      <c r="BG261" s="10">
        <v>1066</v>
      </c>
      <c r="BH261" s="10">
        <v>0</v>
      </c>
      <c r="BI261" s="10">
        <v>0</v>
      </c>
      <c r="BJ261" s="10">
        <v>8229</v>
      </c>
      <c r="BK261" s="10">
        <v>31</v>
      </c>
      <c r="BL261" s="10">
        <v>3134</v>
      </c>
      <c r="BM261" s="10"/>
      <c r="BN261" s="10">
        <v>421</v>
      </c>
      <c r="BO261" s="10">
        <v>34</v>
      </c>
      <c r="BP261" s="10">
        <v>3774</v>
      </c>
      <c r="BQ261" s="10">
        <v>63352</v>
      </c>
      <c r="BR261" s="10">
        <v>488</v>
      </c>
      <c r="BS261" s="10">
        <v>178</v>
      </c>
      <c r="BT261" s="10">
        <v>5491</v>
      </c>
      <c r="BU261" s="10">
        <v>56</v>
      </c>
      <c r="BV261" s="10"/>
      <c r="BW261" s="10">
        <v>5</v>
      </c>
      <c r="BX261" s="10">
        <v>142</v>
      </c>
      <c r="BY261" s="10"/>
      <c r="BZ261" s="10">
        <v>2</v>
      </c>
      <c r="CA261" s="10">
        <v>0</v>
      </c>
      <c r="CB261" s="10">
        <v>21058</v>
      </c>
      <c r="CC261" s="10">
        <v>16328</v>
      </c>
      <c r="CD261" s="10">
        <v>131533</v>
      </c>
      <c r="CE261" s="10">
        <v>199399</v>
      </c>
      <c r="CF261" s="10">
        <v>24065</v>
      </c>
      <c r="CG261" s="10">
        <v>38781</v>
      </c>
      <c r="CH261" s="10">
        <v>0</v>
      </c>
      <c r="CI261" s="10">
        <v>4</v>
      </c>
      <c r="CJ261" s="10">
        <v>5</v>
      </c>
      <c r="CK261" s="10">
        <v>23</v>
      </c>
      <c r="CL261" s="10"/>
      <c r="CM261" s="10"/>
      <c r="CN261" s="10"/>
      <c r="CO261" s="10"/>
      <c r="CP261" s="10"/>
      <c r="CQ261" s="10"/>
      <c r="CR261" s="10"/>
      <c r="CS261" s="10"/>
      <c r="CT261" s="10">
        <v>0</v>
      </c>
      <c r="CU261" s="10">
        <v>0</v>
      </c>
      <c r="CV261" s="10">
        <v>0</v>
      </c>
      <c r="CW261" s="10">
        <v>22</v>
      </c>
      <c r="CX261" s="10">
        <v>0</v>
      </c>
      <c r="CY261" s="10">
        <v>58</v>
      </c>
      <c r="DA261" s="6"/>
      <c r="DC261" s="6"/>
      <c r="DD261" s="6">
        <f t="shared" si="88"/>
        <v>517599</v>
      </c>
      <c r="DE261" s="6">
        <f t="shared" si="57"/>
        <v>232620</v>
      </c>
      <c r="DF261" s="8">
        <f t="shared" si="89"/>
        <v>750219</v>
      </c>
      <c r="DK261" s="6">
        <f t="shared" si="59"/>
        <v>59785</v>
      </c>
      <c r="DL261" s="6">
        <f t="shared" si="60"/>
        <v>127792</v>
      </c>
      <c r="DM261" s="6">
        <f t="shared" si="68"/>
        <v>11021</v>
      </c>
      <c r="DN261" s="6">
        <f t="shared" si="69"/>
        <v>34595</v>
      </c>
      <c r="DO261" s="6">
        <f t="shared" si="83"/>
        <v>376877</v>
      </c>
      <c r="DP261" s="6">
        <f t="shared" si="64"/>
        <v>69264</v>
      </c>
      <c r="DQ261" s="6"/>
      <c r="DR261" s="6">
        <f t="shared" si="84"/>
        <v>16332</v>
      </c>
      <c r="DS261" s="6">
        <f t="shared" si="85"/>
        <v>3774</v>
      </c>
      <c r="DT261" s="6">
        <f t="shared" si="86"/>
        <v>12571</v>
      </c>
      <c r="DU261" s="6"/>
      <c r="DV261" s="6"/>
      <c r="DW261" s="6">
        <f t="shared" si="87"/>
        <v>712011</v>
      </c>
      <c r="DY261" s="6">
        <f t="shared" si="61"/>
        <v>485798</v>
      </c>
      <c r="DZ261" s="6">
        <f t="shared" si="62"/>
        <v>58687</v>
      </c>
      <c r="EB261" s="6">
        <f t="shared" si="63"/>
        <v>808906</v>
      </c>
      <c r="EC261" s="6"/>
      <c r="ED261" s="6"/>
      <c r="EF261" s="6">
        <f t="shared" si="90"/>
        <v>475044</v>
      </c>
      <c r="EG261" s="6">
        <f t="shared" si="76"/>
        <v>227510</v>
      </c>
      <c r="EH261" s="6">
        <f t="shared" si="91"/>
        <v>702554</v>
      </c>
      <c r="EI261" s="36">
        <f t="shared" si="78"/>
        <v>1.7290189947962397E-2</v>
      </c>
      <c r="EJ261" s="36">
        <f t="shared" si="78"/>
        <v>1.6201318998688046E-3</v>
      </c>
      <c r="FE261" s="32"/>
      <c r="FF261" s="34"/>
      <c r="FG261" s="31"/>
    </row>
    <row r="262" spans="2:163">
      <c r="B262" s="9">
        <v>39934</v>
      </c>
      <c r="C262" s="10">
        <v>0</v>
      </c>
      <c r="D262" s="10">
        <v>0</v>
      </c>
      <c r="E262" s="10">
        <v>829</v>
      </c>
      <c r="F262" s="10">
        <v>0</v>
      </c>
      <c r="G262" s="10">
        <v>1124</v>
      </c>
      <c r="H262" s="10">
        <v>14917</v>
      </c>
      <c r="I262" s="10">
        <v>27936</v>
      </c>
      <c r="J262" s="10">
        <v>4932</v>
      </c>
      <c r="K262" s="10">
        <v>9369</v>
      </c>
      <c r="L262" s="10"/>
      <c r="M262" s="10">
        <v>28490</v>
      </c>
      <c r="N262" s="10">
        <v>2047</v>
      </c>
      <c r="O262" s="10"/>
      <c r="P262" s="10">
        <v>1528</v>
      </c>
      <c r="Q262" s="10">
        <v>10428</v>
      </c>
      <c r="R262" s="10">
        <v>402</v>
      </c>
      <c r="S262" s="10">
        <v>8622</v>
      </c>
      <c r="T262" s="10">
        <v>11000</v>
      </c>
      <c r="U262" s="10"/>
      <c r="V262" s="10"/>
      <c r="W262" s="10">
        <v>475</v>
      </c>
      <c r="X262" s="10">
        <v>7963</v>
      </c>
      <c r="Y262" s="10">
        <v>344</v>
      </c>
      <c r="Z262" s="10">
        <v>7</v>
      </c>
      <c r="AA262" s="159"/>
      <c r="AB262" s="10">
        <v>6</v>
      </c>
      <c r="AC262" s="10">
        <v>117</v>
      </c>
      <c r="AD262" s="10">
        <v>22</v>
      </c>
      <c r="AE262" s="10">
        <v>28</v>
      </c>
      <c r="AF262" s="10">
        <v>36</v>
      </c>
      <c r="AG262" s="10">
        <v>70</v>
      </c>
      <c r="AH262" s="10"/>
      <c r="AI262" s="10"/>
      <c r="AJ262" s="10">
        <v>4</v>
      </c>
      <c r="AK262" s="10">
        <v>9268</v>
      </c>
      <c r="AL262" s="10">
        <v>100915</v>
      </c>
      <c r="AM262" s="10">
        <v>3040</v>
      </c>
      <c r="AN262" s="10">
        <v>17138</v>
      </c>
      <c r="AO262" s="10">
        <v>33</v>
      </c>
      <c r="AP262" s="10">
        <v>28</v>
      </c>
      <c r="AQ262" s="10">
        <v>6135</v>
      </c>
      <c r="AR262" s="10">
        <v>0</v>
      </c>
      <c r="AS262" s="10">
        <v>2146</v>
      </c>
      <c r="AT262" s="10">
        <v>26</v>
      </c>
      <c r="AU262" s="10">
        <v>5185</v>
      </c>
      <c r="AV262" s="10">
        <v>2284</v>
      </c>
      <c r="AW262" s="10">
        <v>4044</v>
      </c>
      <c r="AX262" s="10">
        <v>11887</v>
      </c>
      <c r="AY262" s="159"/>
      <c r="AZ262" s="159"/>
      <c r="BA262" s="159">
        <v>594</v>
      </c>
      <c r="BB262" s="159"/>
      <c r="BC262" s="10">
        <v>327</v>
      </c>
      <c r="BD262" s="10"/>
      <c r="BE262" s="10">
        <v>0</v>
      </c>
      <c r="BF262" s="10">
        <v>0</v>
      </c>
      <c r="BG262" s="10">
        <v>1091</v>
      </c>
      <c r="BH262" s="10">
        <v>0</v>
      </c>
      <c r="BI262" s="10">
        <v>0</v>
      </c>
      <c r="BJ262" s="10">
        <v>8246</v>
      </c>
      <c r="BK262" s="10">
        <v>28</v>
      </c>
      <c r="BL262" s="10">
        <v>3075</v>
      </c>
      <c r="BM262" s="10"/>
      <c r="BN262" s="10">
        <v>427</v>
      </c>
      <c r="BO262" s="10">
        <v>33</v>
      </c>
      <c r="BP262" s="10">
        <v>3758</v>
      </c>
      <c r="BQ262" s="10">
        <v>64599</v>
      </c>
      <c r="BR262" s="10">
        <v>464</v>
      </c>
      <c r="BS262" s="10">
        <v>177</v>
      </c>
      <c r="BT262" s="10">
        <v>5660</v>
      </c>
      <c r="BU262" s="10">
        <v>52</v>
      </c>
      <c r="BV262" s="10"/>
      <c r="BW262" s="10">
        <v>7</v>
      </c>
      <c r="BX262" s="10">
        <v>142</v>
      </c>
      <c r="BY262" s="10"/>
      <c r="BZ262" s="10">
        <v>3</v>
      </c>
      <c r="CA262" s="10">
        <v>0</v>
      </c>
      <c r="CB262" s="10">
        <v>20938</v>
      </c>
      <c r="CC262" s="10">
        <v>14034</v>
      </c>
      <c r="CD262" s="10">
        <v>134332</v>
      </c>
      <c r="CE262" s="10">
        <v>202899</v>
      </c>
      <c r="CF262" s="10">
        <v>24224</v>
      </c>
      <c r="CG262" s="10">
        <v>38787</v>
      </c>
      <c r="CH262" s="10">
        <v>0</v>
      </c>
      <c r="CI262" s="10">
        <v>0</v>
      </c>
      <c r="CJ262" s="10">
        <v>5</v>
      </c>
      <c r="CK262" s="10">
        <v>21</v>
      </c>
      <c r="CL262" s="10"/>
      <c r="CM262" s="10"/>
      <c r="CN262" s="10"/>
      <c r="CO262" s="10"/>
      <c r="CP262" s="10"/>
      <c r="CQ262" s="10"/>
      <c r="CR262" s="10"/>
      <c r="CS262" s="10"/>
      <c r="CT262" s="10">
        <v>0</v>
      </c>
      <c r="CU262" s="10">
        <v>0</v>
      </c>
      <c r="CV262" s="10">
        <v>0</v>
      </c>
      <c r="CW262" s="10">
        <v>22</v>
      </c>
      <c r="CX262" s="10">
        <v>0</v>
      </c>
      <c r="CY262" s="10">
        <v>58</v>
      </c>
      <c r="DA262" s="6"/>
      <c r="DC262" s="6"/>
      <c r="DD262" s="6">
        <f t="shared" si="88"/>
        <v>523002</v>
      </c>
      <c r="DE262" s="6">
        <f t="shared" si="57"/>
        <v>234045</v>
      </c>
      <c r="DF262" s="8">
        <f t="shared" si="89"/>
        <v>757047</v>
      </c>
      <c r="DK262" s="6">
        <f t="shared" si="59"/>
        <v>59955</v>
      </c>
      <c r="DL262" s="6">
        <f t="shared" si="60"/>
        <v>128426</v>
      </c>
      <c r="DM262" s="6">
        <f t="shared" si="68"/>
        <v>11000</v>
      </c>
      <c r="DN262" s="6">
        <f t="shared" si="69"/>
        <v>35258</v>
      </c>
      <c r="DO262" s="6">
        <f t="shared" si="83"/>
        <v>383183</v>
      </c>
      <c r="DP262" s="6">
        <f t="shared" si="64"/>
        <v>70686</v>
      </c>
      <c r="DQ262" s="6"/>
      <c r="DR262" s="6">
        <f t="shared" si="84"/>
        <v>14034</v>
      </c>
      <c r="DS262" s="6">
        <f t="shared" si="85"/>
        <v>3758</v>
      </c>
      <c r="DT262" s="6">
        <f t="shared" si="86"/>
        <v>12554</v>
      </c>
      <c r="DU262" s="6"/>
      <c r="DV262" s="6"/>
      <c r="DW262" s="6">
        <f t="shared" si="87"/>
        <v>718854</v>
      </c>
      <c r="DY262" s="6">
        <f t="shared" si="61"/>
        <v>491678</v>
      </c>
      <c r="DZ262" s="6">
        <f t="shared" si="62"/>
        <v>58278</v>
      </c>
      <c r="EB262" s="6">
        <f t="shared" si="63"/>
        <v>815325</v>
      </c>
      <c r="EC262" s="6"/>
      <c r="ED262" s="6"/>
      <c r="EF262" s="6">
        <f t="shared" si="90"/>
        <v>480457</v>
      </c>
      <c r="EG262" s="6">
        <f t="shared" si="76"/>
        <v>228504</v>
      </c>
      <c r="EH262" s="6">
        <f t="shared" si="91"/>
        <v>708961</v>
      </c>
      <c r="EI262" s="36">
        <f t="shared" si="78"/>
        <v>1.1394733961485673E-2</v>
      </c>
      <c r="EJ262" s="36">
        <f t="shared" si="78"/>
        <v>4.3690387235725903E-3</v>
      </c>
      <c r="FE262" s="32"/>
      <c r="FF262" s="34"/>
      <c r="FG262" s="31"/>
    </row>
    <row r="263" spans="2:163">
      <c r="B263" s="9">
        <v>39965</v>
      </c>
      <c r="C263" s="10">
        <v>0</v>
      </c>
      <c r="D263" s="10">
        <v>0</v>
      </c>
      <c r="E263" s="10">
        <v>0</v>
      </c>
      <c r="F263" s="10">
        <v>0</v>
      </c>
      <c r="G263" s="10">
        <v>1094</v>
      </c>
      <c r="H263" s="10">
        <v>14729</v>
      </c>
      <c r="I263" s="10">
        <v>27984</v>
      </c>
      <c r="J263" s="10">
        <v>4957</v>
      </c>
      <c r="K263" s="10">
        <v>9419</v>
      </c>
      <c r="L263" s="10"/>
      <c r="M263" s="10">
        <v>28454</v>
      </c>
      <c r="N263" s="10">
        <v>2040</v>
      </c>
      <c r="O263" s="10"/>
      <c r="P263" s="10">
        <v>1551</v>
      </c>
      <c r="Q263" s="10">
        <v>10514</v>
      </c>
      <c r="R263" s="10">
        <v>393</v>
      </c>
      <c r="S263" s="10">
        <v>8619</v>
      </c>
      <c r="T263" s="10">
        <v>10963</v>
      </c>
      <c r="U263" s="10"/>
      <c r="V263" s="10"/>
      <c r="W263" s="10">
        <v>485</v>
      </c>
      <c r="X263" s="10">
        <v>7914</v>
      </c>
      <c r="Y263" s="10">
        <v>346</v>
      </c>
      <c r="Z263" s="10">
        <v>7</v>
      </c>
      <c r="AA263" s="159"/>
      <c r="AB263" s="10">
        <v>7</v>
      </c>
      <c r="AC263" s="10">
        <v>114</v>
      </c>
      <c r="AD263" s="10">
        <v>22</v>
      </c>
      <c r="AE263" s="10">
        <v>26</v>
      </c>
      <c r="AF263" s="10">
        <v>39</v>
      </c>
      <c r="AG263" s="10">
        <v>71</v>
      </c>
      <c r="AH263" s="10"/>
      <c r="AI263" s="10"/>
      <c r="AJ263" s="10">
        <v>4</v>
      </c>
      <c r="AK263" s="10">
        <v>9300</v>
      </c>
      <c r="AL263" s="10">
        <v>101042</v>
      </c>
      <c r="AM263" s="10">
        <v>3059</v>
      </c>
      <c r="AN263" s="10">
        <v>17291</v>
      </c>
      <c r="AO263" s="10">
        <v>36</v>
      </c>
      <c r="AP263" s="10">
        <v>26</v>
      </c>
      <c r="AQ263" s="10">
        <v>6416</v>
      </c>
      <c r="AR263" s="10">
        <v>0</v>
      </c>
      <c r="AS263" s="10">
        <v>2244</v>
      </c>
      <c r="AT263" s="10">
        <v>27</v>
      </c>
      <c r="AU263" s="10">
        <v>5247</v>
      </c>
      <c r="AV263" s="10">
        <v>2298</v>
      </c>
      <c r="AW263" s="10">
        <v>4030</v>
      </c>
      <c r="AX263" s="10">
        <v>11957</v>
      </c>
      <c r="AY263" s="159"/>
      <c r="AZ263" s="159"/>
      <c r="BA263" s="159">
        <v>600</v>
      </c>
      <c r="BB263" s="159"/>
      <c r="BC263" s="10">
        <v>321</v>
      </c>
      <c r="BD263" s="10"/>
      <c r="BE263" s="10">
        <v>0</v>
      </c>
      <c r="BF263" s="10">
        <v>0</v>
      </c>
      <c r="BG263" s="10">
        <v>1095</v>
      </c>
      <c r="BH263" s="10">
        <v>0</v>
      </c>
      <c r="BI263" s="10">
        <v>0</v>
      </c>
      <c r="BJ263" s="10">
        <v>8212</v>
      </c>
      <c r="BK263" s="10">
        <v>28</v>
      </c>
      <c r="BL263" s="10">
        <v>3086</v>
      </c>
      <c r="BM263" s="10"/>
      <c r="BN263" s="10">
        <v>465</v>
      </c>
      <c r="BO263" s="10">
        <v>36</v>
      </c>
      <c r="BP263" s="10">
        <v>3798</v>
      </c>
      <c r="BQ263" s="10">
        <v>64798</v>
      </c>
      <c r="BR263" s="10">
        <v>443</v>
      </c>
      <c r="BS263" s="10">
        <v>176</v>
      </c>
      <c r="BT263" s="10">
        <v>5764</v>
      </c>
      <c r="BU263" s="10">
        <v>50</v>
      </c>
      <c r="BV263" s="10"/>
      <c r="BW263" s="10">
        <v>5</v>
      </c>
      <c r="BX263" s="10">
        <v>142</v>
      </c>
      <c r="BY263" s="10"/>
      <c r="BZ263" s="10">
        <v>6</v>
      </c>
      <c r="CA263" s="10">
        <v>0</v>
      </c>
      <c r="CB263" s="10">
        <v>20980</v>
      </c>
      <c r="CC263" s="10">
        <v>14154</v>
      </c>
      <c r="CD263" s="10">
        <v>135791</v>
      </c>
      <c r="CE263" s="10">
        <v>205647</v>
      </c>
      <c r="CF263" s="10">
        <v>24224</v>
      </c>
      <c r="CG263" s="10">
        <v>39119</v>
      </c>
      <c r="CH263" s="10">
        <v>0</v>
      </c>
      <c r="CI263" s="10">
        <v>0</v>
      </c>
      <c r="CJ263" s="10">
        <v>5</v>
      </c>
      <c r="CK263" s="10">
        <v>21</v>
      </c>
      <c r="CL263" s="10"/>
      <c r="CM263" s="10"/>
      <c r="CN263" s="10"/>
      <c r="CO263" s="10"/>
      <c r="CP263" s="10"/>
      <c r="CQ263" s="10"/>
      <c r="CR263" s="10"/>
      <c r="CS263" s="10"/>
      <c r="CT263" s="10">
        <v>0</v>
      </c>
      <c r="CU263" s="10">
        <v>0</v>
      </c>
      <c r="CV263" s="10">
        <v>0</v>
      </c>
      <c r="CW263" s="10">
        <v>22</v>
      </c>
      <c r="CX263" s="10">
        <v>0</v>
      </c>
      <c r="CY263" s="10">
        <v>55</v>
      </c>
      <c r="DA263" s="6"/>
      <c r="DC263" s="6"/>
      <c r="DD263" s="6">
        <f t="shared" ref="DD263:DD269" si="92">SUM(BE263:CK263)</f>
        <v>528045</v>
      </c>
      <c r="DE263" s="6">
        <f t="shared" si="57"/>
        <v>234863</v>
      </c>
      <c r="DF263" s="8">
        <f t="shared" si="89"/>
        <v>762908</v>
      </c>
      <c r="DK263" s="6">
        <f t="shared" si="59"/>
        <v>59970</v>
      </c>
      <c r="DL263" s="6">
        <f t="shared" si="60"/>
        <v>128769</v>
      </c>
      <c r="DM263" s="6">
        <f t="shared" si="68"/>
        <v>10963</v>
      </c>
      <c r="DN263" s="6">
        <f t="shared" si="69"/>
        <v>35761</v>
      </c>
      <c r="DO263" s="6">
        <f t="shared" ref="DO263:DO269" si="93">SUM(BF263,BI263,BK263,BO263,BR263:BS263,BU263:BW263,BZ263:CB263,CD263:CF263,CJ263:CK263)</f>
        <v>387412</v>
      </c>
      <c r="DP263" s="6">
        <f t="shared" si="64"/>
        <v>71027</v>
      </c>
      <c r="DQ263" s="6"/>
      <c r="DR263" s="6">
        <f t="shared" ref="DR263:DR269" si="94">CC263+CI263</f>
        <v>14154</v>
      </c>
      <c r="DS263" s="6">
        <f t="shared" ref="DS263:DS269" si="95">BP263</f>
        <v>3798</v>
      </c>
      <c r="DT263" s="6">
        <f t="shared" ref="DT263:DT269" si="96">BG263+BJ263+BL263+BX263</f>
        <v>12535</v>
      </c>
      <c r="DU263" s="6"/>
      <c r="DV263" s="6"/>
      <c r="DW263" s="6">
        <f t="shared" ref="DW263:DW269" si="97">SUM(DK263:DT263)</f>
        <v>724389</v>
      </c>
      <c r="DY263" s="6">
        <f t="shared" si="61"/>
        <v>496155</v>
      </c>
      <c r="DZ263" s="6">
        <f t="shared" si="62"/>
        <v>58183</v>
      </c>
      <c r="EB263" s="6">
        <f t="shared" si="63"/>
        <v>821091</v>
      </c>
      <c r="EC263" s="6"/>
      <c r="ED263" s="6"/>
      <c r="EF263" s="6">
        <f t="shared" si="90"/>
        <v>485128</v>
      </c>
      <c r="EG263" s="6">
        <f t="shared" si="76"/>
        <v>229047</v>
      </c>
      <c r="EH263" s="6">
        <f t="shared" si="91"/>
        <v>714175</v>
      </c>
      <c r="EI263" s="36">
        <f t="shared" si="78"/>
        <v>9.7219938516870403E-3</v>
      </c>
      <c r="EJ263" s="36">
        <f t="shared" si="78"/>
        <v>2.3763260161747714E-3</v>
      </c>
      <c r="EM263" s="104">
        <f>AVERAGE(EI252:EI263)</f>
        <v>8.7992631180364694E-3</v>
      </c>
      <c r="EN263" s="104">
        <f>AVERAGE(EJ252:EJ263)</f>
        <v>2.1631345044495248E-3</v>
      </c>
      <c r="FE263" s="32"/>
      <c r="FF263" s="34"/>
      <c r="FG263" s="31"/>
    </row>
    <row r="264" spans="2:163">
      <c r="B264" s="9">
        <v>39995</v>
      </c>
      <c r="C264" s="10">
        <v>0</v>
      </c>
      <c r="D264" s="10">
        <v>0</v>
      </c>
      <c r="E264" s="10">
        <v>0</v>
      </c>
      <c r="F264" s="10">
        <v>0</v>
      </c>
      <c r="G264" s="10">
        <v>1130</v>
      </c>
      <c r="H264" s="10">
        <v>14657</v>
      </c>
      <c r="I264" s="10">
        <v>28060</v>
      </c>
      <c r="J264" s="10">
        <v>4889</v>
      </c>
      <c r="K264" s="10">
        <v>9347</v>
      </c>
      <c r="L264" s="10"/>
      <c r="M264" s="10">
        <v>28339</v>
      </c>
      <c r="N264" s="10">
        <v>2037</v>
      </c>
      <c r="O264" s="10"/>
      <c r="P264" s="10">
        <v>1535</v>
      </c>
      <c r="Q264" s="10">
        <v>10575</v>
      </c>
      <c r="R264" s="10">
        <v>388</v>
      </c>
      <c r="S264" s="10">
        <v>8640</v>
      </c>
      <c r="T264" s="10">
        <v>10994</v>
      </c>
      <c r="U264" s="10"/>
      <c r="V264" s="10"/>
      <c r="W264" s="10">
        <v>478</v>
      </c>
      <c r="X264" s="10">
        <v>7875</v>
      </c>
      <c r="Y264" s="10">
        <v>344</v>
      </c>
      <c r="Z264" s="10">
        <v>7</v>
      </c>
      <c r="AA264" s="159"/>
      <c r="AB264" s="10">
        <v>8</v>
      </c>
      <c r="AC264" s="10">
        <v>115</v>
      </c>
      <c r="AD264" s="10">
        <v>21</v>
      </c>
      <c r="AE264" s="10">
        <v>29</v>
      </c>
      <c r="AF264" s="10">
        <v>38</v>
      </c>
      <c r="AG264" s="10">
        <v>73</v>
      </c>
      <c r="AH264" s="10"/>
      <c r="AI264" s="10"/>
      <c r="AJ264" s="10">
        <v>3</v>
      </c>
      <c r="AK264" s="10">
        <v>9275</v>
      </c>
      <c r="AL264" s="10">
        <v>101222</v>
      </c>
      <c r="AM264" s="10">
        <v>3051</v>
      </c>
      <c r="AN264" s="10">
        <v>17392</v>
      </c>
      <c r="AO264" s="10">
        <v>34</v>
      </c>
      <c r="AP264" s="10">
        <v>12</v>
      </c>
      <c r="AQ264" s="10">
        <v>6723</v>
      </c>
      <c r="AR264" s="10">
        <v>0</v>
      </c>
      <c r="AS264" s="10">
        <v>2289</v>
      </c>
      <c r="AT264" s="10">
        <v>28</v>
      </c>
      <c r="AU264" s="10">
        <v>5311</v>
      </c>
      <c r="AV264" s="10">
        <v>2310</v>
      </c>
      <c r="AW264" s="10">
        <v>4051</v>
      </c>
      <c r="AX264" s="10">
        <v>12080</v>
      </c>
      <c r="AY264" s="159"/>
      <c r="AZ264" s="159"/>
      <c r="BA264" s="159">
        <v>606</v>
      </c>
      <c r="BB264" s="159"/>
      <c r="BC264" s="10">
        <v>331</v>
      </c>
      <c r="BD264" s="10"/>
      <c r="BE264" s="10">
        <v>0</v>
      </c>
      <c r="BF264" s="10">
        <v>0</v>
      </c>
      <c r="BG264" s="10">
        <v>1092</v>
      </c>
      <c r="BH264" s="10">
        <v>0</v>
      </c>
      <c r="BI264" s="10">
        <v>0</v>
      </c>
      <c r="BJ264" s="10">
        <v>8216</v>
      </c>
      <c r="BK264" s="10">
        <v>30</v>
      </c>
      <c r="BL264" s="10">
        <v>3077</v>
      </c>
      <c r="BM264" s="10"/>
      <c r="BN264" s="10">
        <v>486</v>
      </c>
      <c r="BO264" s="10">
        <v>37</v>
      </c>
      <c r="BP264" s="10">
        <v>3949</v>
      </c>
      <c r="BQ264" s="10">
        <v>65643</v>
      </c>
      <c r="BR264" s="10">
        <v>475</v>
      </c>
      <c r="BS264" s="10">
        <v>168</v>
      </c>
      <c r="BT264" s="10">
        <v>5842</v>
      </c>
      <c r="BU264" s="10">
        <v>56</v>
      </c>
      <c r="BV264" s="10"/>
      <c r="BW264" s="10">
        <v>7</v>
      </c>
      <c r="BX264" s="10">
        <v>140</v>
      </c>
      <c r="BY264" s="10"/>
      <c r="BZ264" s="10">
        <v>6</v>
      </c>
      <c r="CA264" s="10">
        <v>0</v>
      </c>
      <c r="CB264" s="10">
        <v>21199</v>
      </c>
      <c r="CC264" s="10">
        <v>14470</v>
      </c>
      <c r="CD264" s="10">
        <v>137449</v>
      </c>
      <c r="CE264" s="10">
        <v>208425</v>
      </c>
      <c r="CF264" s="10">
        <v>24486</v>
      </c>
      <c r="CG264" s="10">
        <v>39566</v>
      </c>
      <c r="CH264" s="10">
        <v>0</v>
      </c>
      <c r="CI264" s="10">
        <v>1</v>
      </c>
      <c r="CJ264" s="10">
        <v>5</v>
      </c>
      <c r="CK264" s="10">
        <v>23</v>
      </c>
      <c r="CL264" s="10"/>
      <c r="CM264" s="10"/>
      <c r="CN264" s="10"/>
      <c r="CO264" s="10"/>
      <c r="CP264" s="10"/>
      <c r="CQ264" s="10"/>
      <c r="CR264" s="10"/>
      <c r="CS264" s="10"/>
      <c r="CT264" s="10">
        <v>0</v>
      </c>
      <c r="CU264" s="10">
        <v>0</v>
      </c>
      <c r="CV264" s="10">
        <v>0</v>
      </c>
      <c r="CW264" s="10">
        <v>22</v>
      </c>
      <c r="CX264" s="10">
        <v>0</v>
      </c>
      <c r="CY264" s="10">
        <v>55</v>
      </c>
      <c r="DA264" s="6"/>
      <c r="DC264" s="6"/>
      <c r="DD264" s="6">
        <f t="shared" si="92"/>
        <v>534848</v>
      </c>
      <c r="DE264" s="6">
        <f t="shared" si="57"/>
        <v>235608</v>
      </c>
      <c r="DF264" s="8">
        <f t="shared" si="89"/>
        <v>770456</v>
      </c>
      <c r="DK264" s="6">
        <f t="shared" si="59"/>
        <v>59867</v>
      </c>
      <c r="DL264" s="6">
        <f t="shared" si="60"/>
        <v>129073</v>
      </c>
      <c r="DM264" s="6">
        <f t="shared" si="68"/>
        <v>10994</v>
      </c>
      <c r="DN264" s="6">
        <f t="shared" si="69"/>
        <v>36280</v>
      </c>
      <c r="DO264" s="6">
        <f t="shared" si="93"/>
        <v>392366</v>
      </c>
      <c r="DP264" s="6">
        <f t="shared" si="64"/>
        <v>71971</v>
      </c>
      <c r="DQ264" s="6"/>
      <c r="DR264" s="6">
        <f t="shared" si="94"/>
        <v>14471</v>
      </c>
      <c r="DS264" s="6">
        <f t="shared" si="95"/>
        <v>3949</v>
      </c>
      <c r="DT264" s="6">
        <f t="shared" si="96"/>
        <v>12525</v>
      </c>
      <c r="DU264" s="6"/>
      <c r="DV264" s="6"/>
      <c r="DW264" s="6">
        <f t="shared" si="97"/>
        <v>731496</v>
      </c>
      <c r="DY264" s="6">
        <f t="shared" si="61"/>
        <v>501410</v>
      </c>
      <c r="DZ264" s="6">
        <f t="shared" si="62"/>
        <v>58083</v>
      </c>
      <c r="EB264" s="6">
        <f t="shared" si="63"/>
        <v>828539</v>
      </c>
      <c r="EC264" s="6"/>
      <c r="ED264" s="6"/>
      <c r="EF264" s="6">
        <f t="shared" si="90"/>
        <v>491333</v>
      </c>
      <c r="EG264" s="6">
        <f t="shared" si="76"/>
        <v>229491</v>
      </c>
      <c r="EH264" s="6">
        <f t="shared" si="91"/>
        <v>720824</v>
      </c>
      <c r="EI264" s="36">
        <f>(EF264-EF263)/EF263</f>
        <v>1.2790438812024867E-2</v>
      </c>
      <c r="EJ264" s="36">
        <f>(EG264-EG263)/EG263</f>
        <v>1.9384667775609373E-3</v>
      </c>
      <c r="EM264" s="36"/>
      <c r="EN264" s="36"/>
      <c r="FE264" s="32"/>
      <c r="FF264" s="34"/>
      <c r="FG264" s="31"/>
    </row>
    <row r="265" spans="2:163">
      <c r="B265" s="9">
        <v>40026</v>
      </c>
      <c r="C265" s="10">
        <v>0</v>
      </c>
      <c r="D265" s="10">
        <v>0</v>
      </c>
      <c r="E265" s="10">
        <v>0</v>
      </c>
      <c r="F265" s="10">
        <v>0</v>
      </c>
      <c r="G265" s="10">
        <v>1149</v>
      </c>
      <c r="H265" s="10">
        <v>14515</v>
      </c>
      <c r="I265" s="10">
        <v>27860</v>
      </c>
      <c r="J265" s="10">
        <v>4856</v>
      </c>
      <c r="K265" s="10">
        <v>9302</v>
      </c>
      <c r="L265" s="10"/>
      <c r="M265" s="10">
        <v>28259</v>
      </c>
      <c r="N265" s="10">
        <v>2045</v>
      </c>
      <c r="O265" s="10"/>
      <c r="P265" s="10">
        <v>1521</v>
      </c>
      <c r="Q265" s="10">
        <v>10600</v>
      </c>
      <c r="R265" s="10">
        <v>390</v>
      </c>
      <c r="S265" s="10">
        <v>8617</v>
      </c>
      <c r="T265" s="10">
        <v>11004</v>
      </c>
      <c r="U265" s="10"/>
      <c r="V265" s="10"/>
      <c r="W265" s="10">
        <v>473</v>
      </c>
      <c r="X265" s="10">
        <v>7837</v>
      </c>
      <c r="Y265" s="10">
        <v>340</v>
      </c>
      <c r="Z265" s="10">
        <v>7</v>
      </c>
      <c r="AA265" s="159"/>
      <c r="AB265" s="10">
        <v>7</v>
      </c>
      <c r="AC265" s="10">
        <v>118</v>
      </c>
      <c r="AD265" s="10">
        <v>21</v>
      </c>
      <c r="AE265" s="10">
        <v>28</v>
      </c>
      <c r="AF265" s="10">
        <v>38</v>
      </c>
      <c r="AG265" s="10">
        <v>82</v>
      </c>
      <c r="AH265" s="10"/>
      <c r="AI265" s="10"/>
      <c r="AJ265" s="10">
        <v>3</v>
      </c>
      <c r="AK265" s="10">
        <v>9310</v>
      </c>
      <c r="AL265" s="10">
        <v>101247</v>
      </c>
      <c r="AM265" s="10">
        <v>3085</v>
      </c>
      <c r="AN265" s="10">
        <v>17435</v>
      </c>
      <c r="AO265" s="10">
        <v>37</v>
      </c>
      <c r="AP265" s="10">
        <v>6</v>
      </c>
      <c r="AQ265" s="10">
        <v>7041</v>
      </c>
      <c r="AR265" s="10">
        <v>0</v>
      </c>
      <c r="AS265" s="10">
        <v>2327</v>
      </c>
      <c r="AT265" s="10">
        <v>27</v>
      </c>
      <c r="AU265" s="10">
        <v>5362</v>
      </c>
      <c r="AV265" s="10">
        <v>2315</v>
      </c>
      <c r="AW265" s="10">
        <v>4068</v>
      </c>
      <c r="AX265" s="10">
        <v>12164</v>
      </c>
      <c r="AY265" s="159"/>
      <c r="AZ265" s="159"/>
      <c r="BA265" s="159">
        <v>611</v>
      </c>
      <c r="BB265" s="159"/>
      <c r="BC265" s="10">
        <v>334</v>
      </c>
      <c r="BD265" s="10"/>
      <c r="BE265" s="10">
        <v>0</v>
      </c>
      <c r="BF265" s="10">
        <v>0</v>
      </c>
      <c r="BG265" s="10">
        <v>1098</v>
      </c>
      <c r="BH265" s="10">
        <v>0</v>
      </c>
      <c r="BI265" s="10">
        <v>0</v>
      </c>
      <c r="BJ265" s="10">
        <v>8118</v>
      </c>
      <c r="BK265" s="10">
        <v>35</v>
      </c>
      <c r="BL265" s="10">
        <v>3050</v>
      </c>
      <c r="BM265" s="10"/>
      <c r="BN265" s="10">
        <v>515</v>
      </c>
      <c r="BO265" s="10">
        <v>39</v>
      </c>
      <c r="BP265" s="10">
        <v>4055</v>
      </c>
      <c r="BQ265" s="10">
        <v>66735</v>
      </c>
      <c r="BR265" s="10">
        <v>484</v>
      </c>
      <c r="BS265" s="10">
        <v>168</v>
      </c>
      <c r="BT265" s="10">
        <v>6051</v>
      </c>
      <c r="BU265" s="10">
        <v>48</v>
      </c>
      <c r="BV265" s="10"/>
      <c r="BW265" s="10">
        <v>8</v>
      </c>
      <c r="BX265" s="10">
        <v>135</v>
      </c>
      <c r="BY265" s="10"/>
      <c r="BZ265" s="10">
        <v>5</v>
      </c>
      <c r="CA265" s="10">
        <v>0</v>
      </c>
      <c r="CB265" s="10">
        <v>21626</v>
      </c>
      <c r="CC265" s="10">
        <v>14764</v>
      </c>
      <c r="CD265" s="10">
        <v>139382</v>
      </c>
      <c r="CE265" s="10">
        <v>210761</v>
      </c>
      <c r="CF265" s="10">
        <v>24644</v>
      </c>
      <c r="CG265" s="10">
        <v>40269</v>
      </c>
      <c r="CH265" s="10">
        <v>0</v>
      </c>
      <c r="CI265" s="10">
        <v>0</v>
      </c>
      <c r="CJ265" s="10">
        <v>6</v>
      </c>
      <c r="CK265" s="10">
        <v>25</v>
      </c>
      <c r="CL265" s="10"/>
      <c r="CM265" s="10"/>
      <c r="CN265" s="10"/>
      <c r="CO265" s="10"/>
      <c r="CP265" s="10"/>
      <c r="CQ265" s="10"/>
      <c r="CR265" s="10"/>
      <c r="CS265" s="10"/>
      <c r="CT265" s="10">
        <v>0</v>
      </c>
      <c r="CU265" s="10">
        <v>0</v>
      </c>
      <c r="CV265" s="10">
        <v>0</v>
      </c>
      <c r="CW265" s="10">
        <v>22</v>
      </c>
      <c r="CX265" s="10">
        <v>0</v>
      </c>
      <c r="CY265" s="10">
        <v>55</v>
      </c>
      <c r="DA265" s="6"/>
      <c r="DC265" s="6"/>
      <c r="DD265" s="6">
        <f t="shared" si="92"/>
        <v>542021</v>
      </c>
      <c r="DE265" s="6">
        <f t="shared" si="57"/>
        <v>236148</v>
      </c>
      <c r="DF265" s="8">
        <f t="shared" ref="DF265:DF270" si="98">SUM(DD265:DE265)</f>
        <v>778169</v>
      </c>
      <c r="DK265" s="6">
        <f t="shared" si="59"/>
        <v>59742</v>
      </c>
      <c r="DL265" s="6">
        <f t="shared" si="60"/>
        <v>129285</v>
      </c>
      <c r="DM265" s="6">
        <f t="shared" si="68"/>
        <v>11004</v>
      </c>
      <c r="DN265" s="6">
        <f t="shared" si="69"/>
        <v>36728</v>
      </c>
      <c r="DO265" s="6">
        <f t="shared" si="93"/>
        <v>397231</v>
      </c>
      <c r="DP265" s="6">
        <f t="shared" si="64"/>
        <v>73301</v>
      </c>
      <c r="DQ265" s="6"/>
      <c r="DR265" s="6">
        <f t="shared" si="94"/>
        <v>14764</v>
      </c>
      <c r="DS265" s="6">
        <f t="shared" si="95"/>
        <v>4055</v>
      </c>
      <c r="DT265" s="6">
        <f t="shared" si="96"/>
        <v>12401</v>
      </c>
      <c r="DU265" s="6"/>
      <c r="DV265" s="6"/>
      <c r="DW265" s="6">
        <f t="shared" si="97"/>
        <v>738511</v>
      </c>
      <c r="DY265" s="6">
        <f t="shared" si="61"/>
        <v>506434</v>
      </c>
      <c r="DZ265" s="6">
        <f t="shared" si="62"/>
        <v>57682</v>
      </c>
      <c r="EB265" s="6">
        <f t="shared" si="63"/>
        <v>835851</v>
      </c>
      <c r="EC265" s="6"/>
      <c r="ED265" s="6"/>
      <c r="EF265" s="6">
        <f t="shared" ref="EF265:EF270" si="99">SUM(BE265:CK265)-CG265-BP265</f>
        <v>497697</v>
      </c>
      <c r="EG265" s="6">
        <f t="shared" si="76"/>
        <v>229718</v>
      </c>
      <c r="EH265" s="6">
        <f t="shared" ref="EH265:EH270" si="100">SUM(EF265:EG265)</f>
        <v>727415</v>
      </c>
      <c r="EI265" s="36">
        <f t="shared" ref="EI265:EJ279" si="101">(EF265-EF264)/EF264</f>
        <v>1.2952518963717071E-2</v>
      </c>
      <c r="EJ265" s="36">
        <f t="shared" si="101"/>
        <v>9.8914554383396297E-4</v>
      </c>
      <c r="EM265" s="36"/>
      <c r="EN265" s="36"/>
      <c r="FE265" s="32"/>
      <c r="FF265" s="34"/>
      <c r="FG265" s="31"/>
    </row>
    <row r="266" spans="2:163">
      <c r="B266" s="9">
        <v>40057</v>
      </c>
      <c r="C266" s="10">
        <v>0</v>
      </c>
      <c r="D266" s="10">
        <v>0</v>
      </c>
      <c r="E266" s="10">
        <v>0</v>
      </c>
      <c r="F266" s="10">
        <v>0</v>
      </c>
      <c r="G266" s="10">
        <v>1157</v>
      </c>
      <c r="H266" s="10">
        <v>14367</v>
      </c>
      <c r="I266" s="10">
        <v>27677</v>
      </c>
      <c r="J266" s="10">
        <v>4939</v>
      </c>
      <c r="K266" s="10">
        <v>9308</v>
      </c>
      <c r="L266" s="10"/>
      <c r="M266" s="10">
        <v>28173</v>
      </c>
      <c r="N266" s="10">
        <v>2021</v>
      </c>
      <c r="O266" s="10"/>
      <c r="P266" s="10">
        <v>1517</v>
      </c>
      <c r="Q266" s="10">
        <v>10711</v>
      </c>
      <c r="R266" s="10">
        <v>395</v>
      </c>
      <c r="S266" s="10">
        <v>8653</v>
      </c>
      <c r="T266" s="10">
        <v>10905</v>
      </c>
      <c r="U266" s="10"/>
      <c r="V266" s="10"/>
      <c r="W266" s="10">
        <v>479</v>
      </c>
      <c r="X266" s="10">
        <v>7801</v>
      </c>
      <c r="Y266" s="10">
        <v>344</v>
      </c>
      <c r="Z266" s="10">
        <v>7</v>
      </c>
      <c r="AA266" s="159"/>
      <c r="AB266" s="10">
        <v>7</v>
      </c>
      <c r="AC266" s="10">
        <v>117</v>
      </c>
      <c r="AD266" s="10">
        <v>22</v>
      </c>
      <c r="AE266" s="10">
        <v>27</v>
      </c>
      <c r="AF266" s="10">
        <v>37</v>
      </c>
      <c r="AG266" s="10">
        <v>81</v>
      </c>
      <c r="AH266" s="10"/>
      <c r="AI266" s="10"/>
      <c r="AJ266" s="10">
        <v>4</v>
      </c>
      <c r="AK266" s="10">
        <v>9338</v>
      </c>
      <c r="AL266" s="10">
        <v>101607</v>
      </c>
      <c r="AM266" s="10">
        <v>3061</v>
      </c>
      <c r="AN266" s="10">
        <v>17355</v>
      </c>
      <c r="AO266" s="10">
        <v>32</v>
      </c>
      <c r="AP266" s="10">
        <v>7</v>
      </c>
      <c r="AQ266" s="10">
        <v>7176</v>
      </c>
      <c r="AR266" s="10">
        <v>0</v>
      </c>
      <c r="AS266" s="10">
        <v>2343</v>
      </c>
      <c r="AT266" s="10">
        <v>24</v>
      </c>
      <c r="AU266" s="10">
        <v>5390</v>
      </c>
      <c r="AV266" s="10">
        <v>2316</v>
      </c>
      <c r="AW266" s="10">
        <v>4113</v>
      </c>
      <c r="AX266" s="10">
        <v>12177</v>
      </c>
      <c r="AY266" s="159"/>
      <c r="AZ266" s="159"/>
      <c r="BA266" s="159">
        <v>625</v>
      </c>
      <c r="BB266" s="159"/>
      <c r="BC266" s="10">
        <v>331</v>
      </c>
      <c r="BD266" s="10"/>
      <c r="BE266" s="10">
        <v>0</v>
      </c>
      <c r="BF266" s="10">
        <v>0</v>
      </c>
      <c r="BG266" s="10">
        <v>1101</v>
      </c>
      <c r="BH266" s="10">
        <v>0</v>
      </c>
      <c r="BI266" s="10">
        <v>0</v>
      </c>
      <c r="BJ266" s="10">
        <v>8087</v>
      </c>
      <c r="BK266" s="10">
        <v>32</v>
      </c>
      <c r="BL266" s="10">
        <v>3038</v>
      </c>
      <c r="BM266" s="10"/>
      <c r="BN266" s="10">
        <v>497</v>
      </c>
      <c r="BO266" s="10">
        <v>39</v>
      </c>
      <c r="BP266" s="10">
        <v>4145</v>
      </c>
      <c r="BQ266" s="10">
        <v>67581</v>
      </c>
      <c r="BR266" s="10">
        <v>501</v>
      </c>
      <c r="BS266" s="10">
        <v>167</v>
      </c>
      <c r="BT266" s="10">
        <v>6250</v>
      </c>
      <c r="BU266" s="10">
        <v>60</v>
      </c>
      <c r="BV266" s="10"/>
      <c r="BW266" s="10">
        <v>7</v>
      </c>
      <c r="BX266" s="10">
        <v>132</v>
      </c>
      <c r="BY266" s="10"/>
      <c r="BZ266" s="10">
        <v>3</v>
      </c>
      <c r="CA266" s="10">
        <v>0</v>
      </c>
      <c r="CB266" s="10">
        <v>21747</v>
      </c>
      <c r="CC266" s="10">
        <v>14779</v>
      </c>
      <c r="CD266" s="10">
        <v>140018</v>
      </c>
      <c r="CE266" s="10">
        <v>212344</v>
      </c>
      <c r="CF266" s="10">
        <v>24500</v>
      </c>
      <c r="CG266" s="10">
        <v>40829</v>
      </c>
      <c r="CH266" s="10">
        <v>0</v>
      </c>
      <c r="CI266" s="10">
        <v>0</v>
      </c>
      <c r="CJ266" s="10">
        <v>6</v>
      </c>
      <c r="CK266" s="10">
        <v>27</v>
      </c>
      <c r="CL266" s="10"/>
      <c r="CM266" s="10"/>
      <c r="CN266" s="10"/>
      <c r="CO266" s="10"/>
      <c r="CP266" s="10"/>
      <c r="CQ266" s="10"/>
      <c r="CR266" s="10"/>
      <c r="CS266" s="10"/>
      <c r="CT266" s="10">
        <v>0</v>
      </c>
      <c r="CU266" s="10">
        <v>0</v>
      </c>
      <c r="CV266" s="10">
        <v>0</v>
      </c>
      <c r="CW266" s="10">
        <v>22</v>
      </c>
      <c r="CX266" s="10">
        <v>0</v>
      </c>
      <c r="CY266" s="10">
        <v>55</v>
      </c>
      <c r="DA266" s="6"/>
      <c r="DC266" s="6"/>
      <c r="DD266" s="6">
        <f t="shared" si="92"/>
        <v>545890</v>
      </c>
      <c r="DE266" s="6">
        <f t="shared" si="57"/>
        <v>236571</v>
      </c>
      <c r="DF266" s="8">
        <f t="shared" si="98"/>
        <v>782461</v>
      </c>
      <c r="DK266" s="6">
        <f t="shared" si="59"/>
        <v>59750</v>
      </c>
      <c r="DL266" s="6">
        <f t="shared" si="60"/>
        <v>129745</v>
      </c>
      <c r="DM266" s="6">
        <f t="shared" si="68"/>
        <v>10905</v>
      </c>
      <c r="DN266" s="6">
        <f t="shared" si="69"/>
        <v>36796</v>
      </c>
      <c r="DO266" s="6">
        <f t="shared" si="93"/>
        <v>399451</v>
      </c>
      <c r="DP266" s="6">
        <f t="shared" si="64"/>
        <v>74328</v>
      </c>
      <c r="DQ266" s="6"/>
      <c r="DR266" s="6">
        <f t="shared" si="94"/>
        <v>14779</v>
      </c>
      <c r="DS266" s="6">
        <f t="shared" si="95"/>
        <v>4145</v>
      </c>
      <c r="DT266" s="6">
        <f t="shared" si="96"/>
        <v>12358</v>
      </c>
      <c r="DU266" s="6"/>
      <c r="DV266" s="6"/>
      <c r="DW266" s="6">
        <f t="shared" si="97"/>
        <v>742257</v>
      </c>
      <c r="DY266" s="6">
        <f t="shared" si="61"/>
        <v>508929</v>
      </c>
      <c r="DZ266" s="6">
        <f t="shared" si="62"/>
        <v>57448</v>
      </c>
      <c r="EB266" s="6">
        <f t="shared" si="63"/>
        <v>839909</v>
      </c>
      <c r="EC266" s="6"/>
      <c r="ED266" s="6"/>
      <c r="EF266" s="6">
        <f t="shared" si="99"/>
        <v>500916</v>
      </c>
      <c r="EG266" s="6">
        <f t="shared" si="76"/>
        <v>230020</v>
      </c>
      <c r="EH266" s="6">
        <f t="shared" si="100"/>
        <v>730936</v>
      </c>
      <c r="EI266" s="36">
        <f t="shared" si="101"/>
        <v>6.4677906437049047E-3</v>
      </c>
      <c r="EJ266" s="36">
        <f t="shared" si="101"/>
        <v>1.3146553600501484E-3</v>
      </c>
      <c r="EM266" s="36"/>
      <c r="EN266" s="36"/>
      <c r="FE266" s="32"/>
      <c r="FF266" s="34"/>
      <c r="FG266" s="31"/>
    </row>
    <row r="267" spans="2:163">
      <c r="B267" s="9">
        <v>40087</v>
      </c>
      <c r="C267" s="10">
        <v>0</v>
      </c>
      <c r="D267" s="10">
        <v>0</v>
      </c>
      <c r="E267" s="10">
        <v>0</v>
      </c>
      <c r="F267" s="10">
        <v>0</v>
      </c>
      <c r="G267" s="10">
        <v>1195</v>
      </c>
      <c r="H267" s="10">
        <v>14199</v>
      </c>
      <c r="I267" s="10">
        <v>27791</v>
      </c>
      <c r="J267" s="10">
        <v>4966</v>
      </c>
      <c r="K267" s="10">
        <v>9315</v>
      </c>
      <c r="L267" s="10"/>
      <c r="M267" s="10">
        <v>28129</v>
      </c>
      <c r="N267" s="10">
        <v>2011</v>
      </c>
      <c r="O267" s="10"/>
      <c r="P267" s="10">
        <v>1551</v>
      </c>
      <c r="Q267" s="10">
        <v>10854</v>
      </c>
      <c r="R267" s="10">
        <v>391</v>
      </c>
      <c r="S267" s="10">
        <v>8705</v>
      </c>
      <c r="T267" s="10">
        <v>11048</v>
      </c>
      <c r="U267" s="10"/>
      <c r="V267" s="10"/>
      <c r="W267" s="10">
        <v>484</v>
      </c>
      <c r="X267" s="10">
        <v>7795</v>
      </c>
      <c r="Y267" s="10">
        <v>342</v>
      </c>
      <c r="Z267" s="10">
        <v>7</v>
      </c>
      <c r="AA267" s="159"/>
      <c r="AB267" s="10">
        <v>6</v>
      </c>
      <c r="AC267" s="10">
        <v>118</v>
      </c>
      <c r="AD267" s="10">
        <v>22</v>
      </c>
      <c r="AE267" s="10">
        <v>26</v>
      </c>
      <c r="AF267" s="10">
        <v>36</v>
      </c>
      <c r="AG267" s="10">
        <v>83</v>
      </c>
      <c r="AH267" s="10"/>
      <c r="AI267" s="10"/>
      <c r="AJ267" s="10">
        <v>4</v>
      </c>
      <c r="AK267" s="10">
        <v>9372</v>
      </c>
      <c r="AL267" s="10">
        <v>102183</v>
      </c>
      <c r="AM267" s="10">
        <v>3070</v>
      </c>
      <c r="AN267" s="10">
        <v>17689</v>
      </c>
      <c r="AO267" s="10">
        <v>28</v>
      </c>
      <c r="AP267" s="10">
        <v>4</v>
      </c>
      <c r="AQ267" s="10">
        <v>7587</v>
      </c>
      <c r="AR267" s="10">
        <v>0</v>
      </c>
      <c r="AS267" s="10">
        <v>2384</v>
      </c>
      <c r="AT267" s="10">
        <v>24</v>
      </c>
      <c r="AU267" s="10">
        <v>5449</v>
      </c>
      <c r="AV267" s="10">
        <v>2323</v>
      </c>
      <c r="AW267" s="10">
        <v>4130</v>
      </c>
      <c r="AX267" s="10">
        <v>12450</v>
      </c>
      <c r="AY267" s="159"/>
      <c r="AZ267" s="159"/>
      <c r="BA267" s="159">
        <v>636</v>
      </c>
      <c r="BB267" s="159"/>
      <c r="BC267" s="10">
        <v>333</v>
      </c>
      <c r="BD267" s="10"/>
      <c r="BE267" s="10">
        <v>0</v>
      </c>
      <c r="BF267" s="10">
        <v>0</v>
      </c>
      <c r="BG267" s="10">
        <v>1105</v>
      </c>
      <c r="BH267" s="10">
        <v>0</v>
      </c>
      <c r="BI267" s="10">
        <v>0</v>
      </c>
      <c r="BJ267" s="10">
        <v>8069</v>
      </c>
      <c r="BK267" s="10">
        <v>36</v>
      </c>
      <c r="BL267" s="10">
        <v>2991</v>
      </c>
      <c r="BM267" s="10"/>
      <c r="BN267" s="10">
        <v>570</v>
      </c>
      <c r="BO267" s="10">
        <v>40</v>
      </c>
      <c r="BP267" s="10">
        <v>4268</v>
      </c>
      <c r="BQ267" s="10">
        <v>68797</v>
      </c>
      <c r="BR267" s="10">
        <v>529</v>
      </c>
      <c r="BS267" s="10">
        <v>163</v>
      </c>
      <c r="BT267" s="10">
        <v>6387</v>
      </c>
      <c r="BU267" s="10">
        <v>81</v>
      </c>
      <c r="BV267" s="10"/>
      <c r="BW267" s="10">
        <v>4</v>
      </c>
      <c r="BX267" s="10">
        <v>130</v>
      </c>
      <c r="BY267" s="10"/>
      <c r="BZ267" s="10">
        <v>3</v>
      </c>
      <c r="CA267" s="10">
        <v>0</v>
      </c>
      <c r="CB267" s="10">
        <v>22408</v>
      </c>
      <c r="CC267" s="10">
        <v>14680</v>
      </c>
      <c r="CD267" s="10">
        <v>141782</v>
      </c>
      <c r="CE267" s="10">
        <v>215248</v>
      </c>
      <c r="CF267" s="10">
        <v>24588</v>
      </c>
      <c r="CG267" s="10">
        <v>41951</v>
      </c>
      <c r="CH267" s="10">
        <v>0</v>
      </c>
      <c r="CI267" s="10">
        <v>0</v>
      </c>
      <c r="CJ267" s="10">
        <v>7</v>
      </c>
      <c r="CK267" s="10">
        <v>29</v>
      </c>
      <c r="CL267" s="10"/>
      <c r="CM267" s="10"/>
      <c r="CN267" s="10"/>
      <c r="CO267" s="10"/>
      <c r="CP267" s="10"/>
      <c r="CQ267" s="10"/>
      <c r="CR267" s="10"/>
      <c r="CS267" s="10"/>
      <c r="CT267" s="10">
        <v>0</v>
      </c>
      <c r="CU267" s="10">
        <v>0</v>
      </c>
      <c r="CV267" s="10">
        <v>0</v>
      </c>
      <c r="CW267" s="10">
        <v>22</v>
      </c>
      <c r="CX267" s="10">
        <v>0</v>
      </c>
      <c r="CY267" s="10">
        <v>55</v>
      </c>
      <c r="DA267" s="6"/>
      <c r="DC267" s="6"/>
      <c r="DD267" s="6">
        <f t="shared" si="92"/>
        <v>553866</v>
      </c>
      <c r="DE267" s="6">
        <f t="shared" si="57"/>
        <v>238638</v>
      </c>
      <c r="DF267" s="8">
        <f t="shared" si="98"/>
        <v>792504</v>
      </c>
      <c r="DK267" s="6">
        <f t="shared" si="59"/>
        <v>59920</v>
      </c>
      <c r="DL267" s="6">
        <f t="shared" si="60"/>
        <v>130493</v>
      </c>
      <c r="DM267" s="6">
        <f t="shared" si="68"/>
        <v>11048</v>
      </c>
      <c r="DN267" s="6">
        <f t="shared" si="69"/>
        <v>37813</v>
      </c>
      <c r="DO267" s="6">
        <f t="shared" si="93"/>
        <v>404918</v>
      </c>
      <c r="DP267" s="6">
        <f t="shared" si="64"/>
        <v>75754</v>
      </c>
      <c r="DQ267" s="6"/>
      <c r="DR267" s="6">
        <f t="shared" si="94"/>
        <v>14680</v>
      </c>
      <c r="DS267" s="6">
        <f t="shared" si="95"/>
        <v>4268</v>
      </c>
      <c r="DT267" s="6">
        <f t="shared" si="96"/>
        <v>12295</v>
      </c>
      <c r="DU267" s="6"/>
      <c r="DV267" s="6"/>
      <c r="DW267" s="6">
        <f t="shared" si="97"/>
        <v>751189</v>
      </c>
      <c r="DY267" s="6">
        <f t="shared" si="61"/>
        <v>515435</v>
      </c>
      <c r="DZ267" s="6">
        <f t="shared" si="62"/>
        <v>57466</v>
      </c>
      <c r="EB267" s="6">
        <f t="shared" si="63"/>
        <v>849970</v>
      </c>
      <c r="EC267" s="6"/>
      <c r="ED267" s="6"/>
      <c r="EF267" s="6">
        <f t="shared" si="99"/>
        <v>507647</v>
      </c>
      <c r="EG267" s="6">
        <f t="shared" si="76"/>
        <v>231687</v>
      </c>
      <c r="EH267" s="6">
        <f t="shared" si="100"/>
        <v>739334</v>
      </c>
      <c r="EI267" s="36">
        <f t="shared" si="101"/>
        <v>1.3437382714866365E-2</v>
      </c>
      <c r="EJ267" s="36">
        <f t="shared" si="101"/>
        <v>7.2471958960090427E-3</v>
      </c>
      <c r="EM267" s="36"/>
      <c r="EN267" s="36"/>
      <c r="FE267" s="32"/>
      <c r="FF267" s="34"/>
      <c r="FG267" s="31"/>
    </row>
    <row r="268" spans="2:163">
      <c r="B268" s="9">
        <v>40118</v>
      </c>
      <c r="C268" s="10">
        <v>0</v>
      </c>
      <c r="D268" s="10">
        <v>0</v>
      </c>
      <c r="E268" s="10">
        <v>0</v>
      </c>
      <c r="F268" s="10">
        <v>0</v>
      </c>
      <c r="G268" s="10">
        <v>1193</v>
      </c>
      <c r="H268" s="10">
        <v>14277</v>
      </c>
      <c r="I268" s="10">
        <v>28091</v>
      </c>
      <c r="J268" s="10">
        <v>4897</v>
      </c>
      <c r="K268" s="10">
        <v>9305</v>
      </c>
      <c r="L268" s="10"/>
      <c r="M268" s="10">
        <v>28031</v>
      </c>
      <c r="N268" s="10">
        <v>2011</v>
      </c>
      <c r="O268" s="10"/>
      <c r="P268" s="10">
        <v>1578</v>
      </c>
      <c r="Q268" s="10">
        <v>10899</v>
      </c>
      <c r="R268" s="10">
        <v>392</v>
      </c>
      <c r="S268" s="10">
        <v>8720</v>
      </c>
      <c r="T268" s="10">
        <v>11009</v>
      </c>
      <c r="U268" s="10"/>
      <c r="V268" s="10"/>
      <c r="W268" s="10">
        <v>488</v>
      </c>
      <c r="X268" s="10">
        <v>7773</v>
      </c>
      <c r="Y268" s="10">
        <v>343</v>
      </c>
      <c r="Z268" s="10">
        <v>7</v>
      </c>
      <c r="AA268" s="159"/>
      <c r="AB268" s="10">
        <v>4</v>
      </c>
      <c r="AC268" s="10">
        <v>121</v>
      </c>
      <c r="AD268" s="10">
        <v>22</v>
      </c>
      <c r="AE268" s="10">
        <v>30</v>
      </c>
      <c r="AF268" s="10">
        <v>34</v>
      </c>
      <c r="AG268" s="10">
        <v>90</v>
      </c>
      <c r="AH268" s="10"/>
      <c r="AI268" s="10"/>
      <c r="AJ268" s="10">
        <v>4</v>
      </c>
      <c r="AK268" s="10">
        <v>9410</v>
      </c>
      <c r="AL268" s="10">
        <v>102830</v>
      </c>
      <c r="AM268" s="10">
        <v>3061</v>
      </c>
      <c r="AN268" s="10">
        <v>17795</v>
      </c>
      <c r="AO268" s="10">
        <v>26</v>
      </c>
      <c r="AP268" s="10">
        <v>8</v>
      </c>
      <c r="AQ268" s="10">
        <v>7816</v>
      </c>
      <c r="AR268" s="10">
        <v>0</v>
      </c>
      <c r="AS268" s="10">
        <v>2411</v>
      </c>
      <c r="AT268" s="10">
        <v>23</v>
      </c>
      <c r="AU268" s="10">
        <v>5524</v>
      </c>
      <c r="AV268" s="10">
        <v>2333</v>
      </c>
      <c r="AW268" s="10">
        <v>4150</v>
      </c>
      <c r="AX268" s="10">
        <v>12566</v>
      </c>
      <c r="AY268" s="159"/>
      <c r="AZ268" s="159"/>
      <c r="BA268" s="159">
        <v>651</v>
      </c>
      <c r="BB268" s="159"/>
      <c r="BC268" s="10">
        <v>338</v>
      </c>
      <c r="BD268" s="10"/>
      <c r="BE268" s="10">
        <v>0</v>
      </c>
      <c r="BF268" s="10">
        <v>0</v>
      </c>
      <c r="BG268" s="10">
        <v>1106</v>
      </c>
      <c r="BH268" s="10">
        <v>0</v>
      </c>
      <c r="BI268" s="10">
        <v>0</v>
      </c>
      <c r="BJ268" s="10">
        <v>8094</v>
      </c>
      <c r="BK268" s="10">
        <v>38</v>
      </c>
      <c r="BL268" s="10">
        <v>2966</v>
      </c>
      <c r="BM268" s="10"/>
      <c r="BN268" s="10">
        <v>583</v>
      </c>
      <c r="BO268" s="10">
        <v>42</v>
      </c>
      <c r="BP268" s="10">
        <v>4371</v>
      </c>
      <c r="BQ268" s="10">
        <v>69984</v>
      </c>
      <c r="BR268" s="10">
        <v>532</v>
      </c>
      <c r="BS268" s="10">
        <v>161</v>
      </c>
      <c r="BT268" s="10">
        <v>6542</v>
      </c>
      <c r="BU268" s="10">
        <v>76</v>
      </c>
      <c r="BV268" s="10"/>
      <c r="BW268" s="10">
        <v>4</v>
      </c>
      <c r="BX268" s="10">
        <v>128</v>
      </c>
      <c r="BY268" s="10"/>
      <c r="BZ268" s="10">
        <v>2</v>
      </c>
      <c r="CA268" s="10">
        <v>0</v>
      </c>
      <c r="CB268" s="10">
        <v>23003</v>
      </c>
      <c r="CC268" s="10">
        <v>14804</v>
      </c>
      <c r="CD268" s="10">
        <v>143824</v>
      </c>
      <c r="CE268" s="10">
        <v>219027</v>
      </c>
      <c r="CF268" s="10">
        <v>24749</v>
      </c>
      <c r="CG268" s="10">
        <v>43135</v>
      </c>
      <c r="CH268" s="10">
        <v>0</v>
      </c>
      <c r="CI268" s="10">
        <v>0</v>
      </c>
      <c r="CJ268" s="10">
        <v>7</v>
      </c>
      <c r="CK268" s="10">
        <v>30</v>
      </c>
      <c r="CL268" s="10"/>
      <c r="CM268" s="10"/>
      <c r="CN268" s="10"/>
      <c r="CO268" s="10"/>
      <c r="CP268" s="10"/>
      <c r="CQ268" s="10"/>
      <c r="CR268" s="10"/>
      <c r="CS268" s="10"/>
      <c r="CT268" s="10">
        <v>0</v>
      </c>
      <c r="CU268" s="10">
        <v>0</v>
      </c>
      <c r="CV268" s="10">
        <v>0</v>
      </c>
      <c r="CW268" s="10">
        <v>22</v>
      </c>
      <c r="CX268" s="10">
        <v>0</v>
      </c>
      <c r="CY268" s="10">
        <v>55</v>
      </c>
      <c r="DA268" s="6"/>
      <c r="DC268" s="6"/>
      <c r="DD268" s="6">
        <f t="shared" si="92"/>
        <v>563208</v>
      </c>
      <c r="DE268" s="6">
        <f t="shared" ref="DE268:DE331" si="102">SUM(M268:N268,P268:AX268,BB268:BC268)+CR268+CS268</f>
        <v>239847</v>
      </c>
      <c r="DF268" s="8">
        <f t="shared" si="98"/>
        <v>803055</v>
      </c>
      <c r="DK268" s="6">
        <f t="shared" ref="DK268:DK331" si="103">SUM(M268:N268,P268:S268,U268:X268)</f>
        <v>59892</v>
      </c>
      <c r="DL268" s="6">
        <f t="shared" ref="DL268:DL310" si="104">SUM(Y268:AF268,AH268:AM268,AO268,AS268:AW268,BA268:BC268)</f>
        <v>131322</v>
      </c>
      <c r="DM268" s="6">
        <f t="shared" si="68"/>
        <v>11009</v>
      </c>
      <c r="DN268" s="6">
        <f t="shared" si="69"/>
        <v>38275</v>
      </c>
      <c r="DO268" s="6">
        <f t="shared" si="93"/>
        <v>411495</v>
      </c>
      <c r="DP268" s="6">
        <f t="shared" si="64"/>
        <v>77109</v>
      </c>
      <c r="DQ268" s="6"/>
      <c r="DR268" s="6">
        <f t="shared" si="94"/>
        <v>14804</v>
      </c>
      <c r="DS268" s="6">
        <f t="shared" si="95"/>
        <v>4371</v>
      </c>
      <c r="DT268" s="6">
        <f t="shared" si="96"/>
        <v>12294</v>
      </c>
      <c r="DU268" s="6"/>
      <c r="DV268" s="6"/>
      <c r="DW268" s="6">
        <f t="shared" si="97"/>
        <v>760571</v>
      </c>
      <c r="DY268" s="6">
        <f t="shared" ref="DY268:DY311" si="105">DO268+DT268+H268+I268+J268+K268+CG268</f>
        <v>523494</v>
      </c>
      <c r="DZ268" s="6">
        <f t="shared" ref="DZ268:DZ329" si="106">SUM(G268:L268,O268)</f>
        <v>57763</v>
      </c>
      <c r="EB268" s="6">
        <f t="shared" ref="EB268:EB311" si="107">DZ268+DF268</f>
        <v>860818</v>
      </c>
      <c r="EC268" s="6"/>
      <c r="ED268" s="6"/>
      <c r="EF268" s="6">
        <f t="shared" si="99"/>
        <v>515702</v>
      </c>
      <c r="EG268" s="6">
        <f t="shared" si="76"/>
        <v>232682</v>
      </c>
      <c r="EH268" s="6">
        <f t="shared" si="100"/>
        <v>748384</v>
      </c>
      <c r="EI268" s="36">
        <f t="shared" si="101"/>
        <v>1.5867325129469888E-2</v>
      </c>
      <c r="EJ268" s="36">
        <f t="shared" si="101"/>
        <v>4.2945870937946455E-3</v>
      </c>
      <c r="EM268" s="36"/>
      <c r="EN268" s="36"/>
      <c r="FE268" s="32"/>
      <c r="FF268" s="34"/>
      <c r="FG268" s="31"/>
    </row>
    <row r="269" spans="2:163">
      <c r="B269" s="9">
        <v>40148</v>
      </c>
      <c r="C269" s="10">
        <v>0</v>
      </c>
      <c r="D269" s="10">
        <v>0</v>
      </c>
      <c r="E269" s="10">
        <v>0</v>
      </c>
      <c r="F269" s="10">
        <v>0</v>
      </c>
      <c r="G269" s="10">
        <v>1165</v>
      </c>
      <c r="H269" s="10">
        <v>14285</v>
      </c>
      <c r="I269" s="10">
        <v>28225</v>
      </c>
      <c r="J269" s="10">
        <v>4778</v>
      </c>
      <c r="K269" s="10">
        <v>9114</v>
      </c>
      <c r="L269" s="10"/>
      <c r="M269" s="10">
        <v>27959</v>
      </c>
      <c r="N269" s="10">
        <v>2003</v>
      </c>
      <c r="O269" s="10"/>
      <c r="P269" s="10">
        <v>1589</v>
      </c>
      <c r="Q269" s="10">
        <v>10862</v>
      </c>
      <c r="R269" s="10">
        <v>390</v>
      </c>
      <c r="S269" s="10">
        <v>8692</v>
      </c>
      <c r="T269" s="10">
        <v>10999</v>
      </c>
      <c r="U269" s="10"/>
      <c r="V269" s="10"/>
      <c r="W269" s="10">
        <v>477</v>
      </c>
      <c r="X269" s="10">
        <v>7772</v>
      </c>
      <c r="Y269" s="10">
        <v>342</v>
      </c>
      <c r="Z269" s="10">
        <v>7</v>
      </c>
      <c r="AA269" s="159"/>
      <c r="AB269" s="10">
        <v>3</v>
      </c>
      <c r="AC269" s="10">
        <v>127</v>
      </c>
      <c r="AD269" s="10">
        <v>22</v>
      </c>
      <c r="AE269" s="10">
        <v>28</v>
      </c>
      <c r="AF269" s="10">
        <v>35</v>
      </c>
      <c r="AG269" s="10">
        <v>88</v>
      </c>
      <c r="AH269" s="10"/>
      <c r="AI269" s="10"/>
      <c r="AJ269" s="10">
        <v>7</v>
      </c>
      <c r="AK269" s="10">
        <v>9447</v>
      </c>
      <c r="AL269" s="10">
        <v>103035</v>
      </c>
      <c r="AM269" s="10">
        <v>3051</v>
      </c>
      <c r="AN269" s="10">
        <v>17904</v>
      </c>
      <c r="AO269" s="10">
        <v>25</v>
      </c>
      <c r="AP269" s="10">
        <v>5</v>
      </c>
      <c r="AQ269" s="10">
        <v>7981</v>
      </c>
      <c r="AR269" s="10">
        <v>0</v>
      </c>
      <c r="AS269" s="10">
        <v>2423</v>
      </c>
      <c r="AT269" s="10">
        <v>23</v>
      </c>
      <c r="AU269" s="10">
        <v>5612</v>
      </c>
      <c r="AV269" s="10">
        <v>2327</v>
      </c>
      <c r="AW269" s="10">
        <v>4157</v>
      </c>
      <c r="AX269" s="10">
        <v>12620</v>
      </c>
      <c r="AY269" s="159"/>
      <c r="AZ269" s="159"/>
      <c r="BA269" s="159">
        <v>654</v>
      </c>
      <c r="BB269" s="159"/>
      <c r="BC269" s="10">
        <v>342</v>
      </c>
      <c r="BD269" s="10"/>
      <c r="BE269" s="10">
        <v>0</v>
      </c>
      <c r="BF269" s="10">
        <v>0</v>
      </c>
      <c r="BG269" s="10">
        <v>1114</v>
      </c>
      <c r="BH269" s="10">
        <v>0</v>
      </c>
      <c r="BI269" s="10">
        <v>0</v>
      </c>
      <c r="BJ269" s="10">
        <v>8030</v>
      </c>
      <c r="BK269" s="10">
        <v>36</v>
      </c>
      <c r="BL269" s="10">
        <v>2938</v>
      </c>
      <c r="BM269" s="10"/>
      <c r="BN269" s="10">
        <v>527</v>
      </c>
      <c r="BO269" s="10">
        <v>42</v>
      </c>
      <c r="BP269" s="10">
        <v>4480</v>
      </c>
      <c r="BQ269" s="10">
        <v>70183</v>
      </c>
      <c r="BR269" s="10">
        <v>538</v>
      </c>
      <c r="BS269" s="10">
        <v>165</v>
      </c>
      <c r="BT269" s="10">
        <v>6578</v>
      </c>
      <c r="BU269" s="10">
        <v>79</v>
      </c>
      <c r="BV269" s="10"/>
      <c r="BW269" s="10">
        <v>6</v>
      </c>
      <c r="BX269" s="10">
        <v>123</v>
      </c>
      <c r="BY269" s="10"/>
      <c r="BZ269" s="10">
        <v>2</v>
      </c>
      <c r="CA269" s="10">
        <v>0</v>
      </c>
      <c r="CB269" s="10">
        <v>23384</v>
      </c>
      <c r="CC269" s="10">
        <v>14351</v>
      </c>
      <c r="CD269" s="10">
        <v>144684</v>
      </c>
      <c r="CE269" s="10">
        <v>221130</v>
      </c>
      <c r="CF269" s="10">
        <v>24609</v>
      </c>
      <c r="CG269" s="10">
        <v>44098</v>
      </c>
      <c r="CH269" s="10">
        <v>0</v>
      </c>
      <c r="CI269" s="10">
        <v>0</v>
      </c>
      <c r="CJ269" s="10">
        <v>8</v>
      </c>
      <c r="CK269" s="10">
        <v>30</v>
      </c>
      <c r="CL269" s="10"/>
      <c r="CM269" s="10"/>
      <c r="CN269" s="10"/>
      <c r="CO269" s="10"/>
      <c r="CP269" s="10"/>
      <c r="CQ269" s="10"/>
      <c r="CR269" s="10"/>
      <c r="CS269" s="10"/>
      <c r="CT269" s="10">
        <v>0</v>
      </c>
      <c r="CU269" s="10">
        <v>0</v>
      </c>
      <c r="CV269" s="10">
        <v>0</v>
      </c>
      <c r="CW269" s="10">
        <v>22</v>
      </c>
      <c r="CX269" s="10">
        <v>0</v>
      </c>
      <c r="CY269" s="10">
        <v>55</v>
      </c>
      <c r="DA269" s="6"/>
      <c r="DC269" s="6"/>
      <c r="DD269" s="6">
        <f t="shared" si="92"/>
        <v>567135</v>
      </c>
      <c r="DE269" s="6">
        <f t="shared" si="102"/>
        <v>240354</v>
      </c>
      <c r="DF269" s="8">
        <f t="shared" si="98"/>
        <v>807489</v>
      </c>
      <c r="DK269" s="6">
        <f t="shared" si="103"/>
        <v>59744</v>
      </c>
      <c r="DL269" s="6">
        <f t="shared" si="104"/>
        <v>131667</v>
      </c>
      <c r="DM269" s="6">
        <f t="shared" si="68"/>
        <v>10999</v>
      </c>
      <c r="DN269" s="6">
        <f t="shared" si="69"/>
        <v>38598</v>
      </c>
      <c r="DO269" s="6">
        <f t="shared" si="93"/>
        <v>414713</v>
      </c>
      <c r="DP269" s="6">
        <f t="shared" ref="DP269:DP311" si="108">SUM(BD269:BE269,BH269,BN269,BQ269,BT269)</f>
        <v>77288</v>
      </c>
      <c r="DQ269" s="6"/>
      <c r="DR269" s="6">
        <f t="shared" si="94"/>
        <v>14351</v>
      </c>
      <c r="DS269" s="6">
        <f t="shared" si="95"/>
        <v>4480</v>
      </c>
      <c r="DT269" s="6">
        <f t="shared" si="96"/>
        <v>12205</v>
      </c>
      <c r="DU269" s="6"/>
      <c r="DV269" s="6"/>
      <c r="DW269" s="6">
        <f t="shared" si="97"/>
        <v>764045</v>
      </c>
      <c r="DY269" s="6">
        <f t="shared" si="105"/>
        <v>527418</v>
      </c>
      <c r="DZ269" s="6">
        <f t="shared" si="106"/>
        <v>57567</v>
      </c>
      <c r="EB269" s="6">
        <f t="shared" si="107"/>
        <v>865056</v>
      </c>
      <c r="EC269" s="6"/>
      <c r="ED269" s="6"/>
      <c r="EF269" s="6">
        <f t="shared" si="99"/>
        <v>518557</v>
      </c>
      <c r="EG269" s="6">
        <f t="shared" si="76"/>
        <v>233027</v>
      </c>
      <c r="EH269" s="6">
        <f t="shared" si="100"/>
        <v>751584</v>
      </c>
      <c r="EI269" s="36">
        <f t="shared" si="101"/>
        <v>5.5361429662867312E-3</v>
      </c>
      <c r="EJ269" s="36">
        <f t="shared" si="101"/>
        <v>1.4827103084896983E-3</v>
      </c>
      <c r="EM269" s="36"/>
      <c r="EN269" s="36"/>
      <c r="FE269" s="32"/>
      <c r="FF269" s="34"/>
      <c r="FG269" s="31"/>
    </row>
    <row r="270" spans="2:163">
      <c r="B270" s="9">
        <v>40179</v>
      </c>
      <c r="C270" s="10">
        <v>0</v>
      </c>
      <c r="D270" s="10">
        <v>0</v>
      </c>
      <c r="E270" s="10">
        <v>0</v>
      </c>
      <c r="F270" s="10">
        <v>0</v>
      </c>
      <c r="G270" s="10">
        <v>1165</v>
      </c>
      <c r="H270" s="10">
        <v>14276</v>
      </c>
      <c r="I270" s="10">
        <v>28313</v>
      </c>
      <c r="J270" s="10">
        <v>4635</v>
      </c>
      <c r="K270" s="10">
        <v>8907</v>
      </c>
      <c r="L270" s="10"/>
      <c r="M270" s="10">
        <v>27918</v>
      </c>
      <c r="N270" s="10">
        <v>2002</v>
      </c>
      <c r="O270" s="10"/>
      <c r="P270" s="10">
        <v>1589</v>
      </c>
      <c r="Q270" s="10">
        <v>10897</v>
      </c>
      <c r="R270" s="10">
        <v>386</v>
      </c>
      <c r="S270" s="10">
        <v>8672</v>
      </c>
      <c r="T270" s="10">
        <v>10958</v>
      </c>
      <c r="U270" s="10"/>
      <c r="V270" s="10"/>
      <c r="W270" s="10">
        <v>474</v>
      </c>
      <c r="X270" s="10">
        <v>7771</v>
      </c>
      <c r="Y270" s="10">
        <v>338</v>
      </c>
      <c r="Z270" s="10">
        <v>7</v>
      </c>
      <c r="AA270" s="159"/>
      <c r="AB270" s="10">
        <v>3</v>
      </c>
      <c r="AC270" s="10">
        <v>135</v>
      </c>
      <c r="AD270" s="10">
        <v>23</v>
      </c>
      <c r="AE270" s="10">
        <v>28</v>
      </c>
      <c r="AF270" s="10">
        <v>35</v>
      </c>
      <c r="AG270" s="10">
        <v>92</v>
      </c>
      <c r="AH270" s="10"/>
      <c r="AI270" s="10"/>
      <c r="AJ270" s="10">
        <v>7</v>
      </c>
      <c r="AK270" s="10">
        <v>9488</v>
      </c>
      <c r="AL270" s="10">
        <v>103436</v>
      </c>
      <c r="AM270" s="10">
        <v>3074</v>
      </c>
      <c r="AN270" s="10">
        <v>17962</v>
      </c>
      <c r="AO270" s="10">
        <v>25</v>
      </c>
      <c r="AP270" s="10">
        <v>6</v>
      </c>
      <c r="AQ270" s="10">
        <v>0</v>
      </c>
      <c r="AR270" s="10">
        <v>0</v>
      </c>
      <c r="AS270" s="10">
        <v>2403</v>
      </c>
      <c r="AT270" s="10">
        <v>21</v>
      </c>
      <c r="AU270" s="10">
        <v>5633</v>
      </c>
      <c r="AV270" s="10">
        <v>2321</v>
      </c>
      <c r="AW270" s="10">
        <v>4186</v>
      </c>
      <c r="AX270" s="10">
        <v>12778</v>
      </c>
      <c r="AY270" s="159"/>
      <c r="AZ270" s="159"/>
      <c r="BA270" s="159">
        <v>652</v>
      </c>
      <c r="BB270" s="159"/>
      <c r="BC270" s="10">
        <v>340</v>
      </c>
      <c r="BD270" s="10"/>
      <c r="BE270" s="10">
        <v>0</v>
      </c>
      <c r="BF270" s="10">
        <v>0</v>
      </c>
      <c r="BG270" s="10">
        <v>1144</v>
      </c>
      <c r="BH270" s="10">
        <v>0</v>
      </c>
      <c r="BI270" s="10">
        <v>0</v>
      </c>
      <c r="BJ270" s="10">
        <v>8018</v>
      </c>
      <c r="BK270" s="10">
        <v>38</v>
      </c>
      <c r="BL270" s="10">
        <v>2938</v>
      </c>
      <c r="BM270" s="10"/>
      <c r="BN270" s="10">
        <v>524</v>
      </c>
      <c r="BO270" s="10">
        <v>38</v>
      </c>
      <c r="BP270" s="10">
        <v>4602</v>
      </c>
      <c r="BQ270" s="10">
        <v>70883</v>
      </c>
      <c r="BR270" s="10">
        <v>543</v>
      </c>
      <c r="BS270" s="10">
        <v>167</v>
      </c>
      <c r="BT270" s="10">
        <v>6778</v>
      </c>
      <c r="BU270" s="10">
        <v>86</v>
      </c>
      <c r="BV270" s="10"/>
      <c r="BW270" s="10">
        <v>6</v>
      </c>
      <c r="BX270" s="10">
        <v>123</v>
      </c>
      <c r="BY270" s="10"/>
      <c r="BZ270" s="10">
        <v>3</v>
      </c>
      <c r="CA270" s="10">
        <v>0</v>
      </c>
      <c r="CB270" s="10">
        <v>23605</v>
      </c>
      <c r="CC270" s="10">
        <v>14298</v>
      </c>
      <c r="CD270" s="10">
        <v>145633</v>
      </c>
      <c r="CE270" s="10">
        <v>223218</v>
      </c>
      <c r="CF270" s="10">
        <v>24765</v>
      </c>
      <c r="CG270" s="10">
        <v>44723</v>
      </c>
      <c r="CH270" s="10">
        <v>0</v>
      </c>
      <c r="CI270" s="10">
        <v>0</v>
      </c>
      <c r="CJ270" s="10">
        <v>8</v>
      </c>
      <c r="CK270" s="10">
        <v>28</v>
      </c>
      <c r="CL270" s="10"/>
      <c r="CM270" s="10"/>
      <c r="CN270" s="10"/>
      <c r="CO270" s="10"/>
      <c r="CP270" s="10"/>
      <c r="CQ270" s="10"/>
      <c r="CR270" s="10"/>
      <c r="CS270" s="10"/>
      <c r="CT270" s="10">
        <v>0</v>
      </c>
      <c r="CU270" s="10">
        <v>0</v>
      </c>
      <c r="CV270" s="10">
        <v>0</v>
      </c>
      <c r="CW270" s="10">
        <v>22</v>
      </c>
      <c r="CX270" s="10">
        <v>0</v>
      </c>
      <c r="CY270" s="10">
        <v>55</v>
      </c>
      <c r="DA270" s="6"/>
      <c r="DC270" s="6"/>
      <c r="DD270" s="6">
        <f t="shared" ref="DD270:DD275" si="109">SUM(BE270:CK270)</f>
        <v>572169</v>
      </c>
      <c r="DE270" s="6">
        <f t="shared" si="102"/>
        <v>233008</v>
      </c>
      <c r="DF270" s="8">
        <f t="shared" si="98"/>
        <v>805177</v>
      </c>
      <c r="DK270" s="6">
        <f t="shared" si="103"/>
        <v>59709</v>
      </c>
      <c r="DL270" s="6">
        <f t="shared" si="104"/>
        <v>132155</v>
      </c>
      <c r="DM270" s="6">
        <f t="shared" si="68"/>
        <v>10958</v>
      </c>
      <c r="DN270" s="6">
        <f t="shared" si="69"/>
        <v>30838</v>
      </c>
      <c r="DO270" s="6">
        <f t="shared" ref="DO270:DO275" si="110">SUM(BF270,BI270,BK270,BO270,BR270:BS270,BU270:BW270,BZ270:CB270,CD270:CF270,CJ270:CK270)</f>
        <v>418138</v>
      </c>
      <c r="DP270" s="6">
        <f t="shared" si="108"/>
        <v>78185</v>
      </c>
      <c r="DQ270" s="6"/>
      <c r="DR270" s="6">
        <f t="shared" ref="DR270:DR275" si="111">CC270+CI270</f>
        <v>14298</v>
      </c>
      <c r="DS270" s="6">
        <f t="shared" ref="DS270:DS275" si="112">BP270</f>
        <v>4602</v>
      </c>
      <c r="DT270" s="6">
        <f t="shared" ref="DT270:DT275" si="113">BG270+BJ270+BL270+BX270</f>
        <v>12223</v>
      </c>
      <c r="DU270" s="6"/>
      <c r="DV270" s="6"/>
      <c r="DW270" s="6">
        <f t="shared" ref="DW270:DW275" si="114">SUM(DK270:DT270)</f>
        <v>761106</v>
      </c>
      <c r="DY270" s="6">
        <f t="shared" si="105"/>
        <v>531215</v>
      </c>
      <c r="DZ270" s="6">
        <f t="shared" si="106"/>
        <v>57296</v>
      </c>
      <c r="EB270" s="6">
        <f t="shared" si="107"/>
        <v>862473</v>
      </c>
      <c r="EC270" s="6"/>
      <c r="ED270" s="6"/>
      <c r="EF270" s="6">
        <f t="shared" si="99"/>
        <v>522844</v>
      </c>
      <c r="EG270" s="6">
        <f t="shared" si="76"/>
        <v>233660</v>
      </c>
      <c r="EH270" s="6">
        <f t="shared" si="100"/>
        <v>756504</v>
      </c>
      <c r="EI270" s="36">
        <f t="shared" si="101"/>
        <v>8.2671721720080915E-3</v>
      </c>
      <c r="EJ270" s="36">
        <f t="shared" si="101"/>
        <v>2.716423418745467E-3</v>
      </c>
      <c r="EM270" s="36"/>
      <c r="EN270" s="36"/>
      <c r="FE270" s="32"/>
      <c r="FF270" s="34"/>
      <c r="FG270" s="31"/>
    </row>
    <row r="271" spans="2:163">
      <c r="B271" s="9">
        <v>40210</v>
      </c>
      <c r="C271" s="10">
        <v>0</v>
      </c>
      <c r="D271" s="10">
        <v>0</v>
      </c>
      <c r="E271" s="10">
        <v>0</v>
      </c>
      <c r="F271" s="10">
        <v>0</v>
      </c>
      <c r="G271" s="10">
        <v>1189</v>
      </c>
      <c r="H271" s="10">
        <v>14080</v>
      </c>
      <c r="I271" s="10">
        <v>27576</v>
      </c>
      <c r="J271" s="10">
        <v>4510</v>
      </c>
      <c r="K271" s="10">
        <v>8778</v>
      </c>
      <c r="L271" s="10"/>
      <c r="M271" s="10">
        <v>27794</v>
      </c>
      <c r="N271" s="10">
        <v>1967</v>
      </c>
      <c r="O271" s="10"/>
      <c r="P271" s="10">
        <v>1573</v>
      </c>
      <c r="Q271" s="10">
        <v>10891</v>
      </c>
      <c r="R271" s="10">
        <v>375</v>
      </c>
      <c r="S271" s="10">
        <v>8601</v>
      </c>
      <c r="T271" s="10">
        <v>10935</v>
      </c>
      <c r="U271" s="10"/>
      <c r="V271" s="10"/>
      <c r="W271" s="10">
        <v>481</v>
      </c>
      <c r="X271" s="10">
        <v>7758</v>
      </c>
      <c r="Y271" s="10">
        <v>336</v>
      </c>
      <c r="Z271" s="10">
        <v>7</v>
      </c>
      <c r="AA271" s="159"/>
      <c r="AB271" s="10">
        <v>3</v>
      </c>
      <c r="AC271" s="10">
        <v>141</v>
      </c>
      <c r="AD271" s="10">
        <v>21</v>
      </c>
      <c r="AE271" s="10">
        <v>29</v>
      </c>
      <c r="AF271" s="10">
        <v>36</v>
      </c>
      <c r="AG271" s="10">
        <v>92</v>
      </c>
      <c r="AH271" s="10"/>
      <c r="AI271" s="10"/>
      <c r="AJ271" s="10">
        <v>7</v>
      </c>
      <c r="AK271" s="10">
        <v>9600</v>
      </c>
      <c r="AL271" s="10">
        <v>103787</v>
      </c>
      <c r="AM271" s="10">
        <v>3079</v>
      </c>
      <c r="AN271" s="10">
        <v>18139</v>
      </c>
      <c r="AO271" s="10">
        <v>18</v>
      </c>
      <c r="AP271" s="10">
        <v>5</v>
      </c>
      <c r="AQ271" s="10">
        <v>5783</v>
      </c>
      <c r="AR271" s="10">
        <v>0</v>
      </c>
      <c r="AS271" s="10">
        <v>2509</v>
      </c>
      <c r="AT271" s="10">
        <v>23</v>
      </c>
      <c r="AU271" s="10">
        <v>5677</v>
      </c>
      <c r="AV271" s="10">
        <v>2329</v>
      </c>
      <c r="AW271" s="10">
        <v>4199</v>
      </c>
      <c r="AX271" s="10">
        <v>12903</v>
      </c>
      <c r="AY271" s="159"/>
      <c r="AZ271" s="159"/>
      <c r="BA271" s="159">
        <v>669</v>
      </c>
      <c r="BB271" s="159"/>
      <c r="BC271" s="10">
        <v>338</v>
      </c>
      <c r="BD271" s="10"/>
      <c r="BE271" s="10">
        <v>0</v>
      </c>
      <c r="BF271" s="10">
        <v>0</v>
      </c>
      <c r="BG271" s="10">
        <v>1161</v>
      </c>
      <c r="BH271" s="10">
        <v>0</v>
      </c>
      <c r="BI271" s="10">
        <v>0</v>
      </c>
      <c r="BJ271" s="10">
        <v>8041</v>
      </c>
      <c r="BK271" s="10">
        <v>35</v>
      </c>
      <c r="BL271" s="10">
        <v>2932</v>
      </c>
      <c r="BM271" s="10"/>
      <c r="BN271" s="10">
        <v>505</v>
      </c>
      <c r="BO271" s="10">
        <v>47</v>
      </c>
      <c r="BP271" s="10">
        <v>4718</v>
      </c>
      <c r="BQ271" s="10">
        <v>72142</v>
      </c>
      <c r="BR271" s="10">
        <v>493</v>
      </c>
      <c r="BS271" s="10">
        <v>165</v>
      </c>
      <c r="BT271" s="10">
        <v>6987</v>
      </c>
      <c r="BU271" s="10">
        <v>87</v>
      </c>
      <c r="BV271" s="10"/>
      <c r="BW271" s="10">
        <v>6</v>
      </c>
      <c r="BX271" s="10">
        <v>119</v>
      </c>
      <c r="BY271" s="10"/>
      <c r="BZ271" s="10">
        <v>2</v>
      </c>
      <c r="CA271" s="10">
        <v>0</v>
      </c>
      <c r="CB271" s="10">
        <v>23610</v>
      </c>
      <c r="CC271" s="10">
        <v>15385</v>
      </c>
      <c r="CD271" s="10">
        <v>147378</v>
      </c>
      <c r="CE271" s="10">
        <v>225949</v>
      </c>
      <c r="CF271" s="10">
        <v>25146</v>
      </c>
      <c r="CG271" s="10">
        <v>44913</v>
      </c>
      <c r="CH271" s="10">
        <v>0</v>
      </c>
      <c r="CI271" s="10">
        <v>0</v>
      </c>
      <c r="CJ271" s="10">
        <v>8</v>
      </c>
      <c r="CK271" s="10">
        <v>25</v>
      </c>
      <c r="CL271" s="10"/>
      <c r="CM271" s="10"/>
      <c r="CN271" s="10"/>
      <c r="CO271" s="10"/>
      <c r="CP271" s="10"/>
      <c r="CQ271" s="10"/>
      <c r="CR271" s="10"/>
      <c r="CS271" s="10"/>
      <c r="CT271" s="10">
        <v>0</v>
      </c>
      <c r="CU271" s="10">
        <v>0</v>
      </c>
      <c r="CV271" s="10">
        <v>0</v>
      </c>
      <c r="CW271" s="10">
        <v>22</v>
      </c>
      <c r="CX271" s="10">
        <v>0</v>
      </c>
      <c r="CY271" s="10">
        <v>55</v>
      </c>
      <c r="DA271" s="6"/>
      <c r="DC271" s="6"/>
      <c r="DD271" s="6">
        <f t="shared" si="109"/>
        <v>579854</v>
      </c>
      <c r="DE271" s="6">
        <f t="shared" si="102"/>
        <v>239436</v>
      </c>
      <c r="DF271" s="8">
        <f t="shared" ref="DF271:DF278" si="115">SUM(DD271:DE271)</f>
        <v>819290</v>
      </c>
      <c r="DK271" s="6">
        <f t="shared" si="103"/>
        <v>59440</v>
      </c>
      <c r="DL271" s="6">
        <f t="shared" si="104"/>
        <v>132808</v>
      </c>
      <c r="DM271" s="6">
        <f t="shared" si="68"/>
        <v>10935</v>
      </c>
      <c r="DN271" s="6">
        <f t="shared" si="69"/>
        <v>36922</v>
      </c>
      <c r="DO271" s="6">
        <f t="shared" si="110"/>
        <v>422951</v>
      </c>
      <c r="DP271" s="6">
        <f t="shared" si="108"/>
        <v>79634</v>
      </c>
      <c r="DQ271" s="6"/>
      <c r="DR271" s="6">
        <f t="shared" si="111"/>
        <v>15385</v>
      </c>
      <c r="DS271" s="6">
        <f t="shared" si="112"/>
        <v>4718</v>
      </c>
      <c r="DT271" s="6">
        <f t="shared" si="113"/>
        <v>12253</v>
      </c>
      <c r="DU271" s="6"/>
      <c r="DV271" s="6"/>
      <c r="DW271" s="6">
        <f t="shared" si="114"/>
        <v>775046</v>
      </c>
      <c r="DY271" s="6">
        <f t="shared" si="105"/>
        <v>535061</v>
      </c>
      <c r="DZ271" s="6">
        <f t="shared" si="106"/>
        <v>56133</v>
      </c>
      <c r="EB271" s="6">
        <f t="shared" si="107"/>
        <v>875423</v>
      </c>
      <c r="EC271" s="6"/>
      <c r="ED271" s="6"/>
      <c r="EF271" s="6">
        <f t="shared" ref="EF271:EF278" si="116">SUM(BE271:CK271)-CG271-BP271</f>
        <v>530223</v>
      </c>
      <c r="EG271" s="6">
        <f t="shared" si="76"/>
        <v>234322</v>
      </c>
      <c r="EH271" s="6">
        <f t="shared" ref="EH271:EH278" si="117">SUM(EF271:EG271)</f>
        <v>764545</v>
      </c>
      <c r="EI271" s="36">
        <f t="shared" si="101"/>
        <v>1.4113196287994125E-2</v>
      </c>
      <c r="EJ271" s="36">
        <f t="shared" si="101"/>
        <v>2.833176410168621E-3</v>
      </c>
      <c r="EM271" s="36"/>
      <c r="EN271" s="36"/>
      <c r="FE271" s="32"/>
      <c r="FF271" s="34"/>
      <c r="FG271" s="31"/>
    </row>
    <row r="272" spans="2:163">
      <c r="B272" s="9">
        <v>40238</v>
      </c>
      <c r="C272" s="10">
        <v>0</v>
      </c>
      <c r="D272" s="10">
        <v>0</v>
      </c>
      <c r="E272" s="10">
        <v>0</v>
      </c>
      <c r="F272" s="10">
        <v>0</v>
      </c>
      <c r="G272" s="10">
        <v>1149</v>
      </c>
      <c r="H272" s="10">
        <v>13948</v>
      </c>
      <c r="I272" s="10">
        <v>27433</v>
      </c>
      <c r="J272" s="10">
        <v>4355</v>
      </c>
      <c r="K272" s="10">
        <v>8565</v>
      </c>
      <c r="L272" s="10"/>
      <c r="M272" s="10">
        <v>27723</v>
      </c>
      <c r="N272" s="10">
        <v>1959</v>
      </c>
      <c r="O272" s="10"/>
      <c r="P272" s="10">
        <v>1570</v>
      </c>
      <c r="Q272" s="10">
        <v>10831</v>
      </c>
      <c r="R272" s="10">
        <v>370</v>
      </c>
      <c r="S272" s="10">
        <v>8576</v>
      </c>
      <c r="T272" s="10">
        <v>10945</v>
      </c>
      <c r="U272" s="10"/>
      <c r="V272" s="10"/>
      <c r="W272" s="10">
        <v>473</v>
      </c>
      <c r="X272" s="10">
        <v>7723</v>
      </c>
      <c r="Y272" s="10">
        <v>332</v>
      </c>
      <c r="Z272" s="10">
        <v>6</v>
      </c>
      <c r="AA272" s="159"/>
      <c r="AB272" s="10">
        <v>0</v>
      </c>
      <c r="AC272" s="10">
        <v>144</v>
      </c>
      <c r="AD272" s="10">
        <v>21</v>
      </c>
      <c r="AE272" s="10">
        <v>30</v>
      </c>
      <c r="AF272" s="10">
        <v>37</v>
      </c>
      <c r="AG272" s="10">
        <v>90</v>
      </c>
      <c r="AH272" s="10"/>
      <c r="AI272" s="10"/>
      <c r="AJ272" s="10">
        <v>7</v>
      </c>
      <c r="AK272" s="10">
        <v>9610</v>
      </c>
      <c r="AL272" s="10">
        <v>103901</v>
      </c>
      <c r="AM272" s="10">
        <v>3064</v>
      </c>
      <c r="AN272" s="10">
        <v>18125</v>
      </c>
      <c r="AO272" s="10">
        <v>18</v>
      </c>
      <c r="AP272" s="10">
        <v>4</v>
      </c>
      <c r="AQ272" s="10">
        <v>6522</v>
      </c>
      <c r="AR272" s="10">
        <v>0</v>
      </c>
      <c r="AS272" s="10">
        <v>2509</v>
      </c>
      <c r="AT272" s="10">
        <v>21</v>
      </c>
      <c r="AU272" s="10">
        <v>5690</v>
      </c>
      <c r="AV272" s="10">
        <v>2314</v>
      </c>
      <c r="AW272" s="10">
        <v>4197</v>
      </c>
      <c r="AX272" s="10">
        <v>13002</v>
      </c>
      <c r="AY272" s="159"/>
      <c r="AZ272" s="159"/>
      <c r="BA272" s="159">
        <v>674</v>
      </c>
      <c r="BB272" s="159"/>
      <c r="BC272" s="10">
        <v>323</v>
      </c>
      <c r="BD272" s="10"/>
      <c r="BE272" s="10">
        <v>0</v>
      </c>
      <c r="BF272" s="10">
        <v>0</v>
      </c>
      <c r="BG272" s="10">
        <v>1171</v>
      </c>
      <c r="BH272" s="10">
        <v>0</v>
      </c>
      <c r="BI272" s="10">
        <v>0</v>
      </c>
      <c r="BJ272" s="10">
        <v>8020</v>
      </c>
      <c r="BK272" s="10">
        <v>30</v>
      </c>
      <c r="BL272" s="10">
        <v>2896</v>
      </c>
      <c r="BM272" s="10"/>
      <c r="BN272" s="10">
        <v>502</v>
      </c>
      <c r="BO272" s="10">
        <v>42</v>
      </c>
      <c r="BP272" s="10">
        <v>4741</v>
      </c>
      <c r="BQ272" s="10">
        <v>71974</v>
      </c>
      <c r="BR272" s="10">
        <v>439</v>
      </c>
      <c r="BS272" s="10">
        <v>165</v>
      </c>
      <c r="BT272" s="10">
        <v>7018</v>
      </c>
      <c r="BU272" s="10">
        <v>85</v>
      </c>
      <c r="BV272" s="10"/>
      <c r="BW272" s="10">
        <v>7</v>
      </c>
      <c r="BX272" s="10">
        <v>113</v>
      </c>
      <c r="BY272" s="10"/>
      <c r="BZ272" s="10">
        <v>3</v>
      </c>
      <c r="CA272" s="10">
        <v>0</v>
      </c>
      <c r="CB272" s="10">
        <v>23526</v>
      </c>
      <c r="CC272" s="10">
        <v>15892</v>
      </c>
      <c r="CD272" s="10">
        <v>147646</v>
      </c>
      <c r="CE272" s="10">
        <v>226766</v>
      </c>
      <c r="CF272" s="10">
        <v>24924</v>
      </c>
      <c r="CG272" s="10">
        <v>44823</v>
      </c>
      <c r="CH272" s="10">
        <v>0</v>
      </c>
      <c r="CI272" s="10">
        <v>0</v>
      </c>
      <c r="CJ272" s="10">
        <v>7</v>
      </c>
      <c r="CK272" s="10">
        <v>26</v>
      </c>
      <c r="CL272" s="10"/>
      <c r="CM272" s="10"/>
      <c r="CN272" s="10"/>
      <c r="CO272" s="10"/>
      <c r="CP272" s="10"/>
      <c r="CQ272" s="10"/>
      <c r="CR272" s="10"/>
      <c r="CS272" s="10"/>
      <c r="CT272" s="10">
        <v>0</v>
      </c>
      <c r="CU272" s="10">
        <v>0</v>
      </c>
      <c r="CV272" s="10">
        <v>0</v>
      </c>
      <c r="CW272" s="10">
        <v>22</v>
      </c>
      <c r="CX272" s="10">
        <v>0</v>
      </c>
      <c r="CY272" s="10">
        <v>55</v>
      </c>
      <c r="DA272" s="6"/>
      <c r="DC272" s="6"/>
      <c r="DD272" s="6">
        <f t="shared" si="109"/>
        <v>580816</v>
      </c>
      <c r="DE272" s="6">
        <f t="shared" si="102"/>
        <v>240137</v>
      </c>
      <c r="DF272" s="8">
        <f t="shared" si="115"/>
        <v>820953</v>
      </c>
      <c r="DK272" s="6">
        <f t="shared" si="103"/>
        <v>59225</v>
      </c>
      <c r="DL272" s="6">
        <f t="shared" si="104"/>
        <v>132898</v>
      </c>
      <c r="DM272" s="6">
        <f t="shared" si="68"/>
        <v>10945</v>
      </c>
      <c r="DN272" s="6">
        <f t="shared" si="69"/>
        <v>37743</v>
      </c>
      <c r="DO272" s="6">
        <f t="shared" si="110"/>
        <v>423666</v>
      </c>
      <c r="DP272" s="6">
        <f t="shared" si="108"/>
        <v>79494</v>
      </c>
      <c r="DQ272" s="6"/>
      <c r="DR272" s="6">
        <f t="shared" si="111"/>
        <v>15892</v>
      </c>
      <c r="DS272" s="6">
        <f t="shared" si="112"/>
        <v>4741</v>
      </c>
      <c r="DT272" s="6">
        <f t="shared" si="113"/>
        <v>12200</v>
      </c>
      <c r="DU272" s="6"/>
      <c r="DV272" s="6"/>
      <c r="DW272" s="6">
        <f t="shared" si="114"/>
        <v>776804</v>
      </c>
      <c r="DY272" s="6">
        <f t="shared" si="105"/>
        <v>534990</v>
      </c>
      <c r="DZ272" s="6">
        <f t="shared" si="106"/>
        <v>55450</v>
      </c>
      <c r="EB272" s="6">
        <f t="shared" si="107"/>
        <v>876403</v>
      </c>
      <c r="EC272" s="6"/>
      <c r="ED272" s="6"/>
      <c r="EF272" s="6">
        <f t="shared" si="116"/>
        <v>531252</v>
      </c>
      <c r="EG272" s="6">
        <f t="shared" si="76"/>
        <v>234289</v>
      </c>
      <c r="EH272" s="6">
        <f t="shared" si="117"/>
        <v>765541</v>
      </c>
      <c r="EI272" s="36">
        <f t="shared" si="101"/>
        <v>1.9406928782795163E-3</v>
      </c>
      <c r="EJ272" s="36">
        <f t="shared" si="101"/>
        <v>-1.408318467749507E-4</v>
      </c>
      <c r="EM272" s="36"/>
      <c r="EN272" s="36"/>
      <c r="FE272" s="32"/>
      <c r="FF272" s="34"/>
      <c r="FG272" s="31"/>
    </row>
    <row r="273" spans="2:163">
      <c r="B273" s="9">
        <v>40269</v>
      </c>
      <c r="C273" s="10">
        <v>0</v>
      </c>
      <c r="D273" s="10">
        <v>0</v>
      </c>
      <c r="E273" s="10">
        <v>0</v>
      </c>
      <c r="F273" s="10">
        <v>0</v>
      </c>
      <c r="G273" s="10">
        <v>1170</v>
      </c>
      <c r="H273" s="10">
        <v>13995</v>
      </c>
      <c r="I273" s="10">
        <v>27111</v>
      </c>
      <c r="J273" s="10">
        <v>4334</v>
      </c>
      <c r="K273" s="10">
        <v>8358</v>
      </c>
      <c r="L273" s="10"/>
      <c r="M273" s="10">
        <v>27616</v>
      </c>
      <c r="N273" s="10">
        <v>1942</v>
      </c>
      <c r="O273" s="10"/>
      <c r="P273" s="10">
        <v>1577</v>
      </c>
      <c r="Q273" s="10">
        <v>10932</v>
      </c>
      <c r="R273" s="10">
        <v>371</v>
      </c>
      <c r="S273" s="10">
        <v>8592</v>
      </c>
      <c r="T273" s="10">
        <v>10974</v>
      </c>
      <c r="U273" s="10"/>
      <c r="V273" s="10"/>
      <c r="W273" s="10">
        <v>471</v>
      </c>
      <c r="X273" s="10">
        <v>7696</v>
      </c>
      <c r="Y273" s="10">
        <v>336</v>
      </c>
      <c r="Z273" s="10">
        <v>6</v>
      </c>
      <c r="AA273" s="159"/>
      <c r="AB273" s="10">
        <v>1</v>
      </c>
      <c r="AC273" s="10">
        <v>147</v>
      </c>
      <c r="AD273" s="10">
        <v>21</v>
      </c>
      <c r="AE273" s="10">
        <v>30</v>
      </c>
      <c r="AF273" s="10">
        <v>40</v>
      </c>
      <c r="AG273" s="10">
        <v>91</v>
      </c>
      <c r="AH273" s="10"/>
      <c r="AI273" s="10"/>
      <c r="AJ273" s="10">
        <v>6</v>
      </c>
      <c r="AK273" s="10">
        <v>9753</v>
      </c>
      <c r="AL273" s="10">
        <v>104012</v>
      </c>
      <c r="AM273" s="10">
        <v>3076</v>
      </c>
      <c r="AN273" s="10">
        <v>18215</v>
      </c>
      <c r="AO273" s="10">
        <v>18</v>
      </c>
      <c r="AP273" s="10">
        <v>5</v>
      </c>
      <c r="AQ273" s="10">
        <v>7128</v>
      </c>
      <c r="AR273" s="10">
        <v>0</v>
      </c>
      <c r="AS273" s="10">
        <v>2696</v>
      </c>
      <c r="AT273" s="10">
        <v>23</v>
      </c>
      <c r="AU273" s="10">
        <v>5716</v>
      </c>
      <c r="AV273" s="10">
        <v>2328</v>
      </c>
      <c r="AW273" s="10">
        <v>4250</v>
      </c>
      <c r="AX273" s="10">
        <v>13100</v>
      </c>
      <c r="AY273" s="159"/>
      <c r="AZ273" s="159"/>
      <c r="BA273" s="159">
        <v>681</v>
      </c>
      <c r="BB273" s="159"/>
      <c r="BC273" s="10">
        <v>345</v>
      </c>
      <c r="BD273" s="10"/>
      <c r="BE273" s="10">
        <v>0</v>
      </c>
      <c r="BF273" s="10">
        <v>0</v>
      </c>
      <c r="BG273" s="10">
        <v>1175</v>
      </c>
      <c r="BH273" s="10">
        <v>0</v>
      </c>
      <c r="BI273" s="10">
        <v>0</v>
      </c>
      <c r="BJ273" s="10">
        <v>8051</v>
      </c>
      <c r="BK273" s="10">
        <v>25</v>
      </c>
      <c r="BL273" s="10">
        <v>2881</v>
      </c>
      <c r="BM273" s="10"/>
      <c r="BN273" s="10">
        <v>468</v>
      </c>
      <c r="BO273" s="10">
        <v>45</v>
      </c>
      <c r="BP273" s="10">
        <v>4947</v>
      </c>
      <c r="BQ273" s="10">
        <v>73247</v>
      </c>
      <c r="BR273" s="10">
        <v>441</v>
      </c>
      <c r="BS273" s="10">
        <v>162</v>
      </c>
      <c r="BT273" s="10">
        <v>7118</v>
      </c>
      <c r="BU273" s="10">
        <v>88</v>
      </c>
      <c r="BV273" s="10"/>
      <c r="BW273" s="10">
        <v>5</v>
      </c>
      <c r="BX273" s="10">
        <v>92</v>
      </c>
      <c r="BY273" s="10"/>
      <c r="BZ273" s="10">
        <v>7</v>
      </c>
      <c r="CA273" s="10">
        <v>0</v>
      </c>
      <c r="CB273" s="10">
        <v>23416</v>
      </c>
      <c r="CC273" s="10">
        <v>15879</v>
      </c>
      <c r="CD273" s="10">
        <v>149239</v>
      </c>
      <c r="CE273" s="10">
        <v>229274</v>
      </c>
      <c r="CF273" s="10">
        <v>25287</v>
      </c>
      <c r="CG273" s="10">
        <v>44854</v>
      </c>
      <c r="CH273" s="10">
        <v>0</v>
      </c>
      <c r="CI273" s="10">
        <v>1</v>
      </c>
      <c r="CJ273" s="10">
        <v>5</v>
      </c>
      <c r="CK273" s="10">
        <v>26</v>
      </c>
      <c r="CL273" s="10"/>
      <c r="CM273" s="10"/>
      <c r="CN273" s="10"/>
      <c r="CO273" s="10"/>
      <c r="CP273" s="10"/>
      <c r="CQ273" s="10"/>
      <c r="CR273" s="10"/>
      <c r="CS273" s="10"/>
      <c r="CT273" s="10">
        <v>0</v>
      </c>
      <c r="CU273" s="10">
        <v>0</v>
      </c>
      <c r="CV273" s="10">
        <v>0</v>
      </c>
      <c r="CW273" s="10">
        <v>22</v>
      </c>
      <c r="CX273" s="10">
        <v>0</v>
      </c>
      <c r="CY273" s="10">
        <v>54</v>
      </c>
      <c r="DA273" s="6"/>
      <c r="DC273" s="6"/>
      <c r="DD273" s="6">
        <f t="shared" si="109"/>
        <v>586733</v>
      </c>
      <c r="DE273" s="6">
        <f t="shared" si="102"/>
        <v>241514</v>
      </c>
      <c r="DF273" s="8">
        <f t="shared" si="115"/>
        <v>828247</v>
      </c>
      <c r="DK273" s="6">
        <f t="shared" si="103"/>
        <v>59197</v>
      </c>
      <c r="DL273" s="6">
        <f t="shared" si="104"/>
        <v>133485</v>
      </c>
      <c r="DM273" s="6">
        <f t="shared" si="68"/>
        <v>10974</v>
      </c>
      <c r="DN273" s="6">
        <f t="shared" si="69"/>
        <v>38539</v>
      </c>
      <c r="DO273" s="6">
        <f t="shared" si="110"/>
        <v>428020</v>
      </c>
      <c r="DP273" s="6">
        <f t="shared" si="108"/>
        <v>80833</v>
      </c>
      <c r="DQ273" s="6"/>
      <c r="DR273" s="6">
        <f t="shared" si="111"/>
        <v>15880</v>
      </c>
      <c r="DS273" s="6">
        <f t="shared" si="112"/>
        <v>4947</v>
      </c>
      <c r="DT273" s="6">
        <f t="shared" si="113"/>
        <v>12199</v>
      </c>
      <c r="DU273" s="6"/>
      <c r="DV273" s="6"/>
      <c r="DW273" s="6">
        <f t="shared" si="114"/>
        <v>784074</v>
      </c>
      <c r="DY273" s="6">
        <f t="shared" si="105"/>
        <v>538871</v>
      </c>
      <c r="DZ273" s="6">
        <f t="shared" si="106"/>
        <v>54968</v>
      </c>
      <c r="EB273" s="6">
        <f t="shared" si="107"/>
        <v>883215</v>
      </c>
      <c r="EC273" s="6"/>
      <c r="ED273" s="6"/>
      <c r="EF273" s="6">
        <f t="shared" si="116"/>
        <v>536932</v>
      </c>
      <c r="EG273" s="6">
        <f t="shared" si="76"/>
        <v>235067</v>
      </c>
      <c r="EH273" s="6">
        <f t="shared" si="117"/>
        <v>771999</v>
      </c>
      <c r="EI273" s="36">
        <f t="shared" si="101"/>
        <v>1.0691724454684406E-2</v>
      </c>
      <c r="EJ273" s="36">
        <f t="shared" si="101"/>
        <v>3.3206851367328385E-3</v>
      </c>
      <c r="EM273" s="36"/>
      <c r="EN273" s="36"/>
      <c r="FE273" s="32"/>
      <c r="FF273" s="34"/>
      <c r="FG273" s="31"/>
    </row>
    <row r="274" spans="2:163">
      <c r="B274" s="9">
        <v>40299</v>
      </c>
      <c r="C274" s="10">
        <v>0</v>
      </c>
      <c r="D274" s="10">
        <v>0</v>
      </c>
      <c r="E274" s="10">
        <v>0</v>
      </c>
      <c r="F274" s="10">
        <v>0</v>
      </c>
      <c r="G274" s="10">
        <v>1204</v>
      </c>
      <c r="H274" s="10">
        <v>14090</v>
      </c>
      <c r="I274" s="10">
        <v>27089</v>
      </c>
      <c r="J274" s="10">
        <v>4294</v>
      </c>
      <c r="K274" s="10">
        <v>8278</v>
      </c>
      <c r="L274" s="10"/>
      <c r="M274" s="10">
        <v>27534</v>
      </c>
      <c r="N274" s="10">
        <v>1946</v>
      </c>
      <c r="O274" s="10"/>
      <c r="P274" s="10">
        <v>1572</v>
      </c>
      <c r="Q274" s="10">
        <v>11108</v>
      </c>
      <c r="R274" s="10">
        <v>371</v>
      </c>
      <c r="S274" s="10">
        <v>8605</v>
      </c>
      <c r="T274" s="10">
        <v>11024</v>
      </c>
      <c r="U274" s="10"/>
      <c r="V274" s="10"/>
      <c r="W274" s="10">
        <v>480</v>
      </c>
      <c r="X274" s="10">
        <v>7715</v>
      </c>
      <c r="Y274" s="10">
        <v>335</v>
      </c>
      <c r="Z274" s="10">
        <v>6</v>
      </c>
      <c r="AA274" s="159"/>
      <c r="AB274" s="10">
        <v>1</v>
      </c>
      <c r="AC274" s="10">
        <v>160</v>
      </c>
      <c r="AD274" s="10">
        <v>21</v>
      </c>
      <c r="AE274" s="10">
        <v>29</v>
      </c>
      <c r="AF274" s="10">
        <v>42</v>
      </c>
      <c r="AG274" s="10">
        <v>91</v>
      </c>
      <c r="AH274" s="10"/>
      <c r="AI274" s="10"/>
      <c r="AJ274" s="10">
        <v>6</v>
      </c>
      <c r="AK274" s="10">
        <v>9885</v>
      </c>
      <c r="AL274" s="10">
        <v>104392</v>
      </c>
      <c r="AM274" s="10">
        <v>3082</v>
      </c>
      <c r="AN274" s="10">
        <v>18389</v>
      </c>
      <c r="AO274" s="10">
        <v>20</v>
      </c>
      <c r="AP274" s="10">
        <v>4</v>
      </c>
      <c r="AQ274" s="10">
        <v>7562</v>
      </c>
      <c r="AR274" s="10">
        <v>0</v>
      </c>
      <c r="AS274" s="10">
        <v>2734</v>
      </c>
      <c r="AT274" s="10">
        <v>24</v>
      </c>
      <c r="AU274" s="10">
        <v>5834</v>
      </c>
      <c r="AV274" s="10">
        <v>2318</v>
      </c>
      <c r="AW274" s="10">
        <v>4287</v>
      </c>
      <c r="AX274" s="10">
        <v>13181</v>
      </c>
      <c r="AY274" s="159"/>
      <c r="AZ274" s="159"/>
      <c r="BA274" s="159">
        <v>674</v>
      </c>
      <c r="BB274" s="159"/>
      <c r="BC274" s="10">
        <v>354</v>
      </c>
      <c r="BD274" s="10"/>
      <c r="BE274" s="10">
        <v>0</v>
      </c>
      <c r="BF274" s="10">
        <v>0</v>
      </c>
      <c r="BG274" s="10">
        <v>1176</v>
      </c>
      <c r="BH274" s="10">
        <v>0</v>
      </c>
      <c r="BI274" s="10">
        <v>0</v>
      </c>
      <c r="BJ274" s="10">
        <v>8093</v>
      </c>
      <c r="BK274" s="10">
        <v>28</v>
      </c>
      <c r="BL274" s="10">
        <v>2905</v>
      </c>
      <c r="BM274" s="10"/>
      <c r="BN274" s="10">
        <v>420</v>
      </c>
      <c r="BO274" s="10">
        <v>48</v>
      </c>
      <c r="BP274" s="10">
        <v>5106</v>
      </c>
      <c r="BQ274" s="10">
        <v>73528</v>
      </c>
      <c r="BR274" s="10">
        <v>431</v>
      </c>
      <c r="BS274" s="10">
        <v>158</v>
      </c>
      <c r="BT274" s="10">
        <v>7056</v>
      </c>
      <c r="BU274" s="10">
        <v>104</v>
      </c>
      <c r="BV274" s="10"/>
      <c r="BW274" s="10">
        <v>5</v>
      </c>
      <c r="BX274" s="10">
        <v>55</v>
      </c>
      <c r="BY274" s="10"/>
      <c r="BZ274" s="10">
        <v>3</v>
      </c>
      <c r="CA274" s="10">
        <v>0</v>
      </c>
      <c r="CB274" s="10">
        <v>23454</v>
      </c>
      <c r="CC274" s="10">
        <v>15818</v>
      </c>
      <c r="CD274" s="10">
        <v>150127</v>
      </c>
      <c r="CE274" s="10">
        <v>231054</v>
      </c>
      <c r="CF274" s="10">
        <v>25459</v>
      </c>
      <c r="CG274" s="10">
        <v>44943</v>
      </c>
      <c r="CH274" s="10">
        <v>0</v>
      </c>
      <c r="CI274" s="10">
        <v>1</v>
      </c>
      <c r="CJ274" s="10">
        <v>6</v>
      </c>
      <c r="CK274" s="10">
        <v>26</v>
      </c>
      <c r="CL274" s="10"/>
      <c r="CM274" s="10"/>
      <c r="CN274" s="10"/>
      <c r="CO274" s="10"/>
      <c r="CP274" s="10"/>
      <c r="CQ274" s="10"/>
      <c r="CR274" s="10"/>
      <c r="CS274" s="10"/>
      <c r="CT274" s="10">
        <v>0</v>
      </c>
      <c r="CU274" s="10">
        <v>0</v>
      </c>
      <c r="CV274" s="10">
        <v>0</v>
      </c>
      <c r="CW274" s="10">
        <v>22</v>
      </c>
      <c r="CX274" s="10">
        <v>0</v>
      </c>
      <c r="CY274" s="10">
        <v>54</v>
      </c>
      <c r="DA274" s="6"/>
      <c r="DC274" s="6"/>
      <c r="DD274" s="6">
        <f t="shared" si="109"/>
        <v>590004</v>
      </c>
      <c r="DE274" s="6">
        <f t="shared" si="102"/>
        <v>243112</v>
      </c>
      <c r="DF274" s="8">
        <f t="shared" si="115"/>
        <v>833116</v>
      </c>
      <c r="DK274" s="6">
        <f t="shared" si="103"/>
        <v>59331</v>
      </c>
      <c r="DL274" s="6">
        <f t="shared" si="104"/>
        <v>134204</v>
      </c>
      <c r="DM274" s="6">
        <f t="shared" si="68"/>
        <v>11024</v>
      </c>
      <c r="DN274" s="6">
        <f t="shared" si="69"/>
        <v>39227</v>
      </c>
      <c r="DO274" s="6">
        <f t="shared" si="110"/>
        <v>430903</v>
      </c>
      <c r="DP274" s="6">
        <f t="shared" si="108"/>
        <v>81004</v>
      </c>
      <c r="DQ274" s="6"/>
      <c r="DR274" s="6">
        <f t="shared" si="111"/>
        <v>15819</v>
      </c>
      <c r="DS274" s="6">
        <f t="shared" si="112"/>
        <v>5106</v>
      </c>
      <c r="DT274" s="6">
        <f t="shared" si="113"/>
        <v>12229</v>
      </c>
      <c r="DU274" s="6"/>
      <c r="DV274" s="6"/>
      <c r="DW274" s="6">
        <f t="shared" si="114"/>
        <v>788847</v>
      </c>
      <c r="DY274" s="6">
        <f t="shared" si="105"/>
        <v>541826</v>
      </c>
      <c r="DZ274" s="6">
        <f t="shared" si="106"/>
        <v>54955</v>
      </c>
      <c r="EB274" s="6">
        <f t="shared" si="107"/>
        <v>888071</v>
      </c>
      <c r="EC274" s="6"/>
      <c r="ED274" s="6"/>
      <c r="EF274" s="6">
        <f t="shared" si="116"/>
        <v>539955</v>
      </c>
      <c r="EG274" s="6">
        <f t="shared" si="76"/>
        <v>236224</v>
      </c>
      <c r="EH274" s="6">
        <f t="shared" si="117"/>
        <v>776179</v>
      </c>
      <c r="EI274" s="36">
        <f t="shared" si="101"/>
        <v>5.6301356596366019E-3</v>
      </c>
      <c r="EJ274" s="36">
        <f t="shared" si="101"/>
        <v>4.9220009614280181E-3</v>
      </c>
      <c r="EM274" s="36"/>
      <c r="EN274" s="36"/>
      <c r="FE274" s="32"/>
      <c r="FF274" s="34"/>
      <c r="FG274" s="31"/>
    </row>
    <row r="275" spans="2:163">
      <c r="B275" s="9">
        <v>40330</v>
      </c>
      <c r="C275" s="10">
        <v>0</v>
      </c>
      <c r="D275" s="10">
        <v>0</v>
      </c>
      <c r="E275" s="10">
        <v>0</v>
      </c>
      <c r="F275" s="10">
        <v>0</v>
      </c>
      <c r="G275" s="10">
        <v>1231</v>
      </c>
      <c r="H275" s="10">
        <v>14105</v>
      </c>
      <c r="I275" s="10">
        <v>27126</v>
      </c>
      <c r="J275" s="10">
        <v>4309</v>
      </c>
      <c r="K275" s="10">
        <v>8330</v>
      </c>
      <c r="L275" s="10"/>
      <c r="M275" s="10">
        <v>27491</v>
      </c>
      <c r="N275" s="10">
        <v>1939</v>
      </c>
      <c r="O275" s="10"/>
      <c r="P275" s="10">
        <v>1600</v>
      </c>
      <c r="Q275" s="10">
        <v>11196</v>
      </c>
      <c r="R275" s="10">
        <v>369</v>
      </c>
      <c r="S275" s="10">
        <v>8640</v>
      </c>
      <c r="T275" s="10">
        <v>11063</v>
      </c>
      <c r="U275" s="10"/>
      <c r="V275" s="10"/>
      <c r="W275" s="10">
        <v>478</v>
      </c>
      <c r="X275" s="10">
        <v>7759</v>
      </c>
      <c r="Y275" s="10">
        <v>334</v>
      </c>
      <c r="Z275" s="10">
        <v>5</v>
      </c>
      <c r="AA275" s="159"/>
      <c r="AB275" s="10">
        <v>2</v>
      </c>
      <c r="AC275" s="10">
        <v>162</v>
      </c>
      <c r="AD275" s="10">
        <v>25</v>
      </c>
      <c r="AE275" s="10">
        <v>30</v>
      </c>
      <c r="AF275" s="10">
        <v>43</v>
      </c>
      <c r="AG275" s="10">
        <v>90</v>
      </c>
      <c r="AH275" s="10"/>
      <c r="AI275" s="10"/>
      <c r="AJ275" s="10">
        <v>6</v>
      </c>
      <c r="AK275" s="10">
        <v>9940</v>
      </c>
      <c r="AL275" s="10">
        <v>104590</v>
      </c>
      <c r="AM275" s="10">
        <v>3089</v>
      </c>
      <c r="AN275" s="10">
        <v>18484</v>
      </c>
      <c r="AO275" s="10">
        <v>22</v>
      </c>
      <c r="AP275" s="10">
        <v>2</v>
      </c>
      <c r="AQ275" s="10">
        <v>7823</v>
      </c>
      <c r="AR275" s="10">
        <v>0</v>
      </c>
      <c r="AS275" s="10">
        <v>2795</v>
      </c>
      <c r="AT275" s="10">
        <v>25</v>
      </c>
      <c r="AU275" s="10">
        <v>5881</v>
      </c>
      <c r="AV275" s="10">
        <v>2332</v>
      </c>
      <c r="AW275" s="10">
        <v>4328</v>
      </c>
      <c r="AX275" s="10">
        <v>13248</v>
      </c>
      <c r="AY275" s="159"/>
      <c r="AZ275" s="159"/>
      <c r="BA275" s="159">
        <v>683</v>
      </c>
      <c r="BB275" s="159"/>
      <c r="BC275" s="10">
        <v>380</v>
      </c>
      <c r="BD275" s="10"/>
      <c r="BE275" s="10">
        <v>0</v>
      </c>
      <c r="BF275" s="10">
        <v>0</v>
      </c>
      <c r="BG275" s="10">
        <v>1176</v>
      </c>
      <c r="BH275" s="10">
        <v>0</v>
      </c>
      <c r="BI275" s="10">
        <v>0</v>
      </c>
      <c r="BJ275" s="10">
        <v>8101</v>
      </c>
      <c r="BK275" s="10">
        <v>29</v>
      </c>
      <c r="BL275" s="10">
        <v>2922</v>
      </c>
      <c r="BM275" s="10"/>
      <c r="BN275" s="10">
        <v>421</v>
      </c>
      <c r="BO275" s="10">
        <v>50</v>
      </c>
      <c r="BP275" s="10">
        <v>5276</v>
      </c>
      <c r="BQ275" s="10">
        <v>73778</v>
      </c>
      <c r="BR275" s="10">
        <v>446</v>
      </c>
      <c r="BS275" s="10">
        <v>152</v>
      </c>
      <c r="BT275" s="10">
        <v>7084</v>
      </c>
      <c r="BU275" s="10">
        <v>104</v>
      </c>
      <c r="BV275" s="10"/>
      <c r="BW275" s="10">
        <v>5</v>
      </c>
      <c r="BX275" s="10">
        <v>56</v>
      </c>
      <c r="BY275" s="10"/>
      <c r="BZ275" s="10">
        <v>3</v>
      </c>
      <c r="CA275" s="10">
        <v>0</v>
      </c>
      <c r="CB275" s="10">
        <v>23573</v>
      </c>
      <c r="CC275" s="10">
        <v>15549</v>
      </c>
      <c r="CD275" s="10">
        <v>150348</v>
      </c>
      <c r="CE275" s="10">
        <v>231858</v>
      </c>
      <c r="CF275" s="10">
        <v>25183</v>
      </c>
      <c r="CG275" s="10">
        <v>45107</v>
      </c>
      <c r="CH275" s="10">
        <v>0</v>
      </c>
      <c r="CI275" s="10">
        <v>1</v>
      </c>
      <c r="CJ275" s="10">
        <v>6</v>
      </c>
      <c r="CK275" s="10">
        <v>18</v>
      </c>
      <c r="CL275" s="10"/>
      <c r="CM275" s="10"/>
      <c r="CN275" s="10"/>
      <c r="CO275" s="10"/>
      <c r="CP275" s="10"/>
      <c r="CQ275" s="10"/>
      <c r="CR275" s="10"/>
      <c r="CS275" s="10"/>
      <c r="CT275" s="10">
        <v>0</v>
      </c>
      <c r="CU275" s="10">
        <v>0</v>
      </c>
      <c r="CV275" s="10">
        <v>0</v>
      </c>
      <c r="CW275" s="10">
        <v>22</v>
      </c>
      <c r="CX275" s="10">
        <v>0</v>
      </c>
      <c r="CY275" s="10">
        <v>54</v>
      </c>
      <c r="DA275" s="6"/>
      <c r="DC275" s="6"/>
      <c r="DD275" s="6">
        <f t="shared" si="109"/>
        <v>591246</v>
      </c>
      <c r="DE275" s="6">
        <f t="shared" si="102"/>
        <v>244171</v>
      </c>
      <c r="DF275" s="8">
        <f t="shared" si="115"/>
        <v>835417</v>
      </c>
      <c r="DK275" s="6">
        <f t="shared" si="103"/>
        <v>59472</v>
      </c>
      <c r="DL275" s="6">
        <f t="shared" si="104"/>
        <v>134672</v>
      </c>
      <c r="DM275" s="6">
        <f t="shared" si="68"/>
        <v>11063</v>
      </c>
      <c r="DN275" s="6">
        <f t="shared" si="69"/>
        <v>39647</v>
      </c>
      <c r="DO275" s="6">
        <f t="shared" si="110"/>
        <v>431775</v>
      </c>
      <c r="DP275" s="6">
        <f t="shared" si="108"/>
        <v>81283</v>
      </c>
      <c r="DQ275" s="6"/>
      <c r="DR275" s="6">
        <f t="shared" si="111"/>
        <v>15550</v>
      </c>
      <c r="DS275" s="6">
        <f t="shared" si="112"/>
        <v>5276</v>
      </c>
      <c r="DT275" s="6">
        <f t="shared" si="113"/>
        <v>12255</v>
      </c>
      <c r="DU275" s="6"/>
      <c r="DV275" s="6"/>
      <c r="DW275" s="6">
        <f t="shared" si="114"/>
        <v>790993</v>
      </c>
      <c r="DY275" s="6">
        <f t="shared" si="105"/>
        <v>543007</v>
      </c>
      <c r="DZ275" s="6">
        <f t="shared" si="106"/>
        <v>55101</v>
      </c>
      <c r="EB275" s="6">
        <f t="shared" si="107"/>
        <v>890518</v>
      </c>
      <c r="EC275" s="6"/>
      <c r="ED275" s="6"/>
      <c r="EF275" s="6">
        <f t="shared" si="116"/>
        <v>540863</v>
      </c>
      <c r="EG275" s="6">
        <f t="shared" si="76"/>
        <v>237031</v>
      </c>
      <c r="EH275" s="6">
        <f t="shared" si="117"/>
        <v>777894</v>
      </c>
      <c r="EI275" s="36">
        <f t="shared" si="101"/>
        <v>1.6816216166161994E-3</v>
      </c>
      <c r="EJ275" s="36">
        <f t="shared" si="101"/>
        <v>3.4162489840151721E-3</v>
      </c>
      <c r="EM275" s="104">
        <f>AVERAGE(EI264:EI275)</f>
        <v>9.1146785249407291E-3</v>
      </c>
      <c r="EN275" s="104">
        <f>AVERAGE(EJ264:EJ275)</f>
        <v>2.8612053370044668E-3</v>
      </c>
      <c r="FE275" s="32"/>
      <c r="FF275" s="34"/>
      <c r="FG275" s="31"/>
    </row>
    <row r="276" spans="2:163">
      <c r="B276" s="9">
        <v>40360</v>
      </c>
      <c r="C276" s="10">
        <v>0</v>
      </c>
      <c r="D276" s="10">
        <v>0</v>
      </c>
      <c r="E276" s="10">
        <v>0</v>
      </c>
      <c r="F276" s="10">
        <v>0</v>
      </c>
      <c r="G276" s="10">
        <v>1196</v>
      </c>
      <c r="H276" s="10">
        <v>14185</v>
      </c>
      <c r="I276" s="10">
        <v>27218</v>
      </c>
      <c r="J276" s="10">
        <v>4242</v>
      </c>
      <c r="K276" s="10">
        <v>8265</v>
      </c>
      <c r="L276" s="10"/>
      <c r="M276" s="10">
        <v>27441</v>
      </c>
      <c r="N276" s="10">
        <v>1900</v>
      </c>
      <c r="O276" s="10"/>
      <c r="P276" s="10">
        <v>1597</v>
      </c>
      <c r="Q276" s="10">
        <v>11265</v>
      </c>
      <c r="R276" s="10">
        <v>365</v>
      </c>
      <c r="S276" s="10">
        <v>8651</v>
      </c>
      <c r="T276" s="10">
        <v>11052</v>
      </c>
      <c r="U276" s="10"/>
      <c r="V276" s="10"/>
      <c r="W276" s="10">
        <v>468</v>
      </c>
      <c r="X276" s="10">
        <v>7789</v>
      </c>
      <c r="Y276" s="10">
        <v>330</v>
      </c>
      <c r="Z276" s="10">
        <v>5</v>
      </c>
      <c r="AA276" s="159"/>
      <c r="AB276" s="10">
        <v>3</v>
      </c>
      <c r="AC276" s="10">
        <v>164</v>
      </c>
      <c r="AD276" s="10">
        <v>25</v>
      </c>
      <c r="AE276" s="10">
        <v>30</v>
      </c>
      <c r="AF276" s="10">
        <v>44</v>
      </c>
      <c r="AG276" s="10">
        <v>90</v>
      </c>
      <c r="AH276" s="10"/>
      <c r="AI276" s="10"/>
      <c r="AJ276" s="10">
        <v>6</v>
      </c>
      <c r="AK276" s="10">
        <v>9949</v>
      </c>
      <c r="AL276" s="10">
        <v>104598</v>
      </c>
      <c r="AM276" s="10">
        <v>3074</v>
      </c>
      <c r="AN276" s="10">
        <v>18575</v>
      </c>
      <c r="AO276" s="10">
        <v>30</v>
      </c>
      <c r="AP276" s="10">
        <v>1</v>
      </c>
      <c r="AQ276" s="10">
        <v>8121</v>
      </c>
      <c r="AR276" s="10">
        <v>0</v>
      </c>
      <c r="AS276" s="10">
        <v>2716</v>
      </c>
      <c r="AT276" s="10">
        <v>25</v>
      </c>
      <c r="AU276" s="10">
        <v>5896</v>
      </c>
      <c r="AV276" s="10">
        <v>2335</v>
      </c>
      <c r="AW276" s="10">
        <v>4311</v>
      </c>
      <c r="AX276" s="10">
        <v>13334</v>
      </c>
      <c r="AY276" s="159"/>
      <c r="AZ276" s="159"/>
      <c r="BA276" s="159">
        <v>688</v>
      </c>
      <c r="BB276" s="159"/>
      <c r="BC276" s="10">
        <v>370</v>
      </c>
      <c r="BD276" s="10"/>
      <c r="BE276" s="10">
        <v>0</v>
      </c>
      <c r="BF276" s="10">
        <v>0</v>
      </c>
      <c r="BG276" s="10">
        <v>1177</v>
      </c>
      <c r="BH276" s="10">
        <v>0</v>
      </c>
      <c r="BI276" s="10">
        <v>0</v>
      </c>
      <c r="BJ276" s="10">
        <v>8108</v>
      </c>
      <c r="BK276" s="10">
        <v>31</v>
      </c>
      <c r="BL276" s="10">
        <v>2931</v>
      </c>
      <c r="BM276" s="10"/>
      <c r="BN276" s="10">
        <v>431</v>
      </c>
      <c r="BO276" s="10">
        <v>53</v>
      </c>
      <c r="BP276" s="10">
        <v>5370</v>
      </c>
      <c r="BQ276" s="10">
        <v>73157</v>
      </c>
      <c r="BR276" s="10">
        <v>474</v>
      </c>
      <c r="BS276" s="10">
        <v>149</v>
      </c>
      <c r="BT276" s="10">
        <v>6949</v>
      </c>
      <c r="BU276" s="10">
        <v>103</v>
      </c>
      <c r="BV276" s="10"/>
      <c r="BW276" s="10">
        <v>0</v>
      </c>
      <c r="BX276" s="10">
        <v>56</v>
      </c>
      <c r="BY276" s="10"/>
      <c r="BZ276" s="10">
        <v>3</v>
      </c>
      <c r="CA276" s="10">
        <v>0</v>
      </c>
      <c r="CB276" s="10">
        <v>23570</v>
      </c>
      <c r="CC276" s="10">
        <v>15227</v>
      </c>
      <c r="CD276" s="10">
        <v>149127</v>
      </c>
      <c r="CE276" s="10">
        <v>231454</v>
      </c>
      <c r="CF276" s="10">
        <v>24964</v>
      </c>
      <c r="CG276" s="10">
        <v>45021</v>
      </c>
      <c r="CH276" s="10">
        <v>0</v>
      </c>
      <c r="CI276" s="10">
        <v>1</v>
      </c>
      <c r="CJ276" s="10">
        <v>6</v>
      </c>
      <c r="CK276" s="10">
        <v>20</v>
      </c>
      <c r="CL276" s="10"/>
      <c r="CM276" s="10"/>
      <c r="CN276" s="10"/>
      <c r="CO276" s="10"/>
      <c r="CP276" s="10"/>
      <c r="CQ276" s="10"/>
      <c r="CR276" s="10"/>
      <c r="CS276" s="10"/>
      <c r="CT276" s="10">
        <v>0</v>
      </c>
      <c r="CU276" s="10">
        <v>0</v>
      </c>
      <c r="CV276" s="10">
        <v>0</v>
      </c>
      <c r="CW276" s="10">
        <v>22</v>
      </c>
      <c r="CX276" s="10">
        <v>0</v>
      </c>
      <c r="CY276" s="10">
        <v>54</v>
      </c>
      <c r="DA276" s="6"/>
      <c r="DC276" s="6"/>
      <c r="DD276" s="6">
        <f t="shared" ref="DD276:DD281" si="118">SUM(BE276:CK276)</f>
        <v>588382</v>
      </c>
      <c r="DE276" s="6">
        <f t="shared" si="102"/>
        <v>244560</v>
      </c>
      <c r="DF276" s="8">
        <f t="shared" si="115"/>
        <v>832942</v>
      </c>
      <c r="DK276" s="6">
        <f t="shared" si="103"/>
        <v>59476</v>
      </c>
      <c r="DL276" s="6">
        <f t="shared" si="104"/>
        <v>134599</v>
      </c>
      <c r="DM276" s="6">
        <f t="shared" si="68"/>
        <v>11052</v>
      </c>
      <c r="DN276" s="6">
        <f t="shared" si="69"/>
        <v>40121</v>
      </c>
      <c r="DO276" s="6">
        <f t="shared" ref="DO276:DO281" si="119">SUM(BF276,BI276,BK276,BO276,BR276:BS276,BU276:BW276,BZ276:CB276,CD276:CF276,CJ276:CK276)</f>
        <v>429954</v>
      </c>
      <c r="DP276" s="6">
        <f t="shared" si="108"/>
        <v>80537</v>
      </c>
      <c r="DQ276" s="6"/>
      <c r="DR276" s="6">
        <f t="shared" ref="DR276:DR281" si="120">CC276+CI276</f>
        <v>15228</v>
      </c>
      <c r="DS276" s="6">
        <f t="shared" ref="DS276:DS281" si="121">BP276</f>
        <v>5370</v>
      </c>
      <c r="DT276" s="6">
        <f t="shared" ref="DT276:DT281" si="122">BG276+BJ276+BL276+BX276</f>
        <v>12272</v>
      </c>
      <c r="DU276" s="6"/>
      <c r="DV276" s="6"/>
      <c r="DW276" s="6">
        <f t="shared" ref="DW276:DW281" si="123">SUM(DK276:DT276)</f>
        <v>788609</v>
      </c>
      <c r="DY276" s="6">
        <f t="shared" si="105"/>
        <v>541157</v>
      </c>
      <c r="DZ276" s="6">
        <f t="shared" si="106"/>
        <v>55106</v>
      </c>
      <c r="EB276" s="6">
        <f t="shared" si="107"/>
        <v>888048</v>
      </c>
      <c r="EC276" s="6"/>
      <c r="ED276" s="6"/>
      <c r="EF276" s="6">
        <f t="shared" si="116"/>
        <v>537991</v>
      </c>
      <c r="EG276" s="6">
        <f t="shared" si="76"/>
        <v>237127</v>
      </c>
      <c r="EH276" s="6">
        <f t="shared" si="117"/>
        <v>775118</v>
      </c>
      <c r="EI276" s="36">
        <f t="shared" si="101"/>
        <v>-5.3100323002312974E-3</v>
      </c>
      <c r="EJ276" s="36">
        <f t="shared" si="101"/>
        <v>4.0501031510646287E-4</v>
      </c>
      <c r="EM276" s="36"/>
      <c r="EN276" s="36"/>
      <c r="FE276" s="32"/>
      <c r="FF276" s="34"/>
      <c r="FG276" s="31"/>
    </row>
    <row r="277" spans="2:163">
      <c r="B277" s="9">
        <v>40391</v>
      </c>
      <c r="C277" s="10">
        <v>0</v>
      </c>
      <c r="D277" s="10">
        <v>0</v>
      </c>
      <c r="E277" s="10">
        <v>0</v>
      </c>
      <c r="F277" s="10">
        <v>0</v>
      </c>
      <c r="G277" s="10">
        <v>1196</v>
      </c>
      <c r="H277" s="10">
        <v>14319</v>
      </c>
      <c r="I277" s="10">
        <v>27338</v>
      </c>
      <c r="J277" s="10">
        <v>4261</v>
      </c>
      <c r="K277" s="10">
        <v>8196</v>
      </c>
      <c r="L277" s="10"/>
      <c r="M277" s="10">
        <v>27343</v>
      </c>
      <c r="N277" s="10">
        <v>1878</v>
      </c>
      <c r="O277" s="10"/>
      <c r="P277" s="10">
        <v>1618</v>
      </c>
      <c r="Q277" s="10">
        <v>11286</v>
      </c>
      <c r="R277" s="10">
        <v>362</v>
      </c>
      <c r="S277" s="10">
        <v>8634</v>
      </c>
      <c r="T277" s="10">
        <v>11107</v>
      </c>
      <c r="U277" s="10"/>
      <c r="V277" s="10"/>
      <c r="W277" s="10">
        <v>471</v>
      </c>
      <c r="X277" s="10">
        <v>7812</v>
      </c>
      <c r="Y277" s="10">
        <v>331</v>
      </c>
      <c r="Z277" s="10">
        <v>5</v>
      </c>
      <c r="AA277" s="159"/>
      <c r="AB277" s="10">
        <v>4</v>
      </c>
      <c r="AC277" s="10">
        <v>164</v>
      </c>
      <c r="AD277" s="10">
        <v>26</v>
      </c>
      <c r="AE277" s="10">
        <v>30</v>
      </c>
      <c r="AF277" s="10">
        <v>43</v>
      </c>
      <c r="AG277" s="10">
        <v>89</v>
      </c>
      <c r="AH277" s="10"/>
      <c r="AI277" s="10"/>
      <c r="AJ277" s="10">
        <v>7</v>
      </c>
      <c r="AK277" s="10">
        <v>10048</v>
      </c>
      <c r="AL277" s="10">
        <v>105342</v>
      </c>
      <c r="AM277" s="10">
        <v>3091</v>
      </c>
      <c r="AN277" s="10">
        <v>18748</v>
      </c>
      <c r="AO277" s="10">
        <v>31</v>
      </c>
      <c r="AP277" s="10">
        <v>1</v>
      </c>
      <c r="AQ277" s="10">
        <v>8376</v>
      </c>
      <c r="AR277" s="10">
        <v>0</v>
      </c>
      <c r="AS277" s="10">
        <v>2861</v>
      </c>
      <c r="AT277" s="10">
        <v>25</v>
      </c>
      <c r="AU277" s="10">
        <v>5935</v>
      </c>
      <c r="AV277" s="10">
        <v>2335</v>
      </c>
      <c r="AW277" s="10">
        <v>4322</v>
      </c>
      <c r="AX277" s="10">
        <v>13473</v>
      </c>
      <c r="AY277" s="159"/>
      <c r="AZ277" s="159"/>
      <c r="BA277" s="159">
        <v>686</v>
      </c>
      <c r="BB277" s="159"/>
      <c r="BC277" s="10">
        <v>377</v>
      </c>
      <c r="BD277" s="10"/>
      <c r="BE277" s="10">
        <v>0</v>
      </c>
      <c r="BF277" s="10">
        <v>0</v>
      </c>
      <c r="BG277" s="10">
        <v>1180</v>
      </c>
      <c r="BH277" s="10">
        <v>0</v>
      </c>
      <c r="BI277" s="10">
        <v>0</v>
      </c>
      <c r="BJ277" s="10">
        <v>8124</v>
      </c>
      <c r="BK277" s="10">
        <v>29</v>
      </c>
      <c r="BL277" s="10">
        <v>2899</v>
      </c>
      <c r="BM277" s="10"/>
      <c r="BN277" s="10">
        <v>429</v>
      </c>
      <c r="BO277" s="10">
        <v>53</v>
      </c>
      <c r="BP277" s="10">
        <v>5522</v>
      </c>
      <c r="BQ277" s="10">
        <v>74957</v>
      </c>
      <c r="BR277" s="10">
        <v>473</v>
      </c>
      <c r="BS277" s="10">
        <v>142</v>
      </c>
      <c r="BT277" s="10">
        <v>7156</v>
      </c>
      <c r="BU277" s="10">
        <v>103</v>
      </c>
      <c r="BV277" s="10"/>
      <c r="BW277" s="10">
        <v>0</v>
      </c>
      <c r="BX277" s="10">
        <v>53</v>
      </c>
      <c r="BY277" s="10"/>
      <c r="BZ277" s="10">
        <v>4</v>
      </c>
      <c r="CA277" s="10">
        <v>0</v>
      </c>
      <c r="CB277" s="10">
        <v>23870</v>
      </c>
      <c r="CC277" s="10">
        <v>15300</v>
      </c>
      <c r="CD277" s="10">
        <v>150104</v>
      </c>
      <c r="CE277" s="10">
        <v>233748</v>
      </c>
      <c r="CF277" s="10">
        <v>25084</v>
      </c>
      <c r="CG277" s="10">
        <v>45310</v>
      </c>
      <c r="CH277" s="10">
        <v>0</v>
      </c>
      <c r="CI277" s="10">
        <v>0</v>
      </c>
      <c r="CJ277" s="10">
        <v>6</v>
      </c>
      <c r="CK277" s="10">
        <v>25</v>
      </c>
      <c r="CL277" s="10"/>
      <c r="CM277" s="10"/>
      <c r="CN277" s="10"/>
      <c r="CO277" s="10"/>
      <c r="CP277" s="10"/>
      <c r="CQ277" s="10"/>
      <c r="CR277" s="10"/>
      <c r="CS277" s="10"/>
      <c r="CT277" s="10">
        <v>0</v>
      </c>
      <c r="CU277" s="10">
        <v>0</v>
      </c>
      <c r="CV277" s="10">
        <v>0</v>
      </c>
      <c r="CW277" s="10">
        <v>22</v>
      </c>
      <c r="CX277" s="10">
        <v>0</v>
      </c>
      <c r="CY277" s="10">
        <v>54</v>
      </c>
      <c r="DA277" s="6"/>
      <c r="DC277" s="6"/>
      <c r="DD277" s="6">
        <f t="shared" si="118"/>
        <v>594571</v>
      </c>
      <c r="DE277" s="6">
        <f t="shared" si="102"/>
        <v>246175</v>
      </c>
      <c r="DF277" s="8">
        <f t="shared" si="115"/>
        <v>840746</v>
      </c>
      <c r="DK277" s="6">
        <f t="shared" si="103"/>
        <v>59404</v>
      </c>
      <c r="DL277" s="6">
        <f t="shared" si="104"/>
        <v>135663</v>
      </c>
      <c r="DM277" s="6">
        <f t="shared" si="68"/>
        <v>11107</v>
      </c>
      <c r="DN277" s="6">
        <f t="shared" si="69"/>
        <v>40687</v>
      </c>
      <c r="DO277" s="6">
        <f t="shared" si="119"/>
        <v>433641</v>
      </c>
      <c r="DP277" s="6">
        <f t="shared" si="108"/>
        <v>82542</v>
      </c>
      <c r="DQ277" s="6"/>
      <c r="DR277" s="6">
        <f t="shared" si="120"/>
        <v>15300</v>
      </c>
      <c r="DS277" s="6">
        <f t="shared" si="121"/>
        <v>5522</v>
      </c>
      <c r="DT277" s="6">
        <f t="shared" si="122"/>
        <v>12256</v>
      </c>
      <c r="DU277" s="6"/>
      <c r="DV277" s="6"/>
      <c r="DW277" s="6">
        <f t="shared" si="123"/>
        <v>796122</v>
      </c>
      <c r="DY277" s="6">
        <f t="shared" si="105"/>
        <v>545321</v>
      </c>
      <c r="DZ277" s="6">
        <f t="shared" si="106"/>
        <v>55310</v>
      </c>
      <c r="EB277" s="6">
        <f t="shared" si="107"/>
        <v>896056</v>
      </c>
      <c r="EC277" s="6"/>
      <c r="ED277" s="6"/>
      <c r="EF277" s="6">
        <f t="shared" si="116"/>
        <v>543739</v>
      </c>
      <c r="EG277" s="6">
        <f t="shared" si="76"/>
        <v>238485</v>
      </c>
      <c r="EH277" s="6">
        <f t="shared" si="117"/>
        <v>782224</v>
      </c>
      <c r="EI277" s="36">
        <f t="shared" si="101"/>
        <v>1.0684193601751702E-2</v>
      </c>
      <c r="EJ277" s="36">
        <f t="shared" si="101"/>
        <v>5.7268889666718678E-3</v>
      </c>
      <c r="EM277" s="36"/>
      <c r="EN277" s="36"/>
      <c r="FE277" s="32"/>
      <c r="FF277" s="34"/>
      <c r="FG277" s="31"/>
    </row>
    <row r="278" spans="2:163">
      <c r="B278" s="9">
        <v>40422</v>
      </c>
      <c r="C278" s="10">
        <v>0</v>
      </c>
      <c r="D278" s="10">
        <v>0</v>
      </c>
      <c r="E278" s="10">
        <v>0</v>
      </c>
      <c r="F278" s="10">
        <v>0</v>
      </c>
      <c r="G278" s="10">
        <v>1257</v>
      </c>
      <c r="H278" s="10">
        <v>14594</v>
      </c>
      <c r="I278" s="10">
        <v>27768</v>
      </c>
      <c r="J278" s="10">
        <v>4322</v>
      </c>
      <c r="K278" s="10">
        <v>8228</v>
      </c>
      <c r="L278" s="10"/>
      <c r="M278" s="10">
        <v>27267</v>
      </c>
      <c r="N278" s="10">
        <v>1864</v>
      </c>
      <c r="O278" s="10"/>
      <c r="P278" s="10">
        <v>1623</v>
      </c>
      <c r="Q278" s="10">
        <v>11329</v>
      </c>
      <c r="R278" s="10">
        <v>358</v>
      </c>
      <c r="S278" s="10">
        <v>8616</v>
      </c>
      <c r="T278" s="10">
        <v>11099</v>
      </c>
      <c r="U278" s="10"/>
      <c r="V278" s="10"/>
      <c r="W278" s="10">
        <v>478</v>
      </c>
      <c r="X278" s="10">
        <v>7807</v>
      </c>
      <c r="Y278" s="10">
        <v>331</v>
      </c>
      <c r="Z278" s="10">
        <v>6</v>
      </c>
      <c r="AA278" s="159"/>
      <c r="AB278" s="10">
        <v>3</v>
      </c>
      <c r="AC278" s="10">
        <v>172</v>
      </c>
      <c r="AD278" s="10">
        <v>26</v>
      </c>
      <c r="AE278" s="10">
        <v>30</v>
      </c>
      <c r="AF278" s="10">
        <v>42</v>
      </c>
      <c r="AG278" s="10">
        <v>88</v>
      </c>
      <c r="AH278" s="10"/>
      <c r="AI278" s="10"/>
      <c r="AJ278" s="10">
        <v>7</v>
      </c>
      <c r="AK278" s="10">
        <v>10068</v>
      </c>
      <c r="AL278" s="10">
        <v>105797</v>
      </c>
      <c r="AM278" s="10">
        <v>3090</v>
      </c>
      <c r="AN278" s="10">
        <v>18804</v>
      </c>
      <c r="AO278" s="10">
        <v>24</v>
      </c>
      <c r="AP278" s="10">
        <v>2</v>
      </c>
      <c r="AQ278" s="10">
        <v>8628</v>
      </c>
      <c r="AR278" s="10">
        <v>0</v>
      </c>
      <c r="AS278" s="10">
        <v>2866</v>
      </c>
      <c r="AT278" s="10">
        <v>26</v>
      </c>
      <c r="AU278" s="10">
        <v>5999</v>
      </c>
      <c r="AV278" s="10">
        <v>2331</v>
      </c>
      <c r="AW278" s="10">
        <v>4329</v>
      </c>
      <c r="AX278" s="10">
        <v>13592</v>
      </c>
      <c r="AY278" s="159"/>
      <c r="AZ278" s="159"/>
      <c r="BA278" s="159">
        <v>677</v>
      </c>
      <c r="BB278" s="159"/>
      <c r="BC278" s="10">
        <v>357</v>
      </c>
      <c r="BD278" s="10"/>
      <c r="BE278" s="10">
        <v>0</v>
      </c>
      <c r="BF278" s="10">
        <v>0</v>
      </c>
      <c r="BG278" s="10">
        <v>1182</v>
      </c>
      <c r="BH278" s="10">
        <v>0</v>
      </c>
      <c r="BI278" s="10">
        <v>0</v>
      </c>
      <c r="BJ278" s="10">
        <v>8111</v>
      </c>
      <c r="BK278" s="10">
        <v>26</v>
      </c>
      <c r="BL278" s="10">
        <v>2882</v>
      </c>
      <c r="BM278" s="10"/>
      <c r="BN278" s="10">
        <v>439</v>
      </c>
      <c r="BO278" s="10">
        <v>53</v>
      </c>
      <c r="BP278" s="10">
        <v>5649</v>
      </c>
      <c r="BQ278" s="10">
        <v>75619</v>
      </c>
      <c r="BR278" s="10">
        <v>471</v>
      </c>
      <c r="BS278" s="10">
        <v>145</v>
      </c>
      <c r="BT278" s="10">
        <v>7206</v>
      </c>
      <c r="BU278" s="10">
        <v>102</v>
      </c>
      <c r="BV278" s="10"/>
      <c r="BW278" s="10">
        <v>0</v>
      </c>
      <c r="BX278" s="10">
        <v>50</v>
      </c>
      <c r="BY278" s="10"/>
      <c r="BZ278" s="10">
        <v>4</v>
      </c>
      <c r="CA278" s="10">
        <v>0</v>
      </c>
      <c r="CB278" s="10">
        <v>23997</v>
      </c>
      <c r="CC278" s="10">
        <v>14577</v>
      </c>
      <c r="CD278" s="10">
        <v>150500</v>
      </c>
      <c r="CE278" s="10">
        <v>234836</v>
      </c>
      <c r="CF278" s="10">
        <v>24876</v>
      </c>
      <c r="CG278" s="10">
        <v>45451</v>
      </c>
      <c r="CH278" s="10">
        <v>0</v>
      </c>
      <c r="CI278" s="10">
        <v>0</v>
      </c>
      <c r="CJ278" s="10">
        <v>6</v>
      </c>
      <c r="CK278" s="10">
        <v>24</v>
      </c>
      <c r="CL278" s="10"/>
      <c r="CM278" s="10"/>
      <c r="CN278" s="10"/>
      <c r="CO278" s="10"/>
      <c r="CP278" s="10"/>
      <c r="CQ278" s="10"/>
      <c r="CR278" s="10"/>
      <c r="CS278" s="10"/>
      <c r="CT278" s="10">
        <v>0</v>
      </c>
      <c r="CU278" s="10">
        <v>0</v>
      </c>
      <c r="CV278" s="10">
        <v>0</v>
      </c>
      <c r="CW278" s="10">
        <v>22</v>
      </c>
      <c r="CX278" s="10">
        <v>0</v>
      </c>
      <c r="CY278" s="10">
        <v>53</v>
      </c>
      <c r="DA278" s="6"/>
      <c r="DC278" s="6"/>
      <c r="DD278" s="6">
        <f t="shared" si="118"/>
        <v>596206</v>
      </c>
      <c r="DE278" s="6">
        <f t="shared" si="102"/>
        <v>247059</v>
      </c>
      <c r="DF278" s="8">
        <f t="shared" si="115"/>
        <v>843265</v>
      </c>
      <c r="DK278" s="6">
        <f t="shared" si="103"/>
        <v>59342</v>
      </c>
      <c r="DL278" s="6">
        <f t="shared" si="104"/>
        <v>136181</v>
      </c>
      <c r="DM278" s="6">
        <f t="shared" si="68"/>
        <v>11099</v>
      </c>
      <c r="DN278" s="6">
        <f t="shared" si="69"/>
        <v>41114</v>
      </c>
      <c r="DO278" s="6">
        <f t="shared" si="119"/>
        <v>435040</v>
      </c>
      <c r="DP278" s="6">
        <f t="shared" si="108"/>
        <v>83264</v>
      </c>
      <c r="DQ278" s="6"/>
      <c r="DR278" s="6">
        <f t="shared" si="120"/>
        <v>14577</v>
      </c>
      <c r="DS278" s="6">
        <f t="shared" si="121"/>
        <v>5649</v>
      </c>
      <c r="DT278" s="6">
        <f t="shared" si="122"/>
        <v>12225</v>
      </c>
      <c r="DU278" s="6"/>
      <c r="DV278" s="6"/>
      <c r="DW278" s="6">
        <f t="shared" si="123"/>
        <v>798491</v>
      </c>
      <c r="DY278" s="6">
        <f t="shared" si="105"/>
        <v>547628</v>
      </c>
      <c r="DZ278" s="6">
        <f t="shared" si="106"/>
        <v>56169</v>
      </c>
      <c r="EB278" s="6">
        <f t="shared" si="107"/>
        <v>899434</v>
      </c>
      <c r="EC278" s="6"/>
      <c r="ED278" s="6"/>
      <c r="EF278" s="6">
        <f t="shared" si="116"/>
        <v>545106</v>
      </c>
      <c r="EG278" s="6">
        <f t="shared" si="76"/>
        <v>239108</v>
      </c>
      <c r="EH278" s="6">
        <f t="shared" si="117"/>
        <v>784214</v>
      </c>
      <c r="EI278" s="36">
        <f t="shared" si="101"/>
        <v>2.5140738479307169E-3</v>
      </c>
      <c r="EJ278" s="36">
        <f t="shared" si="101"/>
        <v>2.6123236262238715E-3</v>
      </c>
      <c r="EM278" s="36"/>
      <c r="EN278" s="36"/>
      <c r="FE278" s="32"/>
      <c r="FF278" s="34"/>
      <c r="FG278" s="31"/>
    </row>
    <row r="279" spans="2:163">
      <c r="B279" s="9">
        <v>40452</v>
      </c>
      <c r="C279" s="10">
        <v>0</v>
      </c>
      <c r="D279" s="10">
        <v>0</v>
      </c>
      <c r="E279" s="10">
        <v>0</v>
      </c>
      <c r="F279" s="10">
        <v>0</v>
      </c>
      <c r="G279" s="10">
        <v>1264</v>
      </c>
      <c r="H279" s="10">
        <v>14679</v>
      </c>
      <c r="I279" s="10">
        <v>27972</v>
      </c>
      <c r="J279" s="10">
        <v>4373</v>
      </c>
      <c r="K279" s="10">
        <v>8201</v>
      </c>
      <c r="L279" s="10"/>
      <c r="M279" s="10">
        <v>27221</v>
      </c>
      <c r="N279" s="10">
        <v>1856</v>
      </c>
      <c r="O279" s="10"/>
      <c r="P279" s="10">
        <v>1648</v>
      </c>
      <c r="Q279" s="10">
        <v>11456</v>
      </c>
      <c r="R279" s="10">
        <v>361</v>
      </c>
      <c r="S279" s="10">
        <v>8644</v>
      </c>
      <c r="T279" s="10">
        <v>11067</v>
      </c>
      <c r="U279" s="10"/>
      <c r="V279" s="10"/>
      <c r="W279" s="10">
        <v>475</v>
      </c>
      <c r="X279" s="10">
        <v>7851</v>
      </c>
      <c r="Y279" s="10">
        <v>337</v>
      </c>
      <c r="Z279" s="10">
        <v>5</v>
      </c>
      <c r="AA279" s="159"/>
      <c r="AB279" s="10">
        <v>4</v>
      </c>
      <c r="AC279" s="10">
        <v>174</v>
      </c>
      <c r="AD279" s="10">
        <v>27</v>
      </c>
      <c r="AE279" s="10">
        <v>30</v>
      </c>
      <c r="AF279" s="10">
        <v>41</v>
      </c>
      <c r="AG279" s="10">
        <v>87</v>
      </c>
      <c r="AH279" s="10"/>
      <c r="AI279" s="10"/>
      <c r="AJ279" s="10">
        <v>6</v>
      </c>
      <c r="AK279" s="10">
        <v>10105</v>
      </c>
      <c r="AL279" s="10">
        <v>106472</v>
      </c>
      <c r="AM279" s="10">
        <v>3104</v>
      </c>
      <c r="AN279" s="10">
        <v>18902</v>
      </c>
      <c r="AO279" s="10">
        <v>26</v>
      </c>
      <c r="AP279" s="10">
        <v>4</v>
      </c>
      <c r="AQ279" s="10">
        <v>8863</v>
      </c>
      <c r="AR279" s="10">
        <v>0</v>
      </c>
      <c r="AS279" s="10">
        <v>2837</v>
      </c>
      <c r="AT279" s="10">
        <v>27</v>
      </c>
      <c r="AU279" s="10">
        <v>6084</v>
      </c>
      <c r="AV279" s="10">
        <v>2330</v>
      </c>
      <c r="AW279" s="10">
        <v>4355</v>
      </c>
      <c r="AX279" s="10">
        <v>13692</v>
      </c>
      <c r="AY279" s="159"/>
      <c r="AZ279" s="159"/>
      <c r="BA279" s="159">
        <v>690</v>
      </c>
      <c r="BB279" s="159"/>
      <c r="BC279" s="10">
        <v>353</v>
      </c>
      <c r="BD279" s="10"/>
      <c r="BE279" s="10">
        <v>0</v>
      </c>
      <c r="BF279" s="10">
        <v>0</v>
      </c>
      <c r="BG279" s="10">
        <v>1188</v>
      </c>
      <c r="BH279" s="10">
        <v>0</v>
      </c>
      <c r="BI279" s="10">
        <v>0</v>
      </c>
      <c r="BJ279" s="10">
        <v>8108</v>
      </c>
      <c r="BK279" s="10">
        <v>24</v>
      </c>
      <c r="BL279" s="10">
        <v>2874</v>
      </c>
      <c r="BM279" s="10"/>
      <c r="BN279" s="10">
        <v>458</v>
      </c>
      <c r="BO279" s="10">
        <v>52</v>
      </c>
      <c r="BP279" s="10">
        <v>5790</v>
      </c>
      <c r="BQ279" s="10">
        <v>76438</v>
      </c>
      <c r="BR279" s="10">
        <v>521</v>
      </c>
      <c r="BS279" s="10">
        <v>139</v>
      </c>
      <c r="BT279" s="10">
        <v>7250</v>
      </c>
      <c r="BU279" s="10">
        <v>94</v>
      </c>
      <c r="BV279" s="10"/>
      <c r="BW279" s="10">
        <v>0</v>
      </c>
      <c r="BX279" s="10">
        <v>49</v>
      </c>
      <c r="BY279" s="10"/>
      <c r="BZ279" s="10">
        <v>2</v>
      </c>
      <c r="CA279" s="10">
        <v>0</v>
      </c>
      <c r="CB279" s="10">
        <v>24198</v>
      </c>
      <c r="CC279" s="10">
        <v>14595</v>
      </c>
      <c r="CD279" s="10">
        <v>151182</v>
      </c>
      <c r="CE279" s="10">
        <v>235727</v>
      </c>
      <c r="CF279" s="10">
        <v>24826</v>
      </c>
      <c r="CG279" s="10">
        <v>46291</v>
      </c>
      <c r="CH279" s="10">
        <v>0</v>
      </c>
      <c r="CI279" s="10">
        <v>1</v>
      </c>
      <c r="CJ279" s="10">
        <v>6</v>
      </c>
      <c r="CK279" s="10">
        <v>17</v>
      </c>
      <c r="CL279" s="10"/>
      <c r="CM279" s="10"/>
      <c r="CN279" s="10"/>
      <c r="CO279" s="10"/>
      <c r="CP279" s="10"/>
      <c r="CQ279" s="10"/>
      <c r="CR279" s="10"/>
      <c r="CS279" s="10"/>
      <c r="CT279" s="10">
        <v>0</v>
      </c>
      <c r="CU279" s="10">
        <v>0</v>
      </c>
      <c r="CV279" s="10">
        <v>0</v>
      </c>
      <c r="CW279" s="10">
        <v>22</v>
      </c>
      <c r="CX279" s="10">
        <v>0</v>
      </c>
      <c r="CY279" s="10">
        <v>52</v>
      </c>
      <c r="DA279" s="6"/>
      <c r="DC279" s="6"/>
      <c r="DD279" s="6">
        <f t="shared" si="118"/>
        <v>599830</v>
      </c>
      <c r="DE279" s="6">
        <f t="shared" si="102"/>
        <v>248444</v>
      </c>
      <c r="DF279" s="8">
        <f t="shared" ref="DF279:DF286" si="124">SUM(DD279:DE279)</f>
        <v>848274</v>
      </c>
      <c r="DK279" s="6">
        <f t="shared" si="103"/>
        <v>59512</v>
      </c>
      <c r="DL279" s="6">
        <f t="shared" si="104"/>
        <v>137007</v>
      </c>
      <c r="DM279" s="6">
        <f t="shared" si="68"/>
        <v>11067</v>
      </c>
      <c r="DN279" s="6">
        <f t="shared" si="69"/>
        <v>41548</v>
      </c>
      <c r="DO279" s="6">
        <f t="shared" si="119"/>
        <v>436788</v>
      </c>
      <c r="DP279" s="6">
        <f t="shared" si="108"/>
        <v>84146</v>
      </c>
      <c r="DQ279" s="6"/>
      <c r="DR279" s="6">
        <f t="shared" si="120"/>
        <v>14596</v>
      </c>
      <c r="DS279" s="6">
        <f t="shared" si="121"/>
        <v>5790</v>
      </c>
      <c r="DT279" s="6">
        <f t="shared" si="122"/>
        <v>12219</v>
      </c>
      <c r="DU279" s="6"/>
      <c r="DV279" s="6"/>
      <c r="DW279" s="6">
        <f t="shared" si="123"/>
        <v>802673</v>
      </c>
      <c r="DY279" s="6">
        <f t="shared" si="105"/>
        <v>550523</v>
      </c>
      <c r="DZ279" s="6">
        <f t="shared" si="106"/>
        <v>56489</v>
      </c>
      <c r="EB279" s="6">
        <f t="shared" si="107"/>
        <v>904763</v>
      </c>
      <c r="EC279" s="6"/>
      <c r="ED279" s="6"/>
      <c r="EF279" s="6">
        <f t="shared" ref="EF279:EF286" si="125">SUM(BE279:CK279)-CG279-BP279</f>
        <v>547749</v>
      </c>
      <c r="EG279" s="6">
        <f t="shared" si="76"/>
        <v>240271</v>
      </c>
      <c r="EH279" s="6">
        <f t="shared" ref="EH279:EH286" si="126">SUM(EF279:EG279)</f>
        <v>788020</v>
      </c>
      <c r="EI279" s="36">
        <f t="shared" si="101"/>
        <v>4.8485982542844875E-3</v>
      </c>
      <c r="EJ279" s="36">
        <f t="shared" si="101"/>
        <v>4.8639108687287755E-3</v>
      </c>
      <c r="FE279" s="32"/>
      <c r="FF279" s="34"/>
      <c r="FG279" s="31"/>
    </row>
    <row r="280" spans="2:163">
      <c r="B280" s="9">
        <v>40483</v>
      </c>
      <c r="C280" s="10">
        <v>0</v>
      </c>
      <c r="D280" s="10">
        <v>0</v>
      </c>
      <c r="E280" s="10">
        <v>0</v>
      </c>
      <c r="F280" s="10">
        <v>0</v>
      </c>
      <c r="G280" s="10">
        <v>1289</v>
      </c>
      <c r="H280" s="10">
        <v>15093</v>
      </c>
      <c r="I280" s="10">
        <v>28414</v>
      </c>
      <c r="J280" s="10">
        <v>4547</v>
      </c>
      <c r="K280" s="10">
        <v>8378</v>
      </c>
      <c r="L280" s="10"/>
      <c r="M280" s="10">
        <v>27137</v>
      </c>
      <c r="N280" s="10">
        <v>1852</v>
      </c>
      <c r="O280" s="10"/>
      <c r="P280" s="10">
        <v>1654</v>
      </c>
      <c r="Q280" s="10">
        <v>11489</v>
      </c>
      <c r="R280" s="10">
        <v>356</v>
      </c>
      <c r="S280" s="10">
        <v>8619</v>
      </c>
      <c r="T280" s="10">
        <v>11130</v>
      </c>
      <c r="U280" s="10"/>
      <c r="V280" s="10"/>
      <c r="W280" s="10">
        <v>483</v>
      </c>
      <c r="X280" s="10">
        <v>7902</v>
      </c>
      <c r="Y280" s="10">
        <v>341</v>
      </c>
      <c r="Z280" s="10">
        <v>5</v>
      </c>
      <c r="AA280" s="159"/>
      <c r="AB280" s="10">
        <v>4</v>
      </c>
      <c r="AC280" s="10">
        <v>174</v>
      </c>
      <c r="AD280" s="10">
        <v>27</v>
      </c>
      <c r="AE280" s="10">
        <v>33</v>
      </c>
      <c r="AF280" s="10">
        <v>40</v>
      </c>
      <c r="AG280" s="10">
        <v>87</v>
      </c>
      <c r="AH280" s="10"/>
      <c r="AI280" s="10"/>
      <c r="AJ280" s="10">
        <v>6</v>
      </c>
      <c r="AK280" s="10">
        <v>10215</v>
      </c>
      <c r="AL280" s="10">
        <v>106756</v>
      </c>
      <c r="AM280" s="10">
        <v>3119</v>
      </c>
      <c r="AN280" s="10">
        <v>19039</v>
      </c>
      <c r="AO280" s="10">
        <v>24</v>
      </c>
      <c r="AP280" s="10">
        <v>2</v>
      </c>
      <c r="AQ280" s="10">
        <v>9049</v>
      </c>
      <c r="AR280" s="10">
        <v>0</v>
      </c>
      <c r="AS280" s="10">
        <v>2843</v>
      </c>
      <c r="AT280" s="10">
        <v>32</v>
      </c>
      <c r="AU280" s="10">
        <v>6093</v>
      </c>
      <c r="AV280" s="10">
        <v>2322</v>
      </c>
      <c r="AW280" s="10">
        <v>4370</v>
      </c>
      <c r="AX280" s="10">
        <v>13806</v>
      </c>
      <c r="AY280" s="159"/>
      <c r="AZ280" s="159"/>
      <c r="BA280" s="159">
        <v>692</v>
      </c>
      <c r="BB280" s="159"/>
      <c r="BC280" s="10">
        <v>347</v>
      </c>
      <c r="BD280" s="10"/>
      <c r="BE280" s="10">
        <v>0</v>
      </c>
      <c r="BF280" s="10">
        <v>0</v>
      </c>
      <c r="BG280" s="10">
        <v>1185</v>
      </c>
      <c r="BH280" s="10">
        <v>0</v>
      </c>
      <c r="BI280" s="10">
        <v>0</v>
      </c>
      <c r="BJ280" s="10">
        <v>8155</v>
      </c>
      <c r="BK280" s="10">
        <v>26</v>
      </c>
      <c r="BL280" s="10">
        <v>2827</v>
      </c>
      <c r="BM280" s="10"/>
      <c r="BN280" s="10">
        <v>472</v>
      </c>
      <c r="BO280" s="10">
        <v>55</v>
      </c>
      <c r="BP280" s="10">
        <v>5850</v>
      </c>
      <c r="BQ280" s="10">
        <v>76927</v>
      </c>
      <c r="BR280" s="10">
        <v>505</v>
      </c>
      <c r="BS280" s="10">
        <v>136</v>
      </c>
      <c r="BT280" s="10">
        <v>7267</v>
      </c>
      <c r="BU280" s="10">
        <v>92</v>
      </c>
      <c r="BV280" s="10"/>
      <c r="BW280" s="10">
        <v>0</v>
      </c>
      <c r="BX280" s="10">
        <v>47</v>
      </c>
      <c r="BY280" s="10"/>
      <c r="BZ280" s="10">
        <v>4</v>
      </c>
      <c r="CA280" s="10">
        <v>0</v>
      </c>
      <c r="CB280" s="10">
        <v>24337</v>
      </c>
      <c r="CC280" s="10">
        <v>14404</v>
      </c>
      <c r="CD280" s="10">
        <v>151671</v>
      </c>
      <c r="CE280" s="10">
        <v>237044</v>
      </c>
      <c r="CF280" s="10">
        <v>24879</v>
      </c>
      <c r="CG280" s="10">
        <v>47070</v>
      </c>
      <c r="CH280" s="10">
        <v>0</v>
      </c>
      <c r="CI280" s="10">
        <v>1</v>
      </c>
      <c r="CJ280" s="10">
        <v>6</v>
      </c>
      <c r="CK280" s="10">
        <v>17</v>
      </c>
      <c r="CL280" s="10"/>
      <c r="CM280" s="10"/>
      <c r="CN280" s="10"/>
      <c r="CO280" s="10"/>
      <c r="CP280" s="10"/>
      <c r="CQ280" s="10"/>
      <c r="CR280" s="10"/>
      <c r="CS280" s="10"/>
      <c r="CT280" s="10">
        <v>0</v>
      </c>
      <c r="CU280" s="10">
        <v>0</v>
      </c>
      <c r="CV280" s="10">
        <v>0</v>
      </c>
      <c r="CW280" s="10">
        <v>22</v>
      </c>
      <c r="CX280" s="10">
        <v>0</v>
      </c>
      <c r="CY280" s="10">
        <v>52</v>
      </c>
      <c r="DA280" s="6"/>
      <c r="DC280" s="6"/>
      <c r="DD280" s="6">
        <f t="shared" si="118"/>
        <v>602977</v>
      </c>
      <c r="DE280" s="6">
        <f t="shared" si="102"/>
        <v>249356</v>
      </c>
      <c r="DF280" s="8">
        <f t="shared" si="124"/>
        <v>852333</v>
      </c>
      <c r="DK280" s="6">
        <f t="shared" si="103"/>
        <v>59492</v>
      </c>
      <c r="DL280" s="6">
        <f t="shared" si="104"/>
        <v>137443</v>
      </c>
      <c r="DM280" s="6">
        <f t="shared" si="68"/>
        <v>11130</v>
      </c>
      <c r="DN280" s="6">
        <f t="shared" si="69"/>
        <v>41983</v>
      </c>
      <c r="DO280" s="6">
        <f t="shared" si="119"/>
        <v>438772</v>
      </c>
      <c r="DP280" s="6">
        <f t="shared" si="108"/>
        <v>84666</v>
      </c>
      <c r="DQ280" s="6"/>
      <c r="DR280" s="6">
        <f t="shared" si="120"/>
        <v>14405</v>
      </c>
      <c r="DS280" s="6">
        <f t="shared" si="121"/>
        <v>5850</v>
      </c>
      <c r="DT280" s="6">
        <f t="shared" si="122"/>
        <v>12214</v>
      </c>
      <c r="DU280" s="6"/>
      <c r="DV280" s="6"/>
      <c r="DW280" s="6">
        <f t="shared" si="123"/>
        <v>805955</v>
      </c>
      <c r="DY280" s="6">
        <f t="shared" si="105"/>
        <v>554488</v>
      </c>
      <c r="DZ280" s="6">
        <f t="shared" si="106"/>
        <v>57721</v>
      </c>
      <c r="EB280" s="6">
        <f t="shared" si="107"/>
        <v>910054</v>
      </c>
      <c r="EC280" s="6"/>
      <c r="ED280" s="6"/>
      <c r="EF280" s="6">
        <f t="shared" si="125"/>
        <v>550057</v>
      </c>
      <c r="EG280" s="6">
        <f t="shared" ref="EG280:EG311" si="127">SUM(M280:BC280)-AQ280</f>
        <v>240999</v>
      </c>
      <c r="EH280" s="6">
        <f t="shared" si="126"/>
        <v>791056</v>
      </c>
      <c r="EI280" s="36">
        <f t="shared" ref="EI280:EJ283" si="128">(EF280-EF279)/EF279</f>
        <v>4.2136087879667515E-3</v>
      </c>
      <c r="EJ280" s="36">
        <f t="shared" si="128"/>
        <v>3.0299120576349208E-3</v>
      </c>
      <c r="EM280" s="104"/>
      <c r="EN280" s="104"/>
      <c r="FE280" s="32"/>
      <c r="FF280" s="34"/>
      <c r="FG280" s="31"/>
    </row>
    <row r="281" spans="2:163">
      <c r="B281" s="9">
        <v>40513</v>
      </c>
      <c r="C281" s="10">
        <v>0</v>
      </c>
      <c r="D281" s="10">
        <v>0</v>
      </c>
      <c r="E281" s="10">
        <v>0</v>
      </c>
      <c r="F281" s="10">
        <v>0</v>
      </c>
      <c r="G281" s="10">
        <v>1292</v>
      </c>
      <c r="H281" s="10">
        <v>15308</v>
      </c>
      <c r="I281" s="10">
        <v>28878</v>
      </c>
      <c r="J281" s="10">
        <v>4622</v>
      </c>
      <c r="K281" s="10">
        <v>8500</v>
      </c>
      <c r="L281" s="10"/>
      <c r="M281" s="10">
        <v>27068</v>
      </c>
      <c r="N281" s="10">
        <v>1827</v>
      </c>
      <c r="O281" s="10"/>
      <c r="P281" s="10">
        <v>1644</v>
      </c>
      <c r="Q281" s="10">
        <v>11562</v>
      </c>
      <c r="R281" s="10">
        <v>354</v>
      </c>
      <c r="S281" s="10">
        <v>8611</v>
      </c>
      <c r="T281" s="10">
        <v>11158</v>
      </c>
      <c r="U281" s="10"/>
      <c r="V281" s="10"/>
      <c r="W281" s="10">
        <v>495</v>
      </c>
      <c r="X281" s="10">
        <v>7952</v>
      </c>
      <c r="Y281" s="10">
        <v>337</v>
      </c>
      <c r="Z281" s="10">
        <v>6</v>
      </c>
      <c r="AA281" s="159"/>
      <c r="AB281" s="10">
        <v>4</v>
      </c>
      <c r="AC281" s="10">
        <v>181</v>
      </c>
      <c r="AD281" s="10">
        <v>26</v>
      </c>
      <c r="AE281" s="10">
        <v>33</v>
      </c>
      <c r="AF281" s="10">
        <v>39</v>
      </c>
      <c r="AG281" s="10">
        <v>91</v>
      </c>
      <c r="AH281" s="10"/>
      <c r="AI281" s="10"/>
      <c r="AJ281" s="10">
        <v>7</v>
      </c>
      <c r="AK281" s="10">
        <v>10246</v>
      </c>
      <c r="AL281" s="10">
        <v>107220</v>
      </c>
      <c r="AM281" s="10">
        <v>3111</v>
      </c>
      <c r="AN281" s="10">
        <v>19233</v>
      </c>
      <c r="AO281" s="10">
        <v>24</v>
      </c>
      <c r="AP281" s="10">
        <v>3</v>
      </c>
      <c r="AQ281" s="10">
        <v>9213</v>
      </c>
      <c r="AR281" s="10">
        <v>0</v>
      </c>
      <c r="AS281" s="10">
        <v>2826</v>
      </c>
      <c r="AT281" s="10">
        <v>33</v>
      </c>
      <c r="AU281" s="10">
        <v>6169</v>
      </c>
      <c r="AV281" s="10">
        <v>2329</v>
      </c>
      <c r="AW281" s="10">
        <v>4368</v>
      </c>
      <c r="AX281" s="10">
        <v>13875</v>
      </c>
      <c r="AY281" s="159"/>
      <c r="AZ281" s="159"/>
      <c r="BA281" s="159">
        <v>720</v>
      </c>
      <c r="BB281" s="159"/>
      <c r="BC281" s="10">
        <v>338</v>
      </c>
      <c r="BD281" s="10"/>
      <c r="BE281" s="10">
        <v>0</v>
      </c>
      <c r="BF281" s="10">
        <v>0</v>
      </c>
      <c r="BG281" s="10">
        <v>1186</v>
      </c>
      <c r="BH281" s="10">
        <v>0</v>
      </c>
      <c r="BI281" s="10">
        <v>0</v>
      </c>
      <c r="BJ281" s="10">
        <v>8161</v>
      </c>
      <c r="BK281" s="10">
        <v>21</v>
      </c>
      <c r="BL281" s="10">
        <v>2785</v>
      </c>
      <c r="BM281" s="10"/>
      <c r="BN281" s="10">
        <v>500</v>
      </c>
      <c r="BO281" s="10">
        <v>48</v>
      </c>
      <c r="BP281" s="10">
        <v>5984</v>
      </c>
      <c r="BQ281" s="10">
        <v>76897</v>
      </c>
      <c r="BR281" s="10">
        <v>534</v>
      </c>
      <c r="BS281" s="10">
        <v>130</v>
      </c>
      <c r="BT281" s="10">
        <v>7267</v>
      </c>
      <c r="BU281" s="10">
        <v>92</v>
      </c>
      <c r="BV281" s="10"/>
      <c r="BW281" s="10">
        <v>0</v>
      </c>
      <c r="BX281" s="10">
        <v>51</v>
      </c>
      <c r="BY281" s="10"/>
      <c r="BZ281" s="10">
        <v>3</v>
      </c>
      <c r="CA281" s="10">
        <v>0</v>
      </c>
      <c r="CB281" s="10">
        <v>24471</v>
      </c>
      <c r="CC281" s="10">
        <v>14149</v>
      </c>
      <c r="CD281" s="10">
        <v>151925</v>
      </c>
      <c r="CE281" s="10">
        <v>238194</v>
      </c>
      <c r="CF281" s="10">
        <v>24677</v>
      </c>
      <c r="CG281" s="10">
        <v>47391</v>
      </c>
      <c r="CH281" s="10">
        <v>0</v>
      </c>
      <c r="CI281" s="10">
        <v>1</v>
      </c>
      <c r="CJ281" s="10">
        <v>7</v>
      </c>
      <c r="CK281" s="10">
        <v>18</v>
      </c>
      <c r="CL281" s="10"/>
      <c r="CM281" s="10"/>
      <c r="CN281" s="10"/>
      <c r="CO281" s="10"/>
      <c r="CP281" s="10"/>
      <c r="CQ281" s="10"/>
      <c r="CR281" s="10"/>
      <c r="CS281" s="10"/>
      <c r="CT281" s="10">
        <v>0</v>
      </c>
      <c r="CU281" s="10">
        <v>0</v>
      </c>
      <c r="CV281" s="10">
        <v>0</v>
      </c>
      <c r="CW281" s="10">
        <v>22</v>
      </c>
      <c r="CX281" s="10">
        <v>0</v>
      </c>
      <c r="CY281" s="10">
        <v>52</v>
      </c>
      <c r="DA281" s="6"/>
      <c r="DC281" s="6"/>
      <c r="DD281" s="6">
        <f t="shared" si="118"/>
        <v>604492</v>
      </c>
      <c r="DE281" s="6">
        <f t="shared" si="102"/>
        <v>250383</v>
      </c>
      <c r="DF281" s="8">
        <f t="shared" si="124"/>
        <v>854875</v>
      </c>
      <c r="DK281" s="6">
        <f t="shared" si="103"/>
        <v>59513</v>
      </c>
      <c r="DL281" s="6">
        <f t="shared" si="104"/>
        <v>138017</v>
      </c>
      <c r="DM281" s="6">
        <f t="shared" si="68"/>
        <v>11158</v>
      </c>
      <c r="DN281" s="6">
        <f t="shared" si="69"/>
        <v>42415</v>
      </c>
      <c r="DO281" s="6">
        <f t="shared" si="119"/>
        <v>440120</v>
      </c>
      <c r="DP281" s="6">
        <f t="shared" si="108"/>
        <v>84664</v>
      </c>
      <c r="DQ281" s="6"/>
      <c r="DR281" s="6">
        <f t="shared" si="120"/>
        <v>14150</v>
      </c>
      <c r="DS281" s="6">
        <f t="shared" si="121"/>
        <v>5984</v>
      </c>
      <c r="DT281" s="6">
        <f t="shared" si="122"/>
        <v>12183</v>
      </c>
      <c r="DU281" s="6"/>
      <c r="DV281" s="6"/>
      <c r="DW281" s="6">
        <f t="shared" si="123"/>
        <v>808204</v>
      </c>
      <c r="DY281" s="6">
        <f t="shared" si="105"/>
        <v>557002</v>
      </c>
      <c r="DZ281" s="6">
        <f t="shared" si="106"/>
        <v>58600</v>
      </c>
      <c r="EB281" s="6">
        <f t="shared" si="107"/>
        <v>913475</v>
      </c>
      <c r="EC281" s="6"/>
      <c r="ED281" s="6"/>
      <c r="EF281" s="6">
        <f t="shared" si="125"/>
        <v>551117</v>
      </c>
      <c r="EG281" s="6">
        <f t="shared" si="127"/>
        <v>241890</v>
      </c>
      <c r="EH281" s="6">
        <f t="shared" si="126"/>
        <v>793007</v>
      </c>
      <c r="EI281" s="36">
        <f t="shared" si="128"/>
        <v>1.927073012433257E-3</v>
      </c>
      <c r="EJ281" s="36">
        <f t="shared" si="128"/>
        <v>3.697110776393263E-3</v>
      </c>
      <c r="EM281" s="104">
        <f>AVERAGE(EI276:EI281)</f>
        <v>3.146252534022603E-3</v>
      </c>
      <c r="EN281" s="104">
        <f>AVERAGE(EJ276:EJ281)</f>
        <v>3.3891927684598605E-3</v>
      </c>
      <c r="FE281" s="32"/>
      <c r="FF281" s="34"/>
      <c r="FG281" s="31"/>
    </row>
    <row r="282" spans="2:163">
      <c r="B282" s="9">
        <v>40544</v>
      </c>
      <c r="C282" s="10">
        <v>0</v>
      </c>
      <c r="D282" s="10">
        <v>0</v>
      </c>
      <c r="E282" s="10">
        <v>0</v>
      </c>
      <c r="F282" s="10">
        <v>0</v>
      </c>
      <c r="G282" s="10">
        <v>1267</v>
      </c>
      <c r="H282" s="10">
        <v>15448</v>
      </c>
      <c r="I282" s="10">
        <v>28856</v>
      </c>
      <c r="J282" s="10">
        <v>4704</v>
      </c>
      <c r="K282" s="10">
        <v>8546</v>
      </c>
      <c r="L282" s="10"/>
      <c r="M282" s="10">
        <v>26921</v>
      </c>
      <c r="N282" s="10">
        <v>1821</v>
      </c>
      <c r="O282" s="10"/>
      <c r="P282" s="10">
        <v>1649</v>
      </c>
      <c r="Q282" s="10">
        <v>11560</v>
      </c>
      <c r="R282" s="10">
        <v>348</v>
      </c>
      <c r="S282" s="10">
        <v>8548</v>
      </c>
      <c r="T282" s="10">
        <v>11133</v>
      </c>
      <c r="U282" s="10"/>
      <c r="V282" s="10"/>
      <c r="W282" s="10">
        <v>490</v>
      </c>
      <c r="X282" s="10">
        <v>7960</v>
      </c>
      <c r="Y282" s="10">
        <v>342</v>
      </c>
      <c r="Z282" s="10">
        <v>6</v>
      </c>
      <c r="AA282" s="159"/>
      <c r="AB282" s="10">
        <v>5</v>
      </c>
      <c r="AC282" s="10">
        <v>184</v>
      </c>
      <c r="AD282" s="10">
        <v>27</v>
      </c>
      <c r="AE282" s="10">
        <v>33</v>
      </c>
      <c r="AF282" s="10">
        <v>39</v>
      </c>
      <c r="AG282" s="10">
        <v>88</v>
      </c>
      <c r="AH282" s="10"/>
      <c r="AI282" s="10"/>
      <c r="AJ282" s="10">
        <v>8</v>
      </c>
      <c r="AK282" s="10">
        <v>10258</v>
      </c>
      <c r="AL282" s="10">
        <v>107505</v>
      </c>
      <c r="AM282" s="10">
        <v>3130</v>
      </c>
      <c r="AN282" s="10">
        <v>19218</v>
      </c>
      <c r="AO282" s="10">
        <v>30</v>
      </c>
      <c r="AP282" s="10">
        <v>3</v>
      </c>
      <c r="AQ282" s="10">
        <v>0</v>
      </c>
      <c r="AR282" s="10">
        <v>0</v>
      </c>
      <c r="AS282" s="10">
        <v>2779</v>
      </c>
      <c r="AT282" s="10">
        <v>34</v>
      </c>
      <c r="AU282" s="10">
        <v>6196</v>
      </c>
      <c r="AV282" s="10">
        <v>2349</v>
      </c>
      <c r="AW282" s="10">
        <v>4394</v>
      </c>
      <c r="AX282" s="10">
        <v>13884</v>
      </c>
      <c r="AY282" s="159"/>
      <c r="AZ282" s="159"/>
      <c r="BA282" s="159">
        <v>721</v>
      </c>
      <c r="BB282" s="159"/>
      <c r="BC282" s="10">
        <v>326</v>
      </c>
      <c r="BD282" s="10"/>
      <c r="BE282" s="10">
        <v>0</v>
      </c>
      <c r="BF282" s="10">
        <v>0</v>
      </c>
      <c r="BG282" s="10">
        <v>1179</v>
      </c>
      <c r="BH282" s="10">
        <v>0</v>
      </c>
      <c r="BI282" s="10">
        <v>0</v>
      </c>
      <c r="BJ282" s="10">
        <v>8138</v>
      </c>
      <c r="BK282" s="10">
        <v>22</v>
      </c>
      <c r="BL282" s="10">
        <v>2748</v>
      </c>
      <c r="BM282" s="10"/>
      <c r="BN282" s="10">
        <v>492</v>
      </c>
      <c r="BO282" s="10">
        <v>50</v>
      </c>
      <c r="BP282" s="10">
        <v>6066</v>
      </c>
      <c r="BQ282" s="10">
        <v>76364</v>
      </c>
      <c r="BR282" s="10">
        <v>522</v>
      </c>
      <c r="BS282" s="10">
        <v>127</v>
      </c>
      <c r="BT282" s="10">
        <v>7313</v>
      </c>
      <c r="BU282" s="10">
        <v>77</v>
      </c>
      <c r="BV282" s="10"/>
      <c r="BW282" s="10">
        <v>0</v>
      </c>
      <c r="BX282" s="10">
        <v>51</v>
      </c>
      <c r="BY282" s="10"/>
      <c r="BZ282" s="10">
        <v>5</v>
      </c>
      <c r="CA282" s="10">
        <v>0</v>
      </c>
      <c r="CB282" s="10">
        <v>24214</v>
      </c>
      <c r="CC282" s="10">
        <v>13932</v>
      </c>
      <c r="CD282" s="10">
        <v>150953</v>
      </c>
      <c r="CE282" s="10">
        <v>237224</v>
      </c>
      <c r="CF282" s="10">
        <v>24467</v>
      </c>
      <c r="CG282" s="10">
        <v>47391</v>
      </c>
      <c r="CH282" s="10">
        <v>0</v>
      </c>
      <c r="CI282" s="10">
        <v>0</v>
      </c>
      <c r="CJ282" s="10">
        <v>7</v>
      </c>
      <c r="CK282" s="10">
        <v>17</v>
      </c>
      <c r="CL282" s="10"/>
      <c r="CM282" s="10"/>
      <c r="CN282" s="10"/>
      <c r="CO282" s="10"/>
      <c r="CP282" s="10"/>
      <c r="CQ282" s="10"/>
      <c r="CR282" s="10"/>
      <c r="CS282" s="10"/>
      <c r="CT282" s="10">
        <v>0</v>
      </c>
      <c r="CU282" s="10">
        <v>0</v>
      </c>
      <c r="CV282" s="10">
        <v>0</v>
      </c>
      <c r="CW282" s="10">
        <v>22</v>
      </c>
      <c r="CX282" s="10">
        <v>0</v>
      </c>
      <c r="CY282" s="10">
        <v>51</v>
      </c>
      <c r="DA282" s="6"/>
      <c r="DC282" s="6"/>
      <c r="DD282" s="6">
        <f t="shared" ref="DD282:DD287" si="129">SUM(BE282:CK282)</f>
        <v>601359</v>
      </c>
      <c r="DE282" s="6">
        <f t="shared" si="102"/>
        <v>241268</v>
      </c>
      <c r="DF282" s="8">
        <f t="shared" si="124"/>
        <v>842627</v>
      </c>
      <c r="DK282" s="6">
        <f t="shared" si="103"/>
        <v>59297</v>
      </c>
      <c r="DL282" s="6">
        <f t="shared" si="104"/>
        <v>138366</v>
      </c>
      <c r="DM282" s="6">
        <f t="shared" si="68"/>
        <v>11133</v>
      </c>
      <c r="DN282" s="6">
        <f t="shared" si="69"/>
        <v>33193</v>
      </c>
      <c r="DO282" s="6">
        <f t="shared" ref="DO282:DO287" si="130">SUM(BF282,BI282,BK282,BO282,BR282:BS282,BU282:BW282,BZ282:CB282,CD282:CF282,CJ282:CK282)</f>
        <v>437685</v>
      </c>
      <c r="DP282" s="6">
        <f t="shared" si="108"/>
        <v>84169</v>
      </c>
      <c r="DQ282" s="6"/>
      <c r="DR282" s="6">
        <f t="shared" ref="DR282:DR287" si="131">CC282+CI282</f>
        <v>13932</v>
      </c>
      <c r="DS282" s="6">
        <f t="shared" ref="DS282:DS287" si="132">BP282</f>
        <v>6066</v>
      </c>
      <c r="DT282" s="6">
        <f t="shared" ref="DT282:DT287" si="133">BG282+BJ282+BL282+BX282</f>
        <v>12116</v>
      </c>
      <c r="DU282" s="6"/>
      <c r="DV282" s="6"/>
      <c r="DW282" s="6">
        <f t="shared" ref="DW282:DW287" si="134">SUM(DK282:DT282)</f>
        <v>795957</v>
      </c>
      <c r="DY282" s="6">
        <f t="shared" si="105"/>
        <v>554746</v>
      </c>
      <c r="DZ282" s="6">
        <f t="shared" si="106"/>
        <v>58821</v>
      </c>
      <c r="EB282" s="6">
        <f t="shared" si="107"/>
        <v>901448</v>
      </c>
      <c r="EC282" s="6"/>
      <c r="ED282" s="6"/>
      <c r="EF282" s="6">
        <f t="shared" si="125"/>
        <v>547902</v>
      </c>
      <c r="EG282" s="6">
        <f t="shared" si="127"/>
        <v>241989</v>
      </c>
      <c r="EH282" s="6">
        <f t="shared" si="126"/>
        <v>789891</v>
      </c>
      <c r="EI282" s="36">
        <f t="shared" si="128"/>
        <v>-5.8336070199249889E-3</v>
      </c>
      <c r="EJ282" s="36">
        <f t="shared" si="128"/>
        <v>4.0927694406548429E-4</v>
      </c>
      <c r="EM282" s="104"/>
      <c r="EN282" s="104"/>
      <c r="FE282" s="32"/>
      <c r="FF282" s="34"/>
      <c r="FG282" s="31"/>
    </row>
    <row r="283" spans="2:163">
      <c r="B283" s="9">
        <v>40575</v>
      </c>
      <c r="C283" s="10">
        <v>0</v>
      </c>
      <c r="D283" s="10">
        <v>0</v>
      </c>
      <c r="E283" s="10">
        <v>0</v>
      </c>
      <c r="F283" s="10">
        <v>0</v>
      </c>
      <c r="G283" s="10">
        <v>1249</v>
      </c>
      <c r="H283" s="10">
        <v>15595</v>
      </c>
      <c r="I283" s="10">
        <v>28978</v>
      </c>
      <c r="J283" s="10">
        <v>4803</v>
      </c>
      <c r="K283" s="10">
        <v>8618</v>
      </c>
      <c r="L283" s="10"/>
      <c r="M283" s="10">
        <v>26834</v>
      </c>
      <c r="N283" s="10">
        <v>1790</v>
      </c>
      <c r="O283" s="10"/>
      <c r="P283" s="10">
        <v>1646</v>
      </c>
      <c r="Q283" s="10">
        <v>11587</v>
      </c>
      <c r="R283" s="10">
        <v>346</v>
      </c>
      <c r="S283" s="10">
        <v>8491</v>
      </c>
      <c r="T283" s="10">
        <v>11170</v>
      </c>
      <c r="U283" s="10"/>
      <c r="V283" s="10"/>
      <c r="W283" s="10">
        <v>492</v>
      </c>
      <c r="X283" s="10">
        <v>7991</v>
      </c>
      <c r="Y283" s="10">
        <v>340</v>
      </c>
      <c r="Z283" s="10">
        <v>6</v>
      </c>
      <c r="AA283" s="159"/>
      <c r="AB283" s="10">
        <v>5</v>
      </c>
      <c r="AC283" s="10">
        <v>178</v>
      </c>
      <c r="AD283" s="10">
        <v>28</v>
      </c>
      <c r="AE283" s="10">
        <v>33</v>
      </c>
      <c r="AF283" s="10">
        <v>39</v>
      </c>
      <c r="AG283" s="10">
        <v>85</v>
      </c>
      <c r="AH283" s="10"/>
      <c r="AI283" s="10"/>
      <c r="AJ283" s="10">
        <v>8</v>
      </c>
      <c r="AK283" s="10">
        <v>10331</v>
      </c>
      <c r="AL283" s="10">
        <v>107973</v>
      </c>
      <c r="AM283" s="10">
        <v>3134</v>
      </c>
      <c r="AN283" s="10">
        <v>19402</v>
      </c>
      <c r="AO283" s="10">
        <v>31</v>
      </c>
      <c r="AP283" s="10">
        <v>5</v>
      </c>
      <c r="AQ283" s="10">
        <v>6471</v>
      </c>
      <c r="AR283" s="10">
        <v>0</v>
      </c>
      <c r="AS283" s="10">
        <v>2772</v>
      </c>
      <c r="AT283" s="10">
        <v>34</v>
      </c>
      <c r="AU283" s="10">
        <v>6252</v>
      </c>
      <c r="AV283" s="10">
        <v>2359</v>
      </c>
      <c r="AW283" s="10">
        <v>4426</v>
      </c>
      <c r="AX283" s="10">
        <v>14045</v>
      </c>
      <c r="AY283" s="159"/>
      <c r="AZ283" s="159"/>
      <c r="BA283" s="159">
        <v>732</v>
      </c>
      <c r="BB283" s="159"/>
      <c r="BC283" s="10">
        <v>330</v>
      </c>
      <c r="BD283" s="10"/>
      <c r="BE283" s="10">
        <v>0</v>
      </c>
      <c r="BF283" s="10">
        <v>0</v>
      </c>
      <c r="BG283" s="10">
        <v>1193</v>
      </c>
      <c r="BH283" s="10">
        <v>0</v>
      </c>
      <c r="BI283" s="10">
        <v>0</v>
      </c>
      <c r="BJ283" s="10">
        <v>8135</v>
      </c>
      <c r="BK283" s="10">
        <v>21</v>
      </c>
      <c r="BL283" s="10">
        <v>2732</v>
      </c>
      <c r="BM283" s="10"/>
      <c r="BN283" s="10">
        <v>454</v>
      </c>
      <c r="BO283" s="10">
        <v>50</v>
      </c>
      <c r="BP283" s="10">
        <v>6151</v>
      </c>
      <c r="BQ283" s="10">
        <v>77206</v>
      </c>
      <c r="BR283" s="10">
        <v>499</v>
      </c>
      <c r="BS283" s="10">
        <v>134</v>
      </c>
      <c r="BT283" s="10">
        <v>7394</v>
      </c>
      <c r="BU283" s="10">
        <v>67</v>
      </c>
      <c r="BV283" s="10"/>
      <c r="BW283" s="10">
        <v>0</v>
      </c>
      <c r="BX283" s="10">
        <v>51</v>
      </c>
      <c r="BY283" s="10"/>
      <c r="BZ283" s="10">
        <v>4</v>
      </c>
      <c r="CA283" s="10">
        <v>0</v>
      </c>
      <c r="CB283" s="10">
        <v>24059</v>
      </c>
      <c r="CC283" s="10">
        <v>14070</v>
      </c>
      <c r="CD283" s="10">
        <v>151972</v>
      </c>
      <c r="CE283" s="10">
        <v>238546</v>
      </c>
      <c r="CF283" s="10">
        <v>24584</v>
      </c>
      <c r="CG283" s="10">
        <v>47306</v>
      </c>
      <c r="CH283" s="10">
        <v>0</v>
      </c>
      <c r="CI283" s="10">
        <v>1</v>
      </c>
      <c r="CJ283" s="10">
        <v>5</v>
      </c>
      <c r="CK283" s="10">
        <v>21</v>
      </c>
      <c r="CL283" s="10"/>
      <c r="CM283" s="10"/>
      <c r="CN283" s="10"/>
      <c r="CO283" s="10"/>
      <c r="CP283" s="10"/>
      <c r="CQ283" s="10"/>
      <c r="CR283" s="10"/>
      <c r="CS283" s="10"/>
      <c r="CT283" s="10">
        <v>0</v>
      </c>
      <c r="CU283" s="10">
        <v>0</v>
      </c>
      <c r="CV283" s="10">
        <v>0</v>
      </c>
      <c r="CW283" s="10">
        <v>19</v>
      </c>
      <c r="CX283" s="10">
        <v>0</v>
      </c>
      <c r="CY283" s="10">
        <v>34</v>
      </c>
      <c r="DA283" s="6"/>
      <c r="DC283" s="6"/>
      <c r="DD283" s="6">
        <f t="shared" si="129"/>
        <v>604655</v>
      </c>
      <c r="DE283" s="6">
        <f t="shared" si="102"/>
        <v>248634</v>
      </c>
      <c r="DF283" s="8">
        <f t="shared" si="124"/>
        <v>853289</v>
      </c>
      <c r="DK283" s="6">
        <f t="shared" si="103"/>
        <v>59177</v>
      </c>
      <c r="DL283" s="6">
        <f t="shared" si="104"/>
        <v>139011</v>
      </c>
      <c r="DM283" s="6">
        <f t="shared" si="68"/>
        <v>11170</v>
      </c>
      <c r="DN283" s="6">
        <f t="shared" si="69"/>
        <v>40008</v>
      </c>
      <c r="DO283" s="6">
        <f t="shared" si="130"/>
        <v>439962</v>
      </c>
      <c r="DP283" s="6">
        <f t="shared" si="108"/>
        <v>85054</v>
      </c>
      <c r="DQ283" s="6"/>
      <c r="DR283" s="6">
        <f t="shared" si="131"/>
        <v>14071</v>
      </c>
      <c r="DS283" s="6">
        <f t="shared" si="132"/>
        <v>6151</v>
      </c>
      <c r="DT283" s="6">
        <f t="shared" si="133"/>
        <v>12111</v>
      </c>
      <c r="DU283" s="6"/>
      <c r="DV283" s="6"/>
      <c r="DW283" s="6">
        <f t="shared" si="134"/>
        <v>806715</v>
      </c>
      <c r="DY283" s="6">
        <f t="shared" si="105"/>
        <v>557373</v>
      </c>
      <c r="DZ283" s="6">
        <f t="shared" si="106"/>
        <v>59243</v>
      </c>
      <c r="EB283" s="6">
        <f t="shared" si="107"/>
        <v>912532</v>
      </c>
      <c r="EC283" s="6"/>
      <c r="ED283" s="6"/>
      <c r="EF283" s="6">
        <f t="shared" si="125"/>
        <v>551198</v>
      </c>
      <c r="EG283" s="6">
        <f t="shared" si="127"/>
        <v>242895</v>
      </c>
      <c r="EH283" s="6">
        <f t="shared" si="126"/>
        <v>794093</v>
      </c>
      <c r="EI283" s="36">
        <f t="shared" si="128"/>
        <v>6.0156743359213874E-3</v>
      </c>
      <c r="EJ283" s="36">
        <f t="shared" si="128"/>
        <v>3.7439718334304453E-3</v>
      </c>
      <c r="EM283" s="104"/>
      <c r="EN283" s="104"/>
      <c r="FE283" s="32"/>
      <c r="FF283" s="34"/>
      <c r="FG283" s="31"/>
    </row>
    <row r="284" spans="2:163">
      <c r="B284" s="9">
        <v>40603</v>
      </c>
      <c r="C284" s="10">
        <v>0</v>
      </c>
      <c r="D284" s="10">
        <v>0</v>
      </c>
      <c r="E284" s="10">
        <v>0</v>
      </c>
      <c r="F284" s="10">
        <v>0</v>
      </c>
      <c r="G284" s="10">
        <v>1259</v>
      </c>
      <c r="H284" s="10">
        <v>15741</v>
      </c>
      <c r="I284" s="10">
        <v>29164</v>
      </c>
      <c r="J284" s="10">
        <v>4825</v>
      </c>
      <c r="K284" s="10">
        <v>8552</v>
      </c>
      <c r="L284" s="10"/>
      <c r="M284" s="10">
        <v>26669</v>
      </c>
      <c r="N284" s="10">
        <v>1785</v>
      </c>
      <c r="O284" s="10"/>
      <c r="P284" s="10">
        <v>1614</v>
      </c>
      <c r="Q284" s="10">
        <v>11449</v>
      </c>
      <c r="R284" s="10">
        <v>339</v>
      </c>
      <c r="S284" s="10">
        <v>8426</v>
      </c>
      <c r="T284" s="10">
        <v>11187</v>
      </c>
      <c r="U284" s="10"/>
      <c r="V284" s="10"/>
      <c r="W284" s="10">
        <v>495</v>
      </c>
      <c r="X284" s="10">
        <v>8017</v>
      </c>
      <c r="Y284" s="10">
        <v>335</v>
      </c>
      <c r="Z284" s="10">
        <v>6</v>
      </c>
      <c r="AA284" s="159"/>
      <c r="AB284" s="10">
        <v>5</v>
      </c>
      <c r="AC284" s="10">
        <v>179</v>
      </c>
      <c r="AD284" s="10">
        <v>27</v>
      </c>
      <c r="AE284" s="10">
        <v>32</v>
      </c>
      <c r="AF284" s="10">
        <v>36</v>
      </c>
      <c r="AG284" s="10">
        <v>83</v>
      </c>
      <c r="AH284" s="10"/>
      <c r="AI284" s="10"/>
      <c r="AJ284" s="10">
        <v>7</v>
      </c>
      <c r="AK284" s="10">
        <v>10398</v>
      </c>
      <c r="AL284" s="10">
        <v>108065</v>
      </c>
      <c r="AM284" s="10">
        <v>3112</v>
      </c>
      <c r="AN284" s="10">
        <v>19596</v>
      </c>
      <c r="AO284" s="10">
        <v>32</v>
      </c>
      <c r="AP284" s="10">
        <v>3</v>
      </c>
      <c r="AQ284" s="10">
        <v>7826</v>
      </c>
      <c r="AR284" s="10">
        <v>0</v>
      </c>
      <c r="AS284" s="10">
        <v>2735</v>
      </c>
      <c r="AT284" s="10">
        <v>36</v>
      </c>
      <c r="AU284" s="10">
        <v>6231</v>
      </c>
      <c r="AV284" s="10">
        <v>2359</v>
      </c>
      <c r="AW284" s="10">
        <v>4442</v>
      </c>
      <c r="AX284" s="10">
        <v>14150</v>
      </c>
      <c r="AY284" s="159"/>
      <c r="AZ284" s="159"/>
      <c r="BA284" s="159">
        <v>737</v>
      </c>
      <c r="BB284" s="159"/>
      <c r="BC284" s="10">
        <v>314</v>
      </c>
      <c r="BD284" s="10"/>
      <c r="BE284" s="10">
        <v>0</v>
      </c>
      <c r="BF284" s="10">
        <v>0</v>
      </c>
      <c r="BG284" s="10">
        <v>1197</v>
      </c>
      <c r="BH284" s="10">
        <v>0</v>
      </c>
      <c r="BI284" s="10">
        <v>0</v>
      </c>
      <c r="BJ284" s="10">
        <v>8089</v>
      </c>
      <c r="BK284" s="10">
        <v>18</v>
      </c>
      <c r="BL284" s="10">
        <v>2688</v>
      </c>
      <c r="BM284" s="10"/>
      <c r="BN284" s="10">
        <v>457</v>
      </c>
      <c r="BO284" s="10">
        <v>50</v>
      </c>
      <c r="BP284" s="10">
        <v>6307</v>
      </c>
      <c r="BQ284" s="10">
        <v>76655</v>
      </c>
      <c r="BR284" s="10">
        <v>468</v>
      </c>
      <c r="BS284" s="10">
        <v>141</v>
      </c>
      <c r="BT284" s="10">
        <v>7203</v>
      </c>
      <c r="BU284" s="10">
        <v>64</v>
      </c>
      <c r="BV284" s="10"/>
      <c r="BW284" s="10">
        <v>0</v>
      </c>
      <c r="BX284" s="10">
        <v>53</v>
      </c>
      <c r="BY284" s="10"/>
      <c r="BZ284" s="10">
        <v>4</v>
      </c>
      <c r="CA284" s="10">
        <v>0</v>
      </c>
      <c r="CB284" s="10">
        <v>23641</v>
      </c>
      <c r="CC284" s="10">
        <v>14074</v>
      </c>
      <c r="CD284" s="10">
        <v>151532</v>
      </c>
      <c r="CE284" s="10">
        <v>237809</v>
      </c>
      <c r="CF284" s="10">
        <v>24481</v>
      </c>
      <c r="CG284" s="10">
        <v>46520</v>
      </c>
      <c r="CH284" s="10">
        <v>0</v>
      </c>
      <c r="CI284" s="10">
        <v>0</v>
      </c>
      <c r="CJ284" s="10">
        <v>5</v>
      </c>
      <c r="CK284" s="10">
        <v>25</v>
      </c>
      <c r="CL284" s="10"/>
      <c r="CM284" s="10"/>
      <c r="CN284" s="10"/>
      <c r="CO284" s="10"/>
      <c r="CP284" s="10"/>
      <c r="CQ284" s="10"/>
      <c r="CR284" s="10"/>
      <c r="CS284" s="10"/>
      <c r="CT284" s="10">
        <v>0</v>
      </c>
      <c r="CU284" s="10">
        <v>0</v>
      </c>
      <c r="CV284" s="10">
        <v>0</v>
      </c>
      <c r="CW284" s="10">
        <v>19</v>
      </c>
      <c r="CX284" s="10">
        <v>0</v>
      </c>
      <c r="CY284" s="10">
        <v>33</v>
      </c>
      <c r="DA284" s="6"/>
      <c r="DC284" s="6"/>
      <c r="DD284" s="6">
        <f t="shared" si="129"/>
        <v>601481</v>
      </c>
      <c r="DE284" s="6">
        <f t="shared" si="102"/>
        <v>249990</v>
      </c>
      <c r="DF284" s="8">
        <f t="shared" si="124"/>
        <v>851471</v>
      </c>
      <c r="DK284" s="6">
        <f t="shared" si="103"/>
        <v>58794</v>
      </c>
      <c r="DL284" s="6">
        <f t="shared" si="104"/>
        <v>139088</v>
      </c>
      <c r="DM284" s="6">
        <f t="shared" si="68"/>
        <v>11187</v>
      </c>
      <c r="DN284" s="6">
        <f t="shared" si="69"/>
        <v>41658</v>
      </c>
      <c r="DO284" s="6">
        <f t="shared" si="130"/>
        <v>438238</v>
      </c>
      <c r="DP284" s="6">
        <f t="shared" si="108"/>
        <v>84315</v>
      </c>
      <c r="DQ284" s="6"/>
      <c r="DR284" s="6">
        <f t="shared" si="131"/>
        <v>14074</v>
      </c>
      <c r="DS284" s="6">
        <f t="shared" si="132"/>
        <v>6307</v>
      </c>
      <c r="DT284" s="6">
        <f t="shared" si="133"/>
        <v>12027</v>
      </c>
      <c r="DU284" s="6"/>
      <c r="DV284" s="6"/>
      <c r="DW284" s="6">
        <f t="shared" si="134"/>
        <v>805688</v>
      </c>
      <c r="DY284" s="6">
        <f t="shared" si="105"/>
        <v>555067</v>
      </c>
      <c r="DZ284" s="6">
        <f t="shared" si="106"/>
        <v>59541</v>
      </c>
      <c r="EB284" s="6">
        <f t="shared" si="107"/>
        <v>911012</v>
      </c>
      <c r="EC284" s="6"/>
      <c r="ED284" s="6"/>
      <c r="EF284" s="6">
        <f t="shared" si="125"/>
        <v>548654</v>
      </c>
      <c r="EG284" s="6">
        <f t="shared" si="127"/>
        <v>242901</v>
      </c>
      <c r="EH284" s="6">
        <f t="shared" si="126"/>
        <v>791555</v>
      </c>
      <c r="EI284" s="36">
        <f t="shared" ref="EI284:EJ286" si="135">(EF284-EF283)/EF283</f>
        <v>-4.6154013621239557E-3</v>
      </c>
      <c r="EJ284" s="36">
        <f t="shared" si="135"/>
        <v>2.470203174211079E-5</v>
      </c>
      <c r="EM284" s="104"/>
      <c r="EN284" s="104"/>
      <c r="FE284" s="32"/>
      <c r="FF284" s="34"/>
      <c r="FG284" s="31"/>
    </row>
    <row r="285" spans="2:163">
      <c r="B285" s="9">
        <v>40634</v>
      </c>
      <c r="C285" s="10">
        <v>0</v>
      </c>
      <c r="D285" s="10">
        <v>0</v>
      </c>
      <c r="E285" s="10">
        <v>0</v>
      </c>
      <c r="F285" s="10">
        <v>0</v>
      </c>
      <c r="G285" s="10">
        <v>1240</v>
      </c>
      <c r="H285" s="10">
        <v>16265</v>
      </c>
      <c r="I285" s="10">
        <v>30068</v>
      </c>
      <c r="J285" s="10">
        <v>5028</v>
      </c>
      <c r="K285" s="10">
        <v>8792</v>
      </c>
      <c r="L285" s="10"/>
      <c r="M285" s="10">
        <v>26556</v>
      </c>
      <c r="N285" s="10">
        <v>1764</v>
      </c>
      <c r="O285" s="10"/>
      <c r="P285" s="10">
        <v>1581</v>
      </c>
      <c r="Q285" s="10">
        <v>11597</v>
      </c>
      <c r="R285" s="10">
        <v>328</v>
      </c>
      <c r="S285" s="10">
        <v>8470</v>
      </c>
      <c r="T285" s="10">
        <v>11212</v>
      </c>
      <c r="U285" s="10"/>
      <c r="V285" s="10"/>
      <c r="W285" s="10">
        <v>447</v>
      </c>
      <c r="X285" s="10">
        <v>7912</v>
      </c>
      <c r="Y285" s="10">
        <v>331</v>
      </c>
      <c r="Z285" s="10">
        <v>11</v>
      </c>
      <c r="AA285" s="159"/>
      <c r="AB285" s="10">
        <v>7</v>
      </c>
      <c r="AC285" s="10">
        <v>188</v>
      </c>
      <c r="AD285" s="10">
        <v>29</v>
      </c>
      <c r="AE285" s="10">
        <v>33</v>
      </c>
      <c r="AF285" s="10">
        <v>37</v>
      </c>
      <c r="AG285" s="10">
        <v>80</v>
      </c>
      <c r="AH285" s="10"/>
      <c r="AI285" s="10"/>
      <c r="AJ285" s="10">
        <v>10</v>
      </c>
      <c r="AK285" s="10">
        <v>10486</v>
      </c>
      <c r="AL285" s="10">
        <v>108671</v>
      </c>
      <c r="AM285" s="10">
        <v>3137</v>
      </c>
      <c r="AN285" s="10">
        <v>19644</v>
      </c>
      <c r="AO285" s="10">
        <v>25</v>
      </c>
      <c r="AP285" s="10">
        <v>7</v>
      </c>
      <c r="AQ285" s="10">
        <v>8903</v>
      </c>
      <c r="AR285" s="10">
        <v>0</v>
      </c>
      <c r="AS285" s="10">
        <v>2877</v>
      </c>
      <c r="AT285" s="10">
        <v>43</v>
      </c>
      <c r="AU285" s="10">
        <v>6367</v>
      </c>
      <c r="AV285" s="10">
        <v>2343</v>
      </c>
      <c r="AW285" s="10">
        <v>4480</v>
      </c>
      <c r="AX285" s="10">
        <v>14374</v>
      </c>
      <c r="AY285" s="159"/>
      <c r="AZ285" s="159"/>
      <c r="BA285" s="159">
        <v>761</v>
      </c>
      <c r="BB285" s="159"/>
      <c r="BC285" s="10">
        <v>312</v>
      </c>
      <c r="BD285" s="10"/>
      <c r="BE285" s="10">
        <v>0</v>
      </c>
      <c r="BF285" s="10">
        <v>0</v>
      </c>
      <c r="BG285" s="10">
        <v>1233</v>
      </c>
      <c r="BH285" s="10">
        <v>0</v>
      </c>
      <c r="BI285" s="10">
        <v>0</v>
      </c>
      <c r="BJ285" s="10">
        <v>8150</v>
      </c>
      <c r="BK285" s="10">
        <v>17</v>
      </c>
      <c r="BL285" s="10">
        <v>2655</v>
      </c>
      <c r="BM285" s="10"/>
      <c r="BN285" s="10">
        <v>411</v>
      </c>
      <c r="BO285" s="10">
        <v>51</v>
      </c>
      <c r="BP285" s="10">
        <v>6906</v>
      </c>
      <c r="BQ285" s="10">
        <v>77359</v>
      </c>
      <c r="BR285" s="10">
        <v>444</v>
      </c>
      <c r="BS285" s="10">
        <v>132</v>
      </c>
      <c r="BT285" s="10">
        <v>7156</v>
      </c>
      <c r="BU285" s="10">
        <v>69</v>
      </c>
      <c r="BV285" s="10"/>
      <c r="BW285" s="10">
        <v>0</v>
      </c>
      <c r="BX285" s="10">
        <v>54</v>
      </c>
      <c r="BY285" s="10"/>
      <c r="BZ285" s="10">
        <v>7</v>
      </c>
      <c r="CA285" s="10">
        <v>0</v>
      </c>
      <c r="CB285" s="10">
        <v>23361</v>
      </c>
      <c r="CC285" s="10">
        <v>14696</v>
      </c>
      <c r="CD285" s="10">
        <v>153004</v>
      </c>
      <c r="CE285" s="10">
        <v>240293</v>
      </c>
      <c r="CF285" s="10">
        <v>24482</v>
      </c>
      <c r="CG285" s="10">
        <v>46329</v>
      </c>
      <c r="CH285" s="10">
        <v>0</v>
      </c>
      <c r="CI285" s="10">
        <v>1</v>
      </c>
      <c r="CJ285" s="10">
        <v>4</v>
      </c>
      <c r="CK285" s="10">
        <v>27</v>
      </c>
      <c r="CL285" s="10"/>
      <c r="CM285" s="10"/>
      <c r="CN285" s="10"/>
      <c r="CO285" s="10"/>
      <c r="CP285" s="10"/>
      <c r="CQ285" s="10"/>
      <c r="CR285" s="10"/>
      <c r="CS285" s="10"/>
      <c r="CT285" s="10">
        <v>0</v>
      </c>
      <c r="CU285" s="10">
        <v>0</v>
      </c>
      <c r="CV285" s="10">
        <v>0</v>
      </c>
      <c r="CW285" s="10">
        <v>19</v>
      </c>
      <c r="CX285" s="10">
        <v>0</v>
      </c>
      <c r="CY285" s="10">
        <v>33</v>
      </c>
      <c r="DA285" s="6"/>
      <c r="DC285" s="6"/>
      <c r="DD285" s="6">
        <f t="shared" si="129"/>
        <v>606841</v>
      </c>
      <c r="DE285" s="6">
        <f t="shared" si="102"/>
        <v>252262</v>
      </c>
      <c r="DF285" s="8">
        <f t="shared" si="124"/>
        <v>859103</v>
      </c>
      <c r="DK285" s="6">
        <f t="shared" si="103"/>
        <v>58655</v>
      </c>
      <c r="DL285" s="6">
        <f t="shared" si="104"/>
        <v>140148</v>
      </c>
      <c r="DM285" s="6">
        <f t="shared" si="68"/>
        <v>11212</v>
      </c>
      <c r="DN285" s="6">
        <f t="shared" si="69"/>
        <v>43008</v>
      </c>
      <c r="DO285" s="6">
        <f t="shared" si="130"/>
        <v>441891</v>
      </c>
      <c r="DP285" s="6">
        <f t="shared" si="108"/>
        <v>84926</v>
      </c>
      <c r="DQ285" s="6"/>
      <c r="DR285" s="6">
        <f t="shared" si="131"/>
        <v>14697</v>
      </c>
      <c r="DS285" s="6">
        <f t="shared" si="132"/>
        <v>6906</v>
      </c>
      <c r="DT285" s="6">
        <f t="shared" si="133"/>
        <v>12092</v>
      </c>
      <c r="DU285" s="6"/>
      <c r="DV285" s="6"/>
      <c r="DW285" s="6">
        <f t="shared" si="134"/>
        <v>813535</v>
      </c>
      <c r="DY285" s="6">
        <f t="shared" si="105"/>
        <v>560465</v>
      </c>
      <c r="DZ285" s="6">
        <f t="shared" si="106"/>
        <v>61393</v>
      </c>
      <c r="EB285" s="6">
        <f t="shared" si="107"/>
        <v>920496</v>
      </c>
      <c r="EC285" s="6"/>
      <c r="ED285" s="6"/>
      <c r="EF285" s="6">
        <f t="shared" si="125"/>
        <v>553606</v>
      </c>
      <c r="EG285" s="6">
        <f t="shared" si="127"/>
        <v>244120</v>
      </c>
      <c r="EH285" s="6">
        <f t="shared" si="126"/>
        <v>797726</v>
      </c>
      <c r="EI285" s="36">
        <f t="shared" si="135"/>
        <v>9.0257247737189558E-3</v>
      </c>
      <c r="EJ285" s="36">
        <f t="shared" si="135"/>
        <v>5.0185054816571364E-3</v>
      </c>
      <c r="EM285" s="104"/>
      <c r="EN285" s="104"/>
      <c r="FE285" s="32"/>
      <c r="FF285" s="34"/>
      <c r="FG285" s="31"/>
    </row>
    <row r="286" spans="2:163">
      <c r="B286" s="9">
        <v>40664</v>
      </c>
      <c r="C286" s="10">
        <v>0</v>
      </c>
      <c r="D286" s="10">
        <v>0</v>
      </c>
      <c r="E286" s="10">
        <v>0</v>
      </c>
      <c r="F286" s="10">
        <v>0</v>
      </c>
      <c r="G286" s="10">
        <v>1257</v>
      </c>
      <c r="H286" s="10">
        <v>16094</v>
      </c>
      <c r="I286" s="10">
        <v>29691</v>
      </c>
      <c r="J286" s="10">
        <v>4956</v>
      </c>
      <c r="K286" s="10">
        <v>8643</v>
      </c>
      <c r="L286" s="10"/>
      <c r="M286" s="10">
        <v>26607</v>
      </c>
      <c r="N286" s="10">
        <v>1785</v>
      </c>
      <c r="O286" s="10"/>
      <c r="P286" s="10">
        <v>1644</v>
      </c>
      <c r="Q286" s="10">
        <v>11496</v>
      </c>
      <c r="R286" s="10">
        <v>333</v>
      </c>
      <c r="S286" s="10">
        <v>8407</v>
      </c>
      <c r="T286" s="10">
        <v>11228</v>
      </c>
      <c r="U286" s="10"/>
      <c r="V286" s="10"/>
      <c r="W286" s="10">
        <v>487</v>
      </c>
      <c r="X286" s="10">
        <v>7994</v>
      </c>
      <c r="Y286" s="10">
        <v>332</v>
      </c>
      <c r="Z286" s="10">
        <v>7</v>
      </c>
      <c r="AA286" s="159"/>
      <c r="AB286" s="10">
        <v>5</v>
      </c>
      <c r="AC286" s="10">
        <v>185</v>
      </c>
      <c r="AD286" s="10">
        <v>29</v>
      </c>
      <c r="AE286" s="10">
        <v>33</v>
      </c>
      <c r="AF286" s="10">
        <v>36</v>
      </c>
      <c r="AG286" s="10">
        <v>84</v>
      </c>
      <c r="AH286" s="10"/>
      <c r="AI286" s="10"/>
      <c r="AJ286" s="10">
        <v>8</v>
      </c>
      <c r="AK286" s="10">
        <v>10517</v>
      </c>
      <c r="AL286" s="10">
        <v>108356</v>
      </c>
      <c r="AM286" s="10">
        <v>3112</v>
      </c>
      <c r="AN286" s="10">
        <v>19717</v>
      </c>
      <c r="AO286" s="10">
        <v>28</v>
      </c>
      <c r="AP286" s="10">
        <v>3</v>
      </c>
      <c r="AQ286" s="10">
        <v>8507</v>
      </c>
      <c r="AR286" s="10">
        <v>0</v>
      </c>
      <c r="AS286" s="10">
        <v>2867</v>
      </c>
      <c r="AT286" s="10">
        <v>37</v>
      </c>
      <c r="AU286" s="10">
        <v>6280</v>
      </c>
      <c r="AV286" s="10">
        <v>2359</v>
      </c>
      <c r="AW286" s="10">
        <v>4470</v>
      </c>
      <c r="AX286" s="10">
        <v>14320</v>
      </c>
      <c r="AY286" s="159"/>
      <c r="AZ286" s="159"/>
      <c r="BA286" s="159">
        <v>746</v>
      </c>
      <c r="BB286" s="159"/>
      <c r="BC286" s="10">
        <v>325</v>
      </c>
      <c r="BD286" s="10"/>
      <c r="BE286" s="10">
        <v>0</v>
      </c>
      <c r="BF286" s="10">
        <v>0</v>
      </c>
      <c r="BG286" s="10">
        <v>1204</v>
      </c>
      <c r="BH286" s="10">
        <v>0</v>
      </c>
      <c r="BI286" s="10">
        <v>0</v>
      </c>
      <c r="BJ286" s="10">
        <v>8124</v>
      </c>
      <c r="BK286" s="10">
        <v>16</v>
      </c>
      <c r="BL286" s="10">
        <v>2660</v>
      </c>
      <c r="BM286" s="10"/>
      <c r="BN286" s="10">
        <v>491</v>
      </c>
      <c r="BO286" s="10">
        <v>51</v>
      </c>
      <c r="BP286" s="10">
        <v>6633</v>
      </c>
      <c r="BQ286" s="10">
        <v>77534</v>
      </c>
      <c r="BR286" s="10">
        <v>468</v>
      </c>
      <c r="BS286" s="10">
        <v>138</v>
      </c>
      <c r="BT286" s="10">
        <v>7251</v>
      </c>
      <c r="BU286" s="10">
        <v>69</v>
      </c>
      <c r="BV286" s="10"/>
      <c r="BW286" s="10">
        <v>0</v>
      </c>
      <c r="BX286" s="10">
        <v>54</v>
      </c>
      <c r="BY286" s="10"/>
      <c r="BZ286" s="10">
        <v>7</v>
      </c>
      <c r="CA286" s="10">
        <v>0</v>
      </c>
      <c r="CB286" s="10">
        <v>23730</v>
      </c>
      <c r="CC286" s="10">
        <v>14464</v>
      </c>
      <c r="CD286" s="10">
        <v>152755</v>
      </c>
      <c r="CE286" s="10">
        <v>239890</v>
      </c>
      <c r="CF286" s="10">
        <v>24739</v>
      </c>
      <c r="CG286" s="10">
        <v>46567</v>
      </c>
      <c r="CH286" s="10">
        <v>0</v>
      </c>
      <c r="CI286" s="10">
        <v>1</v>
      </c>
      <c r="CJ286" s="10">
        <v>4</v>
      </c>
      <c r="CK286" s="10">
        <v>29</v>
      </c>
      <c r="CL286" s="10"/>
      <c r="CM286" s="10"/>
      <c r="CN286" s="10"/>
      <c r="CO286" s="10"/>
      <c r="CP286" s="10"/>
      <c r="CQ286" s="10"/>
      <c r="CR286" s="10"/>
      <c r="CS286" s="10"/>
      <c r="CT286" s="10">
        <v>0</v>
      </c>
      <c r="CU286" s="10">
        <v>0</v>
      </c>
      <c r="CV286" s="10">
        <v>0</v>
      </c>
      <c r="CW286" s="10">
        <v>19</v>
      </c>
      <c r="CX286" s="10">
        <v>0</v>
      </c>
      <c r="CY286" s="10">
        <v>33</v>
      </c>
      <c r="DA286" s="6"/>
      <c r="DC286" s="6"/>
      <c r="DD286" s="6">
        <f t="shared" si="129"/>
        <v>606879</v>
      </c>
      <c r="DE286" s="6">
        <f t="shared" si="102"/>
        <v>251598</v>
      </c>
      <c r="DF286" s="8">
        <f t="shared" si="124"/>
        <v>858477</v>
      </c>
      <c r="DK286" s="6">
        <f t="shared" si="103"/>
        <v>58753</v>
      </c>
      <c r="DL286" s="6">
        <f t="shared" si="104"/>
        <v>139732</v>
      </c>
      <c r="DM286" s="6">
        <f t="shared" si="68"/>
        <v>11228</v>
      </c>
      <c r="DN286" s="6">
        <f t="shared" si="69"/>
        <v>42631</v>
      </c>
      <c r="DO286" s="6">
        <f t="shared" si="130"/>
        <v>441896</v>
      </c>
      <c r="DP286" s="6">
        <f t="shared" si="108"/>
        <v>85276</v>
      </c>
      <c r="DQ286" s="6"/>
      <c r="DR286" s="6">
        <f t="shared" si="131"/>
        <v>14465</v>
      </c>
      <c r="DS286" s="6">
        <f t="shared" si="132"/>
        <v>6633</v>
      </c>
      <c r="DT286" s="6">
        <f t="shared" si="133"/>
        <v>12042</v>
      </c>
      <c r="DU286" s="6"/>
      <c r="DV286" s="6"/>
      <c r="DW286" s="6">
        <f t="shared" si="134"/>
        <v>812656</v>
      </c>
      <c r="DY286" s="6">
        <f t="shared" si="105"/>
        <v>559889</v>
      </c>
      <c r="DZ286" s="6">
        <f t="shared" si="106"/>
        <v>60641</v>
      </c>
      <c r="EB286" s="6">
        <f t="shared" si="107"/>
        <v>919118</v>
      </c>
      <c r="EC286" s="6"/>
      <c r="ED286" s="6"/>
      <c r="EF286" s="6">
        <f t="shared" si="125"/>
        <v>553679</v>
      </c>
      <c r="EG286" s="6">
        <f t="shared" si="127"/>
        <v>243837</v>
      </c>
      <c r="EH286" s="6">
        <f t="shared" si="126"/>
        <v>797516</v>
      </c>
      <c r="EI286" s="36">
        <f t="shared" si="135"/>
        <v>1.3186273270159645E-4</v>
      </c>
      <c r="EJ286" s="36">
        <f t="shared" si="135"/>
        <v>-1.1592659347861708E-3</v>
      </c>
      <c r="EM286" s="104"/>
      <c r="EN286" s="104"/>
      <c r="FE286" s="32"/>
      <c r="FF286" s="34"/>
      <c r="FG286" s="31"/>
    </row>
    <row r="287" spans="2:163" s="1" customFormat="1">
      <c r="B287" s="9">
        <v>40695</v>
      </c>
      <c r="C287" s="10">
        <v>0</v>
      </c>
      <c r="D287" s="10">
        <v>0</v>
      </c>
      <c r="E287" s="10">
        <v>0</v>
      </c>
      <c r="F287" s="10">
        <v>0</v>
      </c>
      <c r="G287" s="10">
        <v>1247</v>
      </c>
      <c r="H287" s="10">
        <v>16363</v>
      </c>
      <c r="I287" s="10">
        <v>30284</v>
      </c>
      <c r="J287" s="10">
        <v>5078</v>
      </c>
      <c r="K287" s="10">
        <v>8855</v>
      </c>
      <c r="L287" s="10"/>
      <c r="M287" s="10">
        <v>26571</v>
      </c>
      <c r="N287" s="10">
        <v>1765</v>
      </c>
      <c r="O287" s="10"/>
      <c r="P287" s="10">
        <v>1562</v>
      </c>
      <c r="Q287" s="10">
        <v>11622</v>
      </c>
      <c r="R287" s="10">
        <v>324</v>
      </c>
      <c r="S287" s="10">
        <v>8406</v>
      </c>
      <c r="T287" s="10">
        <v>11219</v>
      </c>
      <c r="U287" s="10"/>
      <c r="V287" s="10"/>
      <c r="W287" s="10">
        <v>431</v>
      </c>
      <c r="X287" s="10">
        <v>7895</v>
      </c>
      <c r="Y287" s="10">
        <v>329</v>
      </c>
      <c r="Z287" s="10">
        <v>9</v>
      </c>
      <c r="AA287" s="159"/>
      <c r="AB287" s="10">
        <v>9</v>
      </c>
      <c r="AC287" s="10">
        <v>195</v>
      </c>
      <c r="AD287" s="10">
        <v>28</v>
      </c>
      <c r="AE287" s="10">
        <v>33</v>
      </c>
      <c r="AF287" s="10">
        <v>35</v>
      </c>
      <c r="AG287" s="10">
        <v>82</v>
      </c>
      <c r="AH287" s="10"/>
      <c r="AI287" s="10"/>
      <c r="AJ287" s="10">
        <v>12</v>
      </c>
      <c r="AK287" s="10">
        <v>10508</v>
      </c>
      <c r="AL287" s="10">
        <v>109056</v>
      </c>
      <c r="AM287" s="10">
        <v>3124</v>
      </c>
      <c r="AN287" s="10">
        <v>19803</v>
      </c>
      <c r="AO287" s="10">
        <v>26</v>
      </c>
      <c r="AP287" s="10">
        <v>4</v>
      </c>
      <c r="AQ287" s="10">
        <v>9197</v>
      </c>
      <c r="AR287" s="10">
        <v>0</v>
      </c>
      <c r="AS287" s="10">
        <v>2890</v>
      </c>
      <c r="AT287" s="10">
        <v>42</v>
      </c>
      <c r="AU287" s="10">
        <v>6383</v>
      </c>
      <c r="AV287" s="10">
        <v>2323</v>
      </c>
      <c r="AW287" s="10">
        <v>4475</v>
      </c>
      <c r="AX287" s="10">
        <v>14488</v>
      </c>
      <c r="AY287" s="159"/>
      <c r="AZ287" s="159"/>
      <c r="BA287" s="159">
        <v>779</v>
      </c>
      <c r="BB287" s="159"/>
      <c r="BC287" s="10">
        <v>318</v>
      </c>
      <c r="BD287" s="10"/>
      <c r="BE287" s="10">
        <v>0</v>
      </c>
      <c r="BF287" s="10">
        <v>0</v>
      </c>
      <c r="BG287" s="10">
        <v>1243</v>
      </c>
      <c r="BH287" s="10">
        <v>0</v>
      </c>
      <c r="BI287" s="10">
        <v>0</v>
      </c>
      <c r="BJ287" s="10">
        <v>8168</v>
      </c>
      <c r="BK287" s="10">
        <v>22</v>
      </c>
      <c r="BL287" s="10">
        <v>2653</v>
      </c>
      <c r="BM287" s="10"/>
      <c r="BN287" s="10">
        <v>429</v>
      </c>
      <c r="BO287" s="10">
        <v>51</v>
      </c>
      <c r="BP287" s="10">
        <v>7221</v>
      </c>
      <c r="BQ287" s="10">
        <v>77567</v>
      </c>
      <c r="BR287" s="10">
        <v>427</v>
      </c>
      <c r="BS287" s="10">
        <v>124</v>
      </c>
      <c r="BT287" s="10">
        <v>7067</v>
      </c>
      <c r="BU287" s="10">
        <v>84</v>
      </c>
      <c r="BV287" s="10"/>
      <c r="BW287" s="10">
        <v>0</v>
      </c>
      <c r="BX287" s="10">
        <v>47</v>
      </c>
      <c r="BY287" s="10"/>
      <c r="BZ287" s="10">
        <v>5</v>
      </c>
      <c r="CA287" s="10">
        <v>0</v>
      </c>
      <c r="CB287" s="10">
        <v>23291</v>
      </c>
      <c r="CC287" s="10">
        <v>14829</v>
      </c>
      <c r="CD287" s="10">
        <v>153246</v>
      </c>
      <c r="CE287" s="10">
        <v>240984</v>
      </c>
      <c r="CF287" s="10">
        <v>24195</v>
      </c>
      <c r="CG287" s="10">
        <v>46590</v>
      </c>
      <c r="CH287" s="10">
        <v>0</v>
      </c>
      <c r="CI287" s="10">
        <v>0</v>
      </c>
      <c r="CJ287" s="10">
        <v>4</v>
      </c>
      <c r="CK287" s="10">
        <v>26</v>
      </c>
      <c r="CL287" s="10"/>
      <c r="CM287" s="10"/>
      <c r="CN287" s="10"/>
      <c r="CO287" s="10"/>
      <c r="CP287" s="10"/>
      <c r="CQ287" s="10"/>
      <c r="CR287" s="10"/>
      <c r="CS287" s="10"/>
      <c r="CT287" s="10">
        <v>0</v>
      </c>
      <c r="CU287" s="10">
        <v>0</v>
      </c>
      <c r="CV287" s="10">
        <v>0</v>
      </c>
      <c r="CW287" s="10">
        <v>19</v>
      </c>
      <c r="CX287" s="10">
        <v>0</v>
      </c>
      <c r="CY287" s="10">
        <v>33</v>
      </c>
      <c r="DA287" s="8"/>
      <c r="DC287" s="8"/>
      <c r="DD287" s="8">
        <f t="shared" si="129"/>
        <v>608273</v>
      </c>
      <c r="DE287" s="6">
        <f t="shared" si="102"/>
        <v>253164</v>
      </c>
      <c r="DF287" s="8">
        <f t="shared" ref="DF287:DF294" si="136">SUM(DD287:DE287)</f>
        <v>861437</v>
      </c>
      <c r="DK287" s="6">
        <f t="shared" si="103"/>
        <v>58576</v>
      </c>
      <c r="DL287" s="6">
        <f t="shared" si="104"/>
        <v>140574</v>
      </c>
      <c r="DM287" s="8">
        <f t="shared" si="68"/>
        <v>11219</v>
      </c>
      <c r="DN287" s="8">
        <f t="shared" si="69"/>
        <v>43574</v>
      </c>
      <c r="DO287" s="8">
        <f t="shared" si="130"/>
        <v>442459</v>
      </c>
      <c r="DP287" s="6">
        <f t="shared" si="108"/>
        <v>85063</v>
      </c>
      <c r="DQ287" s="6"/>
      <c r="DR287" s="8">
        <f t="shared" si="131"/>
        <v>14829</v>
      </c>
      <c r="DS287" s="8">
        <f t="shared" si="132"/>
        <v>7221</v>
      </c>
      <c r="DT287" s="8">
        <f t="shared" si="133"/>
        <v>12111</v>
      </c>
      <c r="DU287" s="8"/>
      <c r="DV287" s="8"/>
      <c r="DW287" s="8">
        <f t="shared" si="134"/>
        <v>815626</v>
      </c>
      <c r="DY287" s="6">
        <f t="shared" si="105"/>
        <v>561740</v>
      </c>
      <c r="DZ287" s="6">
        <f t="shared" si="106"/>
        <v>61827</v>
      </c>
      <c r="EB287" s="8">
        <f t="shared" si="107"/>
        <v>923264</v>
      </c>
      <c r="EC287" s="8"/>
      <c r="ED287" s="8"/>
      <c r="EF287" s="8">
        <f t="shared" ref="EF287:EF294" si="137">SUM(BE287:CK287)-CG287-BP287</f>
        <v>554462</v>
      </c>
      <c r="EG287" s="8">
        <f t="shared" si="127"/>
        <v>244746</v>
      </c>
      <c r="EH287" s="8">
        <f t="shared" ref="EH287:EH294" si="138">SUM(EF287:EG287)</f>
        <v>799208</v>
      </c>
      <c r="EI287" s="121">
        <f t="shared" ref="EI287:EJ291" si="139">(EF287-EF286)/EF286</f>
        <v>1.4141768064167143E-3</v>
      </c>
      <c r="EJ287" s="121">
        <f t="shared" si="139"/>
        <v>3.7279001956224854E-3</v>
      </c>
      <c r="EM287" s="122"/>
      <c r="EN287" s="122"/>
      <c r="FE287" s="108"/>
      <c r="FF287" s="8"/>
      <c r="FG287" s="123"/>
    </row>
    <row r="288" spans="2:163">
      <c r="B288" s="9">
        <v>40725</v>
      </c>
      <c r="C288" s="10">
        <v>0</v>
      </c>
      <c r="D288" s="10">
        <v>0</v>
      </c>
      <c r="E288" s="10">
        <v>0</v>
      </c>
      <c r="F288" s="10">
        <v>0</v>
      </c>
      <c r="G288" s="10">
        <v>1248</v>
      </c>
      <c r="H288" s="10">
        <v>16523</v>
      </c>
      <c r="I288" s="10">
        <v>30435</v>
      </c>
      <c r="J288" s="10">
        <v>5101</v>
      </c>
      <c r="K288" s="10">
        <v>8926</v>
      </c>
      <c r="L288" s="10"/>
      <c r="M288" s="10">
        <v>26436</v>
      </c>
      <c r="N288" s="10">
        <v>1760</v>
      </c>
      <c r="O288" s="10"/>
      <c r="P288" s="10">
        <v>1540</v>
      </c>
      <c r="Q288" s="10">
        <v>11737</v>
      </c>
      <c r="R288" s="10">
        <v>321</v>
      </c>
      <c r="S288" s="10">
        <v>8411</v>
      </c>
      <c r="T288" s="10">
        <v>11240</v>
      </c>
      <c r="U288" s="10"/>
      <c r="V288" s="10"/>
      <c r="W288" s="10">
        <v>393</v>
      </c>
      <c r="X288" s="10">
        <v>7872</v>
      </c>
      <c r="Y288" s="10">
        <v>328</v>
      </c>
      <c r="Z288" s="10">
        <v>9</v>
      </c>
      <c r="AA288" s="159"/>
      <c r="AB288" s="10">
        <v>10</v>
      </c>
      <c r="AC288" s="10">
        <v>206</v>
      </c>
      <c r="AD288" s="10">
        <v>31</v>
      </c>
      <c r="AE288" s="10">
        <v>33</v>
      </c>
      <c r="AF288" s="10">
        <v>35</v>
      </c>
      <c r="AG288" s="10">
        <v>82</v>
      </c>
      <c r="AH288" s="10"/>
      <c r="AI288" s="10"/>
      <c r="AJ288" s="10">
        <v>14</v>
      </c>
      <c r="AK288" s="10">
        <v>10603</v>
      </c>
      <c r="AL288" s="10">
        <v>108944</v>
      </c>
      <c r="AM288" s="10">
        <v>3120</v>
      </c>
      <c r="AN288" s="10">
        <v>19912</v>
      </c>
      <c r="AO288" s="10">
        <v>24</v>
      </c>
      <c r="AP288" s="10">
        <v>4</v>
      </c>
      <c r="AQ288" s="10">
        <v>9485</v>
      </c>
      <c r="AR288" s="10">
        <v>0</v>
      </c>
      <c r="AS288" s="10">
        <v>2881</v>
      </c>
      <c r="AT288" s="10">
        <v>44</v>
      </c>
      <c r="AU288" s="10">
        <v>6441</v>
      </c>
      <c r="AV288" s="10">
        <v>2319</v>
      </c>
      <c r="AW288" s="10">
        <v>4511</v>
      </c>
      <c r="AX288" s="10">
        <v>14500</v>
      </c>
      <c r="AY288" s="159"/>
      <c r="AZ288" s="159"/>
      <c r="BA288" s="159">
        <v>776</v>
      </c>
      <c r="BB288" s="159"/>
      <c r="BC288" s="10">
        <v>309</v>
      </c>
      <c r="BD288" s="10"/>
      <c r="BE288" s="10">
        <v>0</v>
      </c>
      <c r="BF288" s="10">
        <v>0</v>
      </c>
      <c r="BG288" s="10">
        <v>1228</v>
      </c>
      <c r="BH288" s="10">
        <v>0</v>
      </c>
      <c r="BI288" s="10">
        <v>0</v>
      </c>
      <c r="BJ288" s="10">
        <v>8145</v>
      </c>
      <c r="BK288" s="10">
        <v>25</v>
      </c>
      <c r="BL288" s="10">
        <v>2656</v>
      </c>
      <c r="BM288" s="10"/>
      <c r="BN288" s="10">
        <v>373</v>
      </c>
      <c r="BO288" s="10">
        <v>49</v>
      </c>
      <c r="BP288" s="10">
        <v>7685</v>
      </c>
      <c r="BQ288" s="10">
        <v>77745</v>
      </c>
      <c r="BR288" s="10">
        <v>481</v>
      </c>
      <c r="BS288" s="10">
        <v>122</v>
      </c>
      <c r="BT288" s="10">
        <v>7049</v>
      </c>
      <c r="BU288" s="10">
        <v>104</v>
      </c>
      <c r="BV288" s="10"/>
      <c r="BW288" s="10">
        <v>0</v>
      </c>
      <c r="BX288" s="10">
        <v>52</v>
      </c>
      <c r="BY288" s="10"/>
      <c r="BZ288" s="10">
        <v>5</v>
      </c>
      <c r="CA288" s="10">
        <v>0</v>
      </c>
      <c r="CB288" s="10">
        <v>23380</v>
      </c>
      <c r="CC288" s="10">
        <v>15110</v>
      </c>
      <c r="CD288" s="10">
        <v>153513</v>
      </c>
      <c r="CE288" s="10">
        <v>241724</v>
      </c>
      <c r="CF288" s="10">
        <v>24304</v>
      </c>
      <c r="CG288" s="10">
        <v>46472</v>
      </c>
      <c r="CH288" s="10">
        <v>0</v>
      </c>
      <c r="CI288" s="10">
        <v>0</v>
      </c>
      <c r="CJ288" s="10">
        <v>4</v>
      </c>
      <c r="CK288" s="10">
        <v>31</v>
      </c>
      <c r="CL288" s="10"/>
      <c r="CM288" s="10"/>
      <c r="CN288" s="10"/>
      <c r="CO288" s="10"/>
      <c r="CP288" s="10"/>
      <c r="CQ288" s="10"/>
      <c r="CR288" s="10"/>
      <c r="CS288" s="10"/>
      <c r="CT288" s="10">
        <v>0</v>
      </c>
      <c r="CU288" s="10">
        <v>0</v>
      </c>
      <c r="CV288" s="10">
        <v>0</v>
      </c>
      <c r="CW288" s="10">
        <v>19</v>
      </c>
      <c r="CX288" s="10">
        <v>0</v>
      </c>
      <c r="CY288" s="10">
        <v>33</v>
      </c>
      <c r="DA288" s="6"/>
      <c r="DC288" s="6"/>
      <c r="DD288" s="6">
        <f t="shared" ref="DD288:DD294" si="140">SUM(BE288:CK288)</f>
        <v>610257</v>
      </c>
      <c r="DE288" s="6">
        <f t="shared" si="102"/>
        <v>253555</v>
      </c>
      <c r="DF288" s="8">
        <f t="shared" si="136"/>
        <v>863812</v>
      </c>
      <c r="DK288" s="6">
        <f t="shared" si="103"/>
        <v>58470</v>
      </c>
      <c r="DL288" s="6">
        <f t="shared" si="104"/>
        <v>140638</v>
      </c>
      <c r="DM288" s="6">
        <f t="shared" ref="DM288:DM294" si="141">T288</f>
        <v>11240</v>
      </c>
      <c r="DN288" s="6">
        <f t="shared" ref="DN288:DN294" si="142">AG288+AX288+AN288+AP288+AQ288+AR288</f>
        <v>43983</v>
      </c>
      <c r="DO288" s="6">
        <f t="shared" ref="DO288:DO294" si="143">SUM(BF288,BI288,BK288,BO288,BR288:BS288,BU288:BW288,BZ288:CB288,CD288:CF288,CJ288:CK288)</f>
        <v>443742</v>
      </c>
      <c r="DP288" s="6">
        <f t="shared" si="108"/>
        <v>85167</v>
      </c>
      <c r="DQ288" s="6"/>
      <c r="DR288" s="6">
        <f t="shared" ref="DR288:DR294" si="144">CC288+CI288</f>
        <v>15110</v>
      </c>
      <c r="DS288" s="6">
        <f t="shared" ref="DS288:DS294" si="145">BP288</f>
        <v>7685</v>
      </c>
      <c r="DT288" s="6">
        <f t="shared" ref="DT288:DT294" si="146">BG288+BJ288+BL288+BX288</f>
        <v>12081</v>
      </c>
      <c r="DU288" s="6"/>
      <c r="DV288" s="6"/>
      <c r="DW288" s="6">
        <f t="shared" ref="DW288:DW294" si="147">SUM(DK288:DT288)</f>
        <v>818116</v>
      </c>
      <c r="DY288" s="6">
        <f t="shared" si="105"/>
        <v>563280</v>
      </c>
      <c r="DZ288" s="6">
        <f t="shared" si="106"/>
        <v>62233</v>
      </c>
      <c r="EB288" s="6">
        <f t="shared" si="107"/>
        <v>926045</v>
      </c>
      <c r="EC288" s="6"/>
      <c r="ED288" s="6"/>
      <c r="EF288" s="6">
        <f t="shared" si="137"/>
        <v>556100</v>
      </c>
      <c r="EG288" s="6">
        <f t="shared" si="127"/>
        <v>244846</v>
      </c>
      <c r="EH288" s="6">
        <f t="shared" si="138"/>
        <v>800946</v>
      </c>
      <c r="EI288" s="36">
        <f t="shared" si="139"/>
        <v>2.954215076957483E-3</v>
      </c>
      <c r="EJ288" s="36">
        <f t="shared" si="139"/>
        <v>4.0858686148088224E-4</v>
      </c>
      <c r="EM288" s="104"/>
      <c r="EN288" s="104"/>
      <c r="FE288" s="32"/>
      <c r="FF288" s="34"/>
      <c r="FG288" s="31"/>
    </row>
    <row r="289" spans="2:177">
      <c r="B289" s="9">
        <v>40756</v>
      </c>
      <c r="C289" s="10">
        <v>0</v>
      </c>
      <c r="D289" s="10">
        <v>0</v>
      </c>
      <c r="E289" s="10">
        <v>0</v>
      </c>
      <c r="F289" s="10">
        <v>0</v>
      </c>
      <c r="G289" s="10">
        <v>1228</v>
      </c>
      <c r="H289" s="10">
        <v>16627</v>
      </c>
      <c r="I289" s="10">
        <v>30541</v>
      </c>
      <c r="J289" s="10">
        <v>5069</v>
      </c>
      <c r="K289" s="10">
        <v>8930</v>
      </c>
      <c r="L289" s="10"/>
      <c r="M289" s="10">
        <v>26448</v>
      </c>
      <c r="N289" s="10">
        <v>1751</v>
      </c>
      <c r="O289" s="10"/>
      <c r="P289" s="10">
        <v>1542</v>
      </c>
      <c r="Q289" s="10">
        <v>11787</v>
      </c>
      <c r="R289" s="10">
        <v>314</v>
      </c>
      <c r="S289" s="10">
        <v>8431</v>
      </c>
      <c r="T289" s="10">
        <v>11286</v>
      </c>
      <c r="U289" s="10"/>
      <c r="V289" s="10"/>
      <c r="W289" s="10">
        <v>405</v>
      </c>
      <c r="X289" s="10">
        <v>7909</v>
      </c>
      <c r="Y289" s="10">
        <v>331</v>
      </c>
      <c r="Z289" s="10">
        <v>9</v>
      </c>
      <c r="AA289" s="159"/>
      <c r="AB289" s="10">
        <v>6</v>
      </c>
      <c r="AC289" s="10">
        <v>220</v>
      </c>
      <c r="AD289" s="10">
        <v>29</v>
      </c>
      <c r="AE289" s="10">
        <v>32</v>
      </c>
      <c r="AF289" s="10">
        <v>34</v>
      </c>
      <c r="AG289" s="10">
        <v>79</v>
      </c>
      <c r="AH289" s="10"/>
      <c r="AI289" s="10"/>
      <c r="AJ289" s="10">
        <v>13</v>
      </c>
      <c r="AK289" s="10">
        <v>10612</v>
      </c>
      <c r="AL289" s="10">
        <v>109431</v>
      </c>
      <c r="AM289" s="10">
        <v>3126</v>
      </c>
      <c r="AN289" s="10">
        <v>19985</v>
      </c>
      <c r="AO289" s="10">
        <v>26</v>
      </c>
      <c r="AP289" s="10">
        <v>5</v>
      </c>
      <c r="AQ289" s="10">
        <v>9738</v>
      </c>
      <c r="AR289" s="10">
        <v>0</v>
      </c>
      <c r="AS289" s="10">
        <v>2840</v>
      </c>
      <c r="AT289" s="10">
        <v>46</v>
      </c>
      <c r="AU289" s="10">
        <v>6450</v>
      </c>
      <c r="AV289" s="10">
        <v>2327</v>
      </c>
      <c r="AW289" s="10">
        <v>4521</v>
      </c>
      <c r="AX289" s="10">
        <v>14574</v>
      </c>
      <c r="AY289" s="159"/>
      <c r="AZ289" s="159"/>
      <c r="BA289" s="159">
        <v>779</v>
      </c>
      <c r="BB289" s="159"/>
      <c r="BC289" s="10">
        <v>338</v>
      </c>
      <c r="BD289" s="10"/>
      <c r="BE289" s="10">
        <v>0</v>
      </c>
      <c r="BF289" s="10">
        <v>0</v>
      </c>
      <c r="BG289" s="10">
        <v>1225</v>
      </c>
      <c r="BH289" s="10">
        <v>0</v>
      </c>
      <c r="BI289" s="10">
        <v>0</v>
      </c>
      <c r="BJ289" s="10">
        <v>8092</v>
      </c>
      <c r="BK289" s="10">
        <v>22</v>
      </c>
      <c r="BL289" s="10">
        <v>2610</v>
      </c>
      <c r="BM289" s="10"/>
      <c r="BN289" s="10">
        <v>380</v>
      </c>
      <c r="BO289" s="10">
        <v>38</v>
      </c>
      <c r="BP289" s="10">
        <v>7976</v>
      </c>
      <c r="BQ289" s="10">
        <v>77994</v>
      </c>
      <c r="BR289" s="10">
        <v>501</v>
      </c>
      <c r="BS289" s="10">
        <v>124</v>
      </c>
      <c r="BT289" s="10">
        <v>6942</v>
      </c>
      <c r="BU289" s="10">
        <v>106</v>
      </c>
      <c r="BV289" s="10"/>
      <c r="BW289" s="10">
        <v>1</v>
      </c>
      <c r="BX289" s="10">
        <v>54</v>
      </c>
      <c r="BY289" s="10"/>
      <c r="BZ289" s="10">
        <v>7</v>
      </c>
      <c r="CA289" s="10">
        <v>0</v>
      </c>
      <c r="CB289" s="10">
        <v>23306</v>
      </c>
      <c r="CC289" s="10">
        <v>15041</v>
      </c>
      <c r="CD289" s="10">
        <v>153209</v>
      </c>
      <c r="CE289" s="10">
        <v>242200</v>
      </c>
      <c r="CF289" s="10">
        <v>24132</v>
      </c>
      <c r="CG289" s="10">
        <v>46401</v>
      </c>
      <c r="CH289" s="10">
        <v>0</v>
      </c>
      <c r="CI289" s="10">
        <v>1</v>
      </c>
      <c r="CJ289" s="10">
        <v>4</v>
      </c>
      <c r="CK289" s="10">
        <v>29</v>
      </c>
      <c r="CL289" s="10"/>
      <c r="CM289" s="10"/>
      <c r="CN289" s="10"/>
      <c r="CO289" s="10"/>
      <c r="CP289" s="10"/>
      <c r="CQ289" s="10"/>
      <c r="CR289" s="10"/>
      <c r="CS289" s="10"/>
      <c r="CT289" s="10">
        <v>0</v>
      </c>
      <c r="CU289" s="10">
        <v>0</v>
      </c>
      <c r="CV289" s="10">
        <v>0</v>
      </c>
      <c r="CW289" s="10">
        <v>19</v>
      </c>
      <c r="CX289" s="10">
        <v>0</v>
      </c>
      <c r="CY289" s="10">
        <v>33</v>
      </c>
      <c r="DA289" s="6"/>
      <c r="DC289" s="6"/>
      <c r="DD289" s="6">
        <f t="shared" si="140"/>
        <v>610395</v>
      </c>
      <c r="DE289" s="6">
        <f t="shared" si="102"/>
        <v>254645</v>
      </c>
      <c r="DF289" s="8">
        <f t="shared" si="136"/>
        <v>865040</v>
      </c>
      <c r="DK289" s="6">
        <f t="shared" si="103"/>
        <v>58587</v>
      </c>
      <c r="DL289" s="6">
        <f t="shared" si="104"/>
        <v>141170</v>
      </c>
      <c r="DM289" s="6">
        <f t="shared" si="141"/>
        <v>11286</v>
      </c>
      <c r="DN289" s="6">
        <f t="shared" si="142"/>
        <v>44381</v>
      </c>
      <c r="DO289" s="6">
        <f t="shared" si="143"/>
        <v>443679</v>
      </c>
      <c r="DP289" s="6">
        <f t="shared" si="108"/>
        <v>85316</v>
      </c>
      <c r="DQ289" s="6"/>
      <c r="DR289" s="6">
        <f t="shared" si="144"/>
        <v>15042</v>
      </c>
      <c r="DS289" s="6">
        <f t="shared" si="145"/>
        <v>7976</v>
      </c>
      <c r="DT289" s="6">
        <f t="shared" si="146"/>
        <v>11981</v>
      </c>
      <c r="DU289" s="6"/>
      <c r="DV289" s="6"/>
      <c r="DW289" s="6">
        <f t="shared" si="147"/>
        <v>819418</v>
      </c>
      <c r="DY289" s="6">
        <f t="shared" si="105"/>
        <v>563228</v>
      </c>
      <c r="DZ289" s="6">
        <f t="shared" si="106"/>
        <v>62395</v>
      </c>
      <c r="EB289" s="6">
        <f t="shared" si="107"/>
        <v>927435</v>
      </c>
      <c r="EC289" s="6"/>
      <c r="ED289" s="6"/>
      <c r="EF289" s="6">
        <f t="shared" si="137"/>
        <v>556018</v>
      </c>
      <c r="EG289" s="6">
        <f t="shared" si="127"/>
        <v>245686</v>
      </c>
      <c r="EH289" s="6">
        <f t="shared" si="138"/>
        <v>801704</v>
      </c>
      <c r="EI289" s="36">
        <f t="shared" si="139"/>
        <v>-1.4745549361625608E-4</v>
      </c>
      <c r="EJ289" s="36">
        <f t="shared" si="139"/>
        <v>3.4307278860998343E-3</v>
      </c>
      <c r="EM289" s="104"/>
      <c r="EN289" s="104"/>
      <c r="FE289" s="32"/>
      <c r="FF289" s="34"/>
      <c r="FG289" s="31"/>
    </row>
    <row r="290" spans="2:177">
      <c r="B290" s="9">
        <v>40787</v>
      </c>
      <c r="C290" s="10">
        <v>0</v>
      </c>
      <c r="D290" s="10">
        <v>0</v>
      </c>
      <c r="E290" s="10">
        <v>0</v>
      </c>
      <c r="F290" s="10">
        <v>0</v>
      </c>
      <c r="G290" s="10">
        <v>1254</v>
      </c>
      <c r="H290" s="10">
        <v>16599</v>
      </c>
      <c r="I290" s="10">
        <v>30279</v>
      </c>
      <c r="J290" s="10">
        <v>5016</v>
      </c>
      <c r="K290" s="10">
        <v>8880</v>
      </c>
      <c r="L290" s="10"/>
      <c r="M290" s="10">
        <v>26399</v>
      </c>
      <c r="N290" s="10">
        <v>1754</v>
      </c>
      <c r="O290" s="10"/>
      <c r="P290" s="10">
        <v>1543</v>
      </c>
      <c r="Q290" s="10">
        <v>11816</v>
      </c>
      <c r="R290" s="10">
        <v>311</v>
      </c>
      <c r="S290" s="10">
        <v>8477</v>
      </c>
      <c r="T290" s="10">
        <v>11312</v>
      </c>
      <c r="U290" s="10"/>
      <c r="V290" s="10"/>
      <c r="W290" s="10">
        <v>403</v>
      </c>
      <c r="X290" s="10">
        <v>7951</v>
      </c>
      <c r="Y290" s="10">
        <v>331</v>
      </c>
      <c r="Z290" s="10">
        <v>8</v>
      </c>
      <c r="AA290" s="159"/>
      <c r="AB290" s="10">
        <v>6</v>
      </c>
      <c r="AC290" s="10">
        <v>224</v>
      </c>
      <c r="AD290" s="10">
        <v>31</v>
      </c>
      <c r="AE290" s="10">
        <v>33</v>
      </c>
      <c r="AF290" s="10">
        <v>39</v>
      </c>
      <c r="AG290" s="10">
        <v>86</v>
      </c>
      <c r="AH290" s="10"/>
      <c r="AI290" s="10"/>
      <c r="AJ290" s="10">
        <v>12</v>
      </c>
      <c r="AK290" s="10">
        <v>10715</v>
      </c>
      <c r="AL290" s="10">
        <v>109867</v>
      </c>
      <c r="AM290" s="10">
        <v>3124</v>
      </c>
      <c r="AN290" s="10">
        <v>20062</v>
      </c>
      <c r="AO290" s="10">
        <v>20</v>
      </c>
      <c r="AP290" s="10">
        <v>0</v>
      </c>
      <c r="AQ290" s="10">
        <v>10000</v>
      </c>
      <c r="AR290" s="10">
        <v>0</v>
      </c>
      <c r="AS290" s="10">
        <v>2830</v>
      </c>
      <c r="AT290" s="10">
        <v>43</v>
      </c>
      <c r="AU290" s="10">
        <v>6512</v>
      </c>
      <c r="AV290" s="10">
        <v>2320</v>
      </c>
      <c r="AW290" s="10">
        <v>4558</v>
      </c>
      <c r="AX290" s="10">
        <v>14704</v>
      </c>
      <c r="AY290" s="159"/>
      <c r="AZ290" s="159"/>
      <c r="BA290" s="159">
        <v>781</v>
      </c>
      <c r="BB290" s="159"/>
      <c r="BC290" s="10">
        <v>344</v>
      </c>
      <c r="BD290" s="10"/>
      <c r="BE290" s="10">
        <v>0</v>
      </c>
      <c r="BF290" s="10">
        <v>0</v>
      </c>
      <c r="BG290" s="10">
        <v>1212</v>
      </c>
      <c r="BH290" s="10">
        <v>0</v>
      </c>
      <c r="BI290" s="10">
        <v>0</v>
      </c>
      <c r="BJ290" s="10">
        <v>8067</v>
      </c>
      <c r="BK290" s="10">
        <v>21</v>
      </c>
      <c r="BL290" s="10">
        <v>2610</v>
      </c>
      <c r="BM290" s="10"/>
      <c r="BN290" s="10">
        <v>376</v>
      </c>
      <c r="BO290" s="10">
        <v>37</v>
      </c>
      <c r="BP290" s="10">
        <v>8296</v>
      </c>
      <c r="BQ290" s="10">
        <v>78411</v>
      </c>
      <c r="BR290" s="10">
        <v>523</v>
      </c>
      <c r="BS290" s="10">
        <v>123</v>
      </c>
      <c r="BT290" s="10">
        <v>6979</v>
      </c>
      <c r="BU290" s="10">
        <v>109</v>
      </c>
      <c r="BV290" s="10"/>
      <c r="BW290" s="10">
        <v>0</v>
      </c>
      <c r="BX290" s="10">
        <v>54</v>
      </c>
      <c r="BY290" s="10"/>
      <c r="BZ290" s="10">
        <v>6</v>
      </c>
      <c r="CA290" s="10">
        <v>0</v>
      </c>
      <c r="CB290" s="10">
        <v>23501</v>
      </c>
      <c r="CC290" s="10">
        <v>14991</v>
      </c>
      <c r="CD290" s="10">
        <v>153330</v>
      </c>
      <c r="CE290" s="10">
        <v>242894</v>
      </c>
      <c r="CF290" s="10">
        <v>24331</v>
      </c>
      <c r="CG290" s="10">
        <v>46810</v>
      </c>
      <c r="CH290" s="10">
        <v>0</v>
      </c>
      <c r="CI290" s="10">
        <v>0</v>
      </c>
      <c r="CJ290" s="10">
        <v>4</v>
      </c>
      <c r="CK290" s="10">
        <v>28</v>
      </c>
      <c r="CL290" s="10"/>
      <c r="CM290" s="10"/>
      <c r="CN290" s="10"/>
      <c r="CO290" s="10"/>
      <c r="CP290" s="10"/>
      <c r="CQ290" s="10"/>
      <c r="CR290" s="10"/>
      <c r="CS290" s="10"/>
      <c r="CT290" s="10">
        <v>0</v>
      </c>
      <c r="CU290" s="10">
        <v>0</v>
      </c>
      <c r="CV290" s="10">
        <v>0</v>
      </c>
      <c r="CW290" s="10">
        <v>19</v>
      </c>
      <c r="CX290" s="10">
        <v>0</v>
      </c>
      <c r="CY290" s="10">
        <v>33</v>
      </c>
      <c r="DA290" s="6"/>
      <c r="DC290" s="6"/>
      <c r="DD290" s="6">
        <f t="shared" si="140"/>
        <v>612713</v>
      </c>
      <c r="DE290" s="6">
        <f t="shared" si="102"/>
        <v>255835</v>
      </c>
      <c r="DF290" s="8">
        <f t="shared" si="136"/>
        <v>868548</v>
      </c>
      <c r="DK290" s="6">
        <f t="shared" si="103"/>
        <v>58654</v>
      </c>
      <c r="DL290" s="6">
        <f t="shared" si="104"/>
        <v>141798</v>
      </c>
      <c r="DM290" s="6">
        <f t="shared" si="141"/>
        <v>11312</v>
      </c>
      <c r="DN290" s="6">
        <f t="shared" si="142"/>
        <v>44852</v>
      </c>
      <c r="DO290" s="6">
        <f t="shared" si="143"/>
        <v>444907</v>
      </c>
      <c r="DP290" s="6">
        <f t="shared" si="108"/>
        <v>85766</v>
      </c>
      <c r="DQ290" s="6"/>
      <c r="DR290" s="6">
        <f t="shared" si="144"/>
        <v>14991</v>
      </c>
      <c r="DS290" s="6">
        <f t="shared" si="145"/>
        <v>8296</v>
      </c>
      <c r="DT290" s="6">
        <f t="shared" si="146"/>
        <v>11943</v>
      </c>
      <c r="DU290" s="6"/>
      <c r="DV290" s="6"/>
      <c r="DW290" s="6">
        <f t="shared" si="147"/>
        <v>822519</v>
      </c>
      <c r="DY290" s="6">
        <f t="shared" si="105"/>
        <v>564434</v>
      </c>
      <c r="DZ290" s="6">
        <f t="shared" si="106"/>
        <v>62028</v>
      </c>
      <c r="EB290" s="6">
        <f t="shared" si="107"/>
        <v>930576</v>
      </c>
      <c r="EC290" s="6"/>
      <c r="ED290" s="6"/>
      <c r="EF290" s="6">
        <f t="shared" si="137"/>
        <v>557607</v>
      </c>
      <c r="EG290" s="6">
        <f t="shared" si="127"/>
        <v>246616</v>
      </c>
      <c r="EH290" s="6">
        <f t="shared" si="138"/>
        <v>804223</v>
      </c>
      <c r="EI290" s="36">
        <f t="shared" si="139"/>
        <v>2.8578211496750106E-3</v>
      </c>
      <c r="EJ290" s="36">
        <f t="shared" si="139"/>
        <v>3.7853194728230343E-3</v>
      </c>
      <c r="EM290" s="104"/>
      <c r="EN290" s="104"/>
      <c r="FE290" s="32"/>
      <c r="FF290" s="34"/>
      <c r="FG290" s="31"/>
    </row>
    <row r="291" spans="2:177">
      <c r="B291" s="9">
        <v>40817</v>
      </c>
      <c r="C291" s="10">
        <v>0</v>
      </c>
      <c r="D291" s="10">
        <v>0</v>
      </c>
      <c r="E291" s="10">
        <v>0</v>
      </c>
      <c r="F291" s="10">
        <v>0</v>
      </c>
      <c r="G291" s="10">
        <v>1250</v>
      </c>
      <c r="H291" s="10">
        <v>16470</v>
      </c>
      <c r="I291" s="10">
        <v>30030</v>
      </c>
      <c r="J291" s="10">
        <v>5012</v>
      </c>
      <c r="K291" s="10">
        <v>8754</v>
      </c>
      <c r="L291" s="10"/>
      <c r="M291" s="10">
        <v>26400</v>
      </c>
      <c r="N291" s="10">
        <v>1755</v>
      </c>
      <c r="O291" s="10"/>
      <c r="P291" s="10">
        <v>1554</v>
      </c>
      <c r="Q291" s="10">
        <v>11878</v>
      </c>
      <c r="R291" s="10">
        <v>309</v>
      </c>
      <c r="S291" s="10">
        <v>8496</v>
      </c>
      <c r="T291" s="10">
        <v>11327</v>
      </c>
      <c r="U291" s="10"/>
      <c r="V291" s="10"/>
      <c r="W291" s="10">
        <v>404</v>
      </c>
      <c r="X291" s="10">
        <v>7975</v>
      </c>
      <c r="Y291" s="10">
        <v>329</v>
      </c>
      <c r="Z291" s="10">
        <v>7</v>
      </c>
      <c r="AA291" s="159"/>
      <c r="AB291" s="10">
        <v>5</v>
      </c>
      <c r="AC291" s="10">
        <v>220</v>
      </c>
      <c r="AD291" s="10">
        <v>29</v>
      </c>
      <c r="AE291" s="10">
        <v>28</v>
      </c>
      <c r="AF291" s="10">
        <v>41</v>
      </c>
      <c r="AG291" s="10">
        <v>87</v>
      </c>
      <c r="AH291" s="10"/>
      <c r="AI291" s="10"/>
      <c r="AJ291" s="10">
        <v>12</v>
      </c>
      <c r="AK291" s="10">
        <v>10798</v>
      </c>
      <c r="AL291" s="10">
        <v>109969</v>
      </c>
      <c r="AM291" s="10">
        <v>3141</v>
      </c>
      <c r="AN291" s="10">
        <v>20132</v>
      </c>
      <c r="AO291" s="10">
        <v>21</v>
      </c>
      <c r="AP291" s="10">
        <v>0</v>
      </c>
      <c r="AQ291" s="10">
        <v>10171</v>
      </c>
      <c r="AR291" s="10">
        <v>0</v>
      </c>
      <c r="AS291" s="10">
        <v>2838</v>
      </c>
      <c r="AT291" s="10">
        <v>40</v>
      </c>
      <c r="AU291" s="10">
        <v>6540</v>
      </c>
      <c r="AV291" s="10">
        <v>2319</v>
      </c>
      <c r="AW291" s="10">
        <v>4590</v>
      </c>
      <c r="AX291" s="10">
        <v>14811</v>
      </c>
      <c r="AY291" s="159"/>
      <c r="AZ291" s="159"/>
      <c r="BA291" s="159">
        <v>796</v>
      </c>
      <c r="BB291" s="159"/>
      <c r="BC291" s="10">
        <v>349</v>
      </c>
      <c r="BD291" s="10"/>
      <c r="BE291" s="10">
        <v>0</v>
      </c>
      <c r="BF291" s="10">
        <v>0</v>
      </c>
      <c r="BG291" s="10">
        <v>1218</v>
      </c>
      <c r="BH291" s="10">
        <v>0</v>
      </c>
      <c r="BI291" s="10">
        <v>0</v>
      </c>
      <c r="BJ291" s="10">
        <v>8067</v>
      </c>
      <c r="BK291" s="10">
        <v>20</v>
      </c>
      <c r="BL291" s="10">
        <v>2586</v>
      </c>
      <c r="BM291" s="10"/>
      <c r="BN291" s="10">
        <v>376</v>
      </c>
      <c r="BO291" s="10">
        <v>35</v>
      </c>
      <c r="BP291" s="10">
        <v>8590</v>
      </c>
      <c r="BQ291" s="10">
        <v>78825</v>
      </c>
      <c r="BR291" s="10">
        <v>498</v>
      </c>
      <c r="BS291" s="10">
        <v>120</v>
      </c>
      <c r="BT291" s="10">
        <v>6949</v>
      </c>
      <c r="BU291" s="10">
        <v>99</v>
      </c>
      <c r="BV291" s="10"/>
      <c r="BW291" s="10">
        <v>0</v>
      </c>
      <c r="BX291" s="10">
        <v>52</v>
      </c>
      <c r="BY291" s="10"/>
      <c r="BZ291" s="10">
        <v>6</v>
      </c>
      <c r="CA291" s="10">
        <v>0</v>
      </c>
      <c r="CB291" s="10">
        <v>23594</v>
      </c>
      <c r="CC291" s="10">
        <v>14651</v>
      </c>
      <c r="CD291" s="10">
        <v>153035</v>
      </c>
      <c r="CE291" s="10">
        <v>243701</v>
      </c>
      <c r="CF291" s="10">
        <v>24362</v>
      </c>
      <c r="CG291" s="10">
        <v>46943</v>
      </c>
      <c r="CH291" s="10">
        <v>0</v>
      </c>
      <c r="CI291" s="10">
        <v>0</v>
      </c>
      <c r="CJ291" s="10">
        <v>4</v>
      </c>
      <c r="CK291" s="10">
        <v>29</v>
      </c>
      <c r="CL291" s="10"/>
      <c r="CM291" s="10"/>
      <c r="CN291" s="10"/>
      <c r="CO291" s="10"/>
      <c r="CP291" s="10"/>
      <c r="CQ291" s="10"/>
      <c r="CR291" s="10"/>
      <c r="CS291" s="10"/>
      <c r="CT291" s="10">
        <v>0</v>
      </c>
      <c r="CU291" s="10">
        <v>0</v>
      </c>
      <c r="CV291" s="10">
        <v>0</v>
      </c>
      <c r="CW291" s="10">
        <v>19</v>
      </c>
      <c r="CX291" s="10">
        <v>0</v>
      </c>
      <c r="CY291" s="10">
        <v>33</v>
      </c>
      <c r="DA291" s="6"/>
      <c r="DC291" s="6"/>
      <c r="DD291" s="6">
        <f t="shared" si="140"/>
        <v>613760</v>
      </c>
      <c r="DE291" s="6">
        <f t="shared" si="102"/>
        <v>256575</v>
      </c>
      <c r="DF291" s="8">
        <f t="shared" si="136"/>
        <v>870335</v>
      </c>
      <c r="DK291" s="6">
        <f t="shared" si="103"/>
        <v>58771</v>
      </c>
      <c r="DL291" s="6">
        <f t="shared" si="104"/>
        <v>142072</v>
      </c>
      <c r="DM291" s="6">
        <f t="shared" si="141"/>
        <v>11327</v>
      </c>
      <c r="DN291" s="6">
        <f t="shared" si="142"/>
        <v>45201</v>
      </c>
      <c r="DO291" s="6">
        <f t="shared" si="143"/>
        <v>445503</v>
      </c>
      <c r="DP291" s="6">
        <f t="shared" si="108"/>
        <v>86150</v>
      </c>
      <c r="DQ291" s="6"/>
      <c r="DR291" s="6">
        <f t="shared" si="144"/>
        <v>14651</v>
      </c>
      <c r="DS291" s="6">
        <f t="shared" si="145"/>
        <v>8590</v>
      </c>
      <c r="DT291" s="6">
        <f t="shared" si="146"/>
        <v>11923</v>
      </c>
      <c r="DU291" s="6"/>
      <c r="DV291" s="6"/>
      <c r="DW291" s="6">
        <f t="shared" si="147"/>
        <v>824188</v>
      </c>
      <c r="DY291" s="6">
        <f t="shared" si="105"/>
        <v>564635</v>
      </c>
      <c r="DZ291" s="6">
        <f t="shared" si="106"/>
        <v>61516</v>
      </c>
      <c r="EB291" s="6">
        <f t="shared" si="107"/>
        <v>931851</v>
      </c>
      <c r="EC291" s="6"/>
      <c r="ED291" s="6"/>
      <c r="EF291" s="6">
        <f t="shared" si="137"/>
        <v>558227</v>
      </c>
      <c r="EG291" s="6">
        <f t="shared" si="127"/>
        <v>247200</v>
      </c>
      <c r="EH291" s="6">
        <f t="shared" si="138"/>
        <v>805427</v>
      </c>
      <c r="EI291" s="36">
        <f t="shared" si="139"/>
        <v>1.1118942194054235E-3</v>
      </c>
      <c r="EJ291" s="36">
        <f t="shared" si="139"/>
        <v>2.3680539786550751E-3</v>
      </c>
      <c r="EM291" s="104"/>
      <c r="EN291" s="104"/>
      <c r="FE291" s="32"/>
      <c r="FF291" s="34"/>
      <c r="FG291" s="31"/>
    </row>
    <row r="292" spans="2:177">
      <c r="B292" s="9">
        <v>40848</v>
      </c>
      <c r="C292" s="10">
        <v>0</v>
      </c>
      <c r="D292" s="10">
        <v>0</v>
      </c>
      <c r="E292" s="10">
        <v>0</v>
      </c>
      <c r="F292" s="10">
        <v>0</v>
      </c>
      <c r="G292" s="10">
        <v>1250</v>
      </c>
      <c r="H292" s="10">
        <v>16716</v>
      </c>
      <c r="I292" s="10">
        <v>30420</v>
      </c>
      <c r="J292" s="10">
        <v>5039</v>
      </c>
      <c r="K292" s="10">
        <v>8702</v>
      </c>
      <c r="L292" s="10"/>
      <c r="M292" s="10">
        <v>26325</v>
      </c>
      <c r="N292" s="10">
        <v>1763</v>
      </c>
      <c r="O292" s="10"/>
      <c r="P292" s="10">
        <v>1564</v>
      </c>
      <c r="Q292" s="10">
        <v>11820</v>
      </c>
      <c r="R292" s="10">
        <v>299</v>
      </c>
      <c r="S292" s="10">
        <v>8460</v>
      </c>
      <c r="T292" s="10">
        <v>11370</v>
      </c>
      <c r="U292" s="10"/>
      <c r="V292" s="10"/>
      <c r="W292" s="10">
        <v>406</v>
      </c>
      <c r="X292" s="10">
        <v>7989</v>
      </c>
      <c r="Y292" s="10">
        <v>334</v>
      </c>
      <c r="Z292" s="10">
        <v>7</v>
      </c>
      <c r="AA292" s="159"/>
      <c r="AB292" s="10">
        <v>8</v>
      </c>
      <c r="AC292" s="10">
        <v>223</v>
      </c>
      <c r="AD292" s="10">
        <v>28</v>
      </c>
      <c r="AE292" s="10">
        <v>31</v>
      </c>
      <c r="AF292" s="10">
        <v>42</v>
      </c>
      <c r="AG292" s="10">
        <v>85</v>
      </c>
      <c r="AH292" s="10"/>
      <c r="AI292" s="10"/>
      <c r="AJ292" s="10">
        <v>10</v>
      </c>
      <c r="AK292" s="10">
        <v>10855</v>
      </c>
      <c r="AL292" s="10">
        <v>110435</v>
      </c>
      <c r="AM292" s="10">
        <v>3150</v>
      </c>
      <c r="AN292" s="10">
        <v>20213</v>
      </c>
      <c r="AO292" s="10">
        <v>18</v>
      </c>
      <c r="AP292" s="10">
        <v>0</v>
      </c>
      <c r="AQ292" s="10">
        <v>10347</v>
      </c>
      <c r="AR292" s="10">
        <v>0</v>
      </c>
      <c r="AS292" s="10">
        <v>2778</v>
      </c>
      <c r="AT292" s="10">
        <v>40</v>
      </c>
      <c r="AU292" s="10">
        <v>6567</v>
      </c>
      <c r="AV292" s="10">
        <v>2307</v>
      </c>
      <c r="AW292" s="10">
        <v>4567</v>
      </c>
      <c r="AX292" s="10">
        <v>14929</v>
      </c>
      <c r="AY292" s="159"/>
      <c r="AZ292" s="159"/>
      <c r="BA292" s="159">
        <v>806</v>
      </c>
      <c r="BB292" s="159"/>
      <c r="BC292" s="10">
        <v>348</v>
      </c>
      <c r="BD292" s="10"/>
      <c r="BE292" s="10">
        <v>0</v>
      </c>
      <c r="BF292" s="10">
        <v>0</v>
      </c>
      <c r="BG292" s="10">
        <v>1222</v>
      </c>
      <c r="BH292" s="10">
        <v>0</v>
      </c>
      <c r="BI292" s="10">
        <v>0</v>
      </c>
      <c r="BJ292" s="10">
        <v>8135</v>
      </c>
      <c r="BK292" s="10">
        <v>15</v>
      </c>
      <c r="BL292" s="10">
        <v>2599</v>
      </c>
      <c r="BM292" s="10"/>
      <c r="BN292" s="10">
        <v>384</v>
      </c>
      <c r="BO292" s="10">
        <v>32</v>
      </c>
      <c r="BP292" s="10">
        <v>9850</v>
      </c>
      <c r="BQ292" s="10">
        <v>79597</v>
      </c>
      <c r="BR292" s="10">
        <v>503</v>
      </c>
      <c r="BS292" s="10">
        <v>123</v>
      </c>
      <c r="BT292" s="10">
        <v>6865</v>
      </c>
      <c r="BU292" s="10">
        <v>88</v>
      </c>
      <c r="BV292" s="10"/>
      <c r="BW292" s="10">
        <v>1</v>
      </c>
      <c r="BX292" s="10">
        <v>52</v>
      </c>
      <c r="BY292" s="10"/>
      <c r="BZ292" s="10">
        <v>7</v>
      </c>
      <c r="CA292" s="10">
        <v>0</v>
      </c>
      <c r="CB292" s="10">
        <v>23824</v>
      </c>
      <c r="CC292" s="10">
        <v>14376</v>
      </c>
      <c r="CD292" s="10">
        <v>153720</v>
      </c>
      <c r="CE292" s="10">
        <v>244824</v>
      </c>
      <c r="CF292" s="10">
        <v>24277</v>
      </c>
      <c r="CG292" s="10">
        <v>47637</v>
      </c>
      <c r="CH292" s="10">
        <v>0</v>
      </c>
      <c r="CI292" s="10">
        <v>2</v>
      </c>
      <c r="CJ292" s="10">
        <v>4</v>
      </c>
      <c r="CK292" s="10">
        <v>28</v>
      </c>
      <c r="CL292" s="10"/>
      <c r="CM292" s="10"/>
      <c r="CN292" s="10"/>
      <c r="CO292" s="10"/>
      <c r="CP292" s="10"/>
      <c r="CQ292" s="10"/>
      <c r="CR292" s="10"/>
      <c r="CS292" s="10"/>
      <c r="CT292" s="10">
        <v>0</v>
      </c>
      <c r="CU292" s="10">
        <v>0</v>
      </c>
      <c r="CV292" s="10">
        <v>0</v>
      </c>
      <c r="CW292" s="10">
        <v>19</v>
      </c>
      <c r="CX292" s="10">
        <v>0</v>
      </c>
      <c r="CY292" s="10">
        <v>33</v>
      </c>
      <c r="DA292" s="6"/>
      <c r="DC292" s="6"/>
      <c r="DD292" s="6">
        <f t="shared" si="140"/>
        <v>618165</v>
      </c>
      <c r="DE292" s="6">
        <f t="shared" si="102"/>
        <v>257318</v>
      </c>
      <c r="DF292" s="8">
        <f t="shared" si="136"/>
        <v>875483</v>
      </c>
      <c r="DK292" s="6">
        <f t="shared" si="103"/>
        <v>58626</v>
      </c>
      <c r="DL292" s="6">
        <f t="shared" si="104"/>
        <v>142554</v>
      </c>
      <c r="DM292" s="6">
        <f t="shared" si="141"/>
        <v>11370</v>
      </c>
      <c r="DN292" s="6">
        <f t="shared" si="142"/>
        <v>45574</v>
      </c>
      <c r="DO292" s="6">
        <f t="shared" si="143"/>
        <v>447446</v>
      </c>
      <c r="DP292" s="6">
        <f t="shared" si="108"/>
        <v>86846</v>
      </c>
      <c r="DQ292" s="6"/>
      <c r="DR292" s="6">
        <f t="shared" si="144"/>
        <v>14378</v>
      </c>
      <c r="DS292" s="6">
        <f t="shared" si="145"/>
        <v>9850</v>
      </c>
      <c r="DT292" s="6">
        <f t="shared" si="146"/>
        <v>12008</v>
      </c>
      <c r="DU292" s="6"/>
      <c r="DV292" s="6"/>
      <c r="DW292" s="6">
        <f t="shared" si="147"/>
        <v>828652</v>
      </c>
      <c r="DY292" s="6">
        <f t="shared" si="105"/>
        <v>567968</v>
      </c>
      <c r="DZ292" s="6">
        <f t="shared" si="106"/>
        <v>62127</v>
      </c>
      <c r="EB292" s="6">
        <f t="shared" si="107"/>
        <v>937610</v>
      </c>
      <c r="EC292" s="6"/>
      <c r="ED292" s="6"/>
      <c r="EF292" s="6">
        <f t="shared" si="137"/>
        <v>560678</v>
      </c>
      <c r="EG292" s="6">
        <f t="shared" si="127"/>
        <v>247777</v>
      </c>
      <c r="EH292" s="6">
        <f t="shared" si="138"/>
        <v>808455</v>
      </c>
      <c r="EI292" s="36">
        <f t="shared" ref="EI292:EJ294" si="148">(EF292-EF291)/EF291</f>
        <v>4.3906869427670107E-3</v>
      </c>
      <c r="EJ292" s="36">
        <f t="shared" si="148"/>
        <v>2.3341423948220067E-3</v>
      </c>
      <c r="EM292" s="104"/>
      <c r="EN292" s="104"/>
      <c r="FE292" s="32"/>
      <c r="FF292" s="34"/>
      <c r="FG292" s="31"/>
    </row>
    <row r="293" spans="2:177">
      <c r="B293" s="9">
        <v>40878</v>
      </c>
      <c r="C293" s="10">
        <v>0</v>
      </c>
      <c r="D293" s="10">
        <v>0</v>
      </c>
      <c r="E293" s="10">
        <v>0</v>
      </c>
      <c r="F293" s="10">
        <v>0</v>
      </c>
      <c r="G293" s="10">
        <v>1274</v>
      </c>
      <c r="H293" s="10">
        <v>16973</v>
      </c>
      <c r="I293" s="10">
        <v>30936</v>
      </c>
      <c r="J293" s="10">
        <v>5096</v>
      </c>
      <c r="K293" s="10">
        <v>8822</v>
      </c>
      <c r="L293" s="10"/>
      <c r="M293" s="10">
        <v>26228</v>
      </c>
      <c r="N293" s="10">
        <v>1726</v>
      </c>
      <c r="O293" s="10"/>
      <c r="P293" s="10">
        <v>1596</v>
      </c>
      <c r="Q293" s="10">
        <v>11882</v>
      </c>
      <c r="R293" s="10">
        <v>301</v>
      </c>
      <c r="S293" s="10">
        <v>8449</v>
      </c>
      <c r="T293" s="10">
        <v>11457</v>
      </c>
      <c r="U293" s="10"/>
      <c r="V293" s="10"/>
      <c r="W293" s="10">
        <v>419</v>
      </c>
      <c r="X293" s="10">
        <v>8044</v>
      </c>
      <c r="Y293" s="10">
        <v>336</v>
      </c>
      <c r="Z293" s="10">
        <v>7</v>
      </c>
      <c r="AA293" s="159"/>
      <c r="AB293" s="10">
        <v>9</v>
      </c>
      <c r="AC293" s="10">
        <v>221</v>
      </c>
      <c r="AD293" s="10">
        <v>27</v>
      </c>
      <c r="AE293" s="10">
        <v>31</v>
      </c>
      <c r="AF293" s="10">
        <v>40</v>
      </c>
      <c r="AG293" s="10">
        <v>87</v>
      </c>
      <c r="AH293" s="10"/>
      <c r="AI293" s="10"/>
      <c r="AJ293" s="10">
        <v>12</v>
      </c>
      <c r="AK293" s="10">
        <v>10955</v>
      </c>
      <c r="AL293" s="10">
        <v>110689</v>
      </c>
      <c r="AM293" s="10">
        <v>3160</v>
      </c>
      <c r="AN293" s="10">
        <v>20340</v>
      </c>
      <c r="AO293" s="10">
        <v>19</v>
      </c>
      <c r="AP293" s="10">
        <v>0</v>
      </c>
      <c r="AQ293" s="10">
        <v>10536</v>
      </c>
      <c r="AR293" s="10">
        <v>0</v>
      </c>
      <c r="AS293" s="10">
        <v>2841</v>
      </c>
      <c r="AT293" s="10">
        <v>41</v>
      </c>
      <c r="AU293" s="10">
        <v>6588</v>
      </c>
      <c r="AV293" s="10">
        <v>2325</v>
      </c>
      <c r="AW293" s="10">
        <v>4593</v>
      </c>
      <c r="AX293" s="10">
        <v>15017</v>
      </c>
      <c r="AY293" s="159"/>
      <c r="AZ293" s="159"/>
      <c r="BA293" s="159">
        <v>804</v>
      </c>
      <c r="BB293" s="159"/>
      <c r="BC293" s="10">
        <v>348</v>
      </c>
      <c r="BD293" s="10"/>
      <c r="BE293" s="10">
        <v>0</v>
      </c>
      <c r="BF293" s="10">
        <v>0</v>
      </c>
      <c r="BG293" s="10">
        <v>1214</v>
      </c>
      <c r="BH293" s="10">
        <v>0</v>
      </c>
      <c r="BI293" s="10">
        <v>0</v>
      </c>
      <c r="BJ293" s="10">
        <v>8142</v>
      </c>
      <c r="BK293" s="10">
        <v>15</v>
      </c>
      <c r="BL293" s="10">
        <v>2573</v>
      </c>
      <c r="BM293" s="10"/>
      <c r="BN293" s="10">
        <v>397</v>
      </c>
      <c r="BO293" s="10">
        <v>31</v>
      </c>
      <c r="BP293" s="10">
        <v>12522</v>
      </c>
      <c r="BQ293" s="10">
        <v>79802</v>
      </c>
      <c r="BR293" s="10">
        <v>518</v>
      </c>
      <c r="BS293" s="10">
        <v>120</v>
      </c>
      <c r="BT293" s="10">
        <v>6818</v>
      </c>
      <c r="BU293" s="10">
        <v>92</v>
      </c>
      <c r="BV293" s="10"/>
      <c r="BW293" s="10">
        <v>1</v>
      </c>
      <c r="BX293" s="10">
        <v>55</v>
      </c>
      <c r="BY293" s="10"/>
      <c r="BZ293" s="10">
        <v>6</v>
      </c>
      <c r="CA293" s="10">
        <v>0</v>
      </c>
      <c r="CB293" s="10">
        <v>23878</v>
      </c>
      <c r="CC293" s="10">
        <v>14054</v>
      </c>
      <c r="CD293" s="10">
        <v>153803</v>
      </c>
      <c r="CE293" s="10">
        <v>245866</v>
      </c>
      <c r="CF293" s="10">
        <v>24223</v>
      </c>
      <c r="CG293" s="10">
        <v>48239</v>
      </c>
      <c r="CH293" s="10">
        <v>0</v>
      </c>
      <c r="CI293" s="10">
        <v>0</v>
      </c>
      <c r="CJ293" s="10">
        <v>4</v>
      </c>
      <c r="CK293" s="10">
        <v>25</v>
      </c>
      <c r="CL293" s="10"/>
      <c r="CM293" s="10"/>
      <c r="CN293" s="10"/>
      <c r="CO293" s="10"/>
      <c r="CP293" s="10"/>
      <c r="CQ293" s="10"/>
      <c r="CR293" s="10"/>
      <c r="CS293" s="10"/>
      <c r="CT293" s="10">
        <v>0</v>
      </c>
      <c r="CU293" s="10">
        <v>0</v>
      </c>
      <c r="CV293" s="10">
        <v>0</v>
      </c>
      <c r="CW293" s="10">
        <v>19</v>
      </c>
      <c r="CX293" s="10">
        <v>0</v>
      </c>
      <c r="CY293" s="10">
        <v>33</v>
      </c>
      <c r="DA293" s="6"/>
      <c r="DC293" s="6"/>
      <c r="DD293" s="6">
        <f t="shared" si="140"/>
        <v>622398</v>
      </c>
      <c r="DE293" s="6">
        <f t="shared" si="102"/>
        <v>258324</v>
      </c>
      <c r="DF293" s="8">
        <f t="shared" si="136"/>
        <v>880722</v>
      </c>
      <c r="DK293" s="6">
        <f t="shared" si="103"/>
        <v>58645</v>
      </c>
      <c r="DL293" s="6">
        <f t="shared" si="104"/>
        <v>143046</v>
      </c>
      <c r="DM293" s="6">
        <f t="shared" si="141"/>
        <v>11457</v>
      </c>
      <c r="DN293" s="6">
        <f t="shared" si="142"/>
        <v>45980</v>
      </c>
      <c r="DO293" s="6">
        <f t="shared" si="143"/>
        <v>448582</v>
      </c>
      <c r="DP293" s="6">
        <f t="shared" si="108"/>
        <v>87017</v>
      </c>
      <c r="DQ293" s="6"/>
      <c r="DR293" s="6">
        <f t="shared" si="144"/>
        <v>14054</v>
      </c>
      <c r="DS293" s="6">
        <f t="shared" si="145"/>
        <v>12522</v>
      </c>
      <c r="DT293" s="6">
        <f t="shared" si="146"/>
        <v>11984</v>
      </c>
      <c r="DU293" s="6"/>
      <c r="DV293" s="6"/>
      <c r="DW293" s="6">
        <f t="shared" si="147"/>
        <v>833287</v>
      </c>
      <c r="DY293" s="6">
        <f t="shared" si="105"/>
        <v>570632</v>
      </c>
      <c r="DZ293" s="6">
        <f t="shared" si="106"/>
        <v>63101</v>
      </c>
      <c r="EB293" s="6">
        <f t="shared" si="107"/>
        <v>943823</v>
      </c>
      <c r="EC293" s="6"/>
      <c r="ED293" s="6"/>
      <c r="EF293" s="6">
        <f t="shared" si="137"/>
        <v>561637</v>
      </c>
      <c r="EG293" s="6">
        <f t="shared" si="127"/>
        <v>248592</v>
      </c>
      <c r="EH293" s="6">
        <f t="shared" si="138"/>
        <v>810229</v>
      </c>
      <c r="EI293" s="36">
        <f t="shared" si="148"/>
        <v>1.7104291589825175E-3</v>
      </c>
      <c r="EJ293" s="36">
        <f t="shared" si="148"/>
        <v>3.2892479931551353E-3</v>
      </c>
      <c r="EM293" s="104"/>
      <c r="EN293" s="104"/>
      <c r="FE293" s="32"/>
      <c r="FF293" s="34"/>
      <c r="FG293" s="31"/>
      <c r="FU293" s="192">
        <f>BV293+BM293+BB293+AZ293+AY293+AA293</f>
        <v>0</v>
      </c>
    </row>
    <row r="294" spans="2:177">
      <c r="B294" s="9">
        <v>40909</v>
      </c>
      <c r="C294" s="10">
        <v>0</v>
      </c>
      <c r="D294" s="10">
        <v>0</v>
      </c>
      <c r="E294" s="10">
        <v>0</v>
      </c>
      <c r="F294" s="10">
        <v>0</v>
      </c>
      <c r="G294" s="10">
        <v>1329</v>
      </c>
      <c r="H294" s="10">
        <v>17263</v>
      </c>
      <c r="I294" s="10">
        <v>31459</v>
      </c>
      <c r="J294" s="10">
        <v>5217</v>
      </c>
      <c r="K294" s="10">
        <v>8963</v>
      </c>
      <c r="L294" s="10"/>
      <c r="M294" s="10">
        <v>26116</v>
      </c>
      <c r="N294" s="10">
        <v>1704</v>
      </c>
      <c r="O294" s="10"/>
      <c r="P294" s="10">
        <v>1602</v>
      </c>
      <c r="Q294" s="10">
        <v>11816</v>
      </c>
      <c r="R294" s="10">
        <v>311</v>
      </c>
      <c r="S294" s="10">
        <v>8441</v>
      </c>
      <c r="T294" s="10">
        <v>11474</v>
      </c>
      <c r="U294" s="10"/>
      <c r="V294" s="10"/>
      <c r="W294" s="10">
        <v>420</v>
      </c>
      <c r="X294" s="10">
        <v>8095</v>
      </c>
      <c r="Y294" s="10">
        <v>333</v>
      </c>
      <c r="Z294" s="10">
        <v>7</v>
      </c>
      <c r="AA294" s="159"/>
      <c r="AB294" s="10">
        <v>8</v>
      </c>
      <c r="AC294" s="10">
        <v>221</v>
      </c>
      <c r="AD294" s="10">
        <v>26</v>
      </c>
      <c r="AE294" s="10">
        <v>31</v>
      </c>
      <c r="AF294" s="10">
        <v>39</v>
      </c>
      <c r="AG294" s="10">
        <v>86</v>
      </c>
      <c r="AH294" s="10"/>
      <c r="AI294" s="10"/>
      <c r="AJ294" s="10">
        <v>11</v>
      </c>
      <c r="AK294" s="10">
        <v>10987</v>
      </c>
      <c r="AL294" s="10">
        <v>110620</v>
      </c>
      <c r="AM294" s="10">
        <v>3171</v>
      </c>
      <c r="AN294" s="10">
        <v>20484</v>
      </c>
      <c r="AO294" s="10">
        <v>18</v>
      </c>
      <c r="AP294" s="10">
        <v>2</v>
      </c>
      <c r="AQ294" s="10">
        <v>0</v>
      </c>
      <c r="AR294" s="10">
        <v>0</v>
      </c>
      <c r="AS294" s="10">
        <v>2853</v>
      </c>
      <c r="AT294" s="10">
        <v>44</v>
      </c>
      <c r="AU294" s="10">
        <v>6616</v>
      </c>
      <c r="AV294" s="10">
        <v>2332</v>
      </c>
      <c r="AW294" s="10">
        <v>4593</v>
      </c>
      <c r="AX294" s="10">
        <v>15139</v>
      </c>
      <c r="AY294" s="159"/>
      <c r="AZ294" s="159"/>
      <c r="BA294" s="159">
        <v>815</v>
      </c>
      <c r="BB294" s="159"/>
      <c r="BC294" s="10">
        <v>328</v>
      </c>
      <c r="BD294" s="10"/>
      <c r="BE294" s="10">
        <v>0</v>
      </c>
      <c r="BF294" s="10">
        <v>0</v>
      </c>
      <c r="BG294" s="10">
        <v>1226</v>
      </c>
      <c r="BH294" s="10">
        <v>0</v>
      </c>
      <c r="BI294" s="10">
        <v>0</v>
      </c>
      <c r="BJ294" s="10">
        <v>8101</v>
      </c>
      <c r="BK294" s="10">
        <v>12</v>
      </c>
      <c r="BL294" s="10">
        <v>2557</v>
      </c>
      <c r="BM294" s="10"/>
      <c r="BN294" s="10">
        <v>425</v>
      </c>
      <c r="BO294" s="10">
        <v>31</v>
      </c>
      <c r="BP294" s="10">
        <v>14856</v>
      </c>
      <c r="BQ294" s="10">
        <v>79909</v>
      </c>
      <c r="BR294" s="10">
        <v>503</v>
      </c>
      <c r="BS294" s="10">
        <v>120</v>
      </c>
      <c r="BT294" s="10">
        <v>6804</v>
      </c>
      <c r="BU294" s="10">
        <v>75</v>
      </c>
      <c r="BV294" s="10"/>
      <c r="BW294" s="10">
        <v>2</v>
      </c>
      <c r="BX294" s="10">
        <v>53</v>
      </c>
      <c r="BY294" s="10"/>
      <c r="BZ294" s="10">
        <v>7</v>
      </c>
      <c r="CA294" s="10">
        <v>0</v>
      </c>
      <c r="CB294" s="10">
        <v>23884</v>
      </c>
      <c r="CC294" s="10">
        <v>13948</v>
      </c>
      <c r="CD294" s="10">
        <v>153555</v>
      </c>
      <c r="CE294" s="10">
        <v>246375</v>
      </c>
      <c r="CF294" s="10">
        <v>24283</v>
      </c>
      <c r="CG294" s="10">
        <v>48436</v>
      </c>
      <c r="CH294" s="10">
        <v>0</v>
      </c>
      <c r="CI294" s="10">
        <v>0</v>
      </c>
      <c r="CJ294" s="10">
        <v>4</v>
      </c>
      <c r="CK294" s="10">
        <v>28</v>
      </c>
      <c r="CL294" s="10"/>
      <c r="CM294" s="10"/>
      <c r="CN294" s="10"/>
      <c r="CO294" s="10"/>
      <c r="CP294" s="10"/>
      <c r="CQ294" s="10"/>
      <c r="CR294" s="10"/>
      <c r="CS294" s="10"/>
      <c r="CT294" s="10">
        <v>0</v>
      </c>
      <c r="CU294" s="10">
        <v>0</v>
      </c>
      <c r="CV294" s="10">
        <v>0</v>
      </c>
      <c r="CW294" s="10">
        <v>19</v>
      </c>
      <c r="CX294" s="10">
        <v>0</v>
      </c>
      <c r="CY294" s="10">
        <v>33</v>
      </c>
      <c r="DA294" s="6"/>
      <c r="DC294" s="6"/>
      <c r="DD294" s="6">
        <f t="shared" si="140"/>
        <v>625194</v>
      </c>
      <c r="DE294" s="6">
        <f t="shared" si="102"/>
        <v>247928</v>
      </c>
      <c r="DF294" s="8">
        <f t="shared" si="136"/>
        <v>873122</v>
      </c>
      <c r="DK294" s="6">
        <f t="shared" si="103"/>
        <v>58505</v>
      </c>
      <c r="DL294" s="6">
        <f t="shared" si="104"/>
        <v>143053</v>
      </c>
      <c r="DM294" s="6">
        <f t="shared" si="141"/>
        <v>11474</v>
      </c>
      <c r="DN294" s="6">
        <f t="shared" si="142"/>
        <v>35711</v>
      </c>
      <c r="DO294" s="6">
        <f t="shared" si="143"/>
        <v>448879</v>
      </c>
      <c r="DP294" s="6">
        <f t="shared" si="108"/>
        <v>87138</v>
      </c>
      <c r="DQ294" s="6"/>
      <c r="DR294" s="6">
        <f t="shared" si="144"/>
        <v>13948</v>
      </c>
      <c r="DS294" s="6">
        <f t="shared" si="145"/>
        <v>14856</v>
      </c>
      <c r="DT294" s="6">
        <f t="shared" si="146"/>
        <v>11937</v>
      </c>
      <c r="DU294" s="6"/>
      <c r="DV294" s="6"/>
      <c r="DW294" s="6">
        <f t="shared" si="147"/>
        <v>825501</v>
      </c>
      <c r="DY294" s="6">
        <f t="shared" si="105"/>
        <v>572154</v>
      </c>
      <c r="DZ294" s="6">
        <f t="shared" si="106"/>
        <v>64231</v>
      </c>
      <c r="EB294" s="6">
        <f t="shared" si="107"/>
        <v>937353</v>
      </c>
      <c r="EC294" s="6"/>
      <c r="ED294" s="6"/>
      <c r="EF294" s="6">
        <f t="shared" si="137"/>
        <v>561902</v>
      </c>
      <c r="EG294" s="6">
        <f t="shared" si="127"/>
        <v>248743</v>
      </c>
      <c r="EH294" s="6">
        <f t="shared" si="138"/>
        <v>810645</v>
      </c>
      <c r="EI294" s="36">
        <f t="shared" si="148"/>
        <v>4.7183501087001033E-4</v>
      </c>
      <c r="EJ294" s="36">
        <f t="shared" si="148"/>
        <v>6.0742099504408826E-4</v>
      </c>
      <c r="EM294" s="104"/>
      <c r="EN294" s="104"/>
      <c r="FE294" s="32"/>
      <c r="FF294" s="34"/>
      <c r="FG294" s="31"/>
      <c r="FU294" s="192">
        <f t="shared" ref="FU294:FU336" si="149">BV294+BM294+BB294+AZ294+AY294+AA294</f>
        <v>0</v>
      </c>
    </row>
    <row r="295" spans="2:177">
      <c r="B295" s="9">
        <v>40940</v>
      </c>
      <c r="C295" s="110">
        <v>0</v>
      </c>
      <c r="D295" s="110">
        <v>0</v>
      </c>
      <c r="E295" s="110">
        <v>0</v>
      </c>
      <c r="F295" s="110">
        <v>0</v>
      </c>
      <c r="G295" s="110">
        <v>1380</v>
      </c>
      <c r="H295" s="110">
        <v>17474</v>
      </c>
      <c r="I295" s="110">
        <v>31907</v>
      </c>
      <c r="J295" s="110">
        <v>5236</v>
      </c>
      <c r="K295" s="110">
        <v>9054</v>
      </c>
      <c r="L295" s="110"/>
      <c r="M295" s="110">
        <v>26009</v>
      </c>
      <c r="N295" s="110">
        <v>1682</v>
      </c>
      <c r="O295" s="110"/>
      <c r="P295" s="110">
        <v>1621</v>
      </c>
      <c r="Q295" s="110">
        <v>11863</v>
      </c>
      <c r="R295" s="110">
        <v>311</v>
      </c>
      <c r="S295" s="110">
        <v>8401</v>
      </c>
      <c r="T295" s="110">
        <v>11509</v>
      </c>
      <c r="U295" s="110"/>
      <c r="V295" s="110"/>
      <c r="W295" s="110">
        <v>415</v>
      </c>
      <c r="X295" s="110">
        <v>8098</v>
      </c>
      <c r="Y295" s="110">
        <v>334</v>
      </c>
      <c r="Z295" s="110">
        <v>6</v>
      </c>
      <c r="AA295" s="160"/>
      <c r="AB295" s="110">
        <v>7</v>
      </c>
      <c r="AC295" s="110">
        <v>224</v>
      </c>
      <c r="AD295" s="110">
        <v>26</v>
      </c>
      <c r="AE295" s="110">
        <v>32</v>
      </c>
      <c r="AF295" s="110">
        <v>41</v>
      </c>
      <c r="AG295" s="110">
        <v>85</v>
      </c>
      <c r="AH295" s="110"/>
      <c r="AI295" s="110"/>
      <c r="AJ295" s="110">
        <v>11</v>
      </c>
      <c r="AK295" s="110">
        <v>11051</v>
      </c>
      <c r="AL295" s="110">
        <v>111110</v>
      </c>
      <c r="AM295" s="110">
        <v>3182</v>
      </c>
      <c r="AN295" s="110">
        <v>20765</v>
      </c>
      <c r="AO295" s="110">
        <v>17</v>
      </c>
      <c r="AP295" s="110">
        <v>2</v>
      </c>
      <c r="AQ295" s="110">
        <v>7769</v>
      </c>
      <c r="AR295" s="110">
        <v>0</v>
      </c>
      <c r="AS295" s="110">
        <v>2898</v>
      </c>
      <c r="AT295" s="110">
        <v>43</v>
      </c>
      <c r="AU295" s="110">
        <v>6694</v>
      </c>
      <c r="AV295" s="110">
        <v>2339</v>
      </c>
      <c r="AW295" s="110">
        <v>4592</v>
      </c>
      <c r="AX295" s="110">
        <v>15227</v>
      </c>
      <c r="AY295" s="160"/>
      <c r="AZ295" s="160"/>
      <c r="BA295" s="160">
        <v>831</v>
      </c>
      <c r="BB295" s="160"/>
      <c r="BC295" s="110">
        <v>328</v>
      </c>
      <c r="BD295" s="110"/>
      <c r="BE295" s="110">
        <v>0</v>
      </c>
      <c r="BF295" s="110">
        <v>0</v>
      </c>
      <c r="BG295" s="110">
        <v>1231</v>
      </c>
      <c r="BH295" s="110">
        <v>0</v>
      </c>
      <c r="BI295" s="110">
        <v>0</v>
      </c>
      <c r="BJ295" s="110">
        <v>8122</v>
      </c>
      <c r="BK295" s="110">
        <v>11</v>
      </c>
      <c r="BL295" s="110">
        <v>2532</v>
      </c>
      <c r="BM295" s="110"/>
      <c r="BN295" s="110">
        <v>423</v>
      </c>
      <c r="BO295" s="110">
        <v>27</v>
      </c>
      <c r="BP295" s="110">
        <v>16918</v>
      </c>
      <c r="BQ295" s="110">
        <v>81308</v>
      </c>
      <c r="BR295" s="110">
        <v>487</v>
      </c>
      <c r="BS295" s="110">
        <v>118</v>
      </c>
      <c r="BT295" s="110">
        <v>6789</v>
      </c>
      <c r="BU295" s="110">
        <v>71</v>
      </c>
      <c r="BV295" s="110"/>
      <c r="BW295" s="110">
        <v>3</v>
      </c>
      <c r="BX295" s="110">
        <v>53</v>
      </c>
      <c r="BY295" s="110"/>
      <c r="BZ295" s="110">
        <v>5</v>
      </c>
      <c r="CA295" s="110">
        <v>0</v>
      </c>
      <c r="CB295" s="110">
        <v>23966</v>
      </c>
      <c r="CC295" s="110">
        <v>14238</v>
      </c>
      <c r="CD295" s="110">
        <v>154613</v>
      </c>
      <c r="CE295" s="110">
        <v>248459</v>
      </c>
      <c r="CF295" s="110">
        <v>24624</v>
      </c>
      <c r="CG295" s="110">
        <v>48746</v>
      </c>
      <c r="CH295" s="110">
        <v>0</v>
      </c>
      <c r="CI295" s="110">
        <v>1</v>
      </c>
      <c r="CJ295" s="110">
        <v>4</v>
      </c>
      <c r="CK295" s="110">
        <v>32</v>
      </c>
      <c r="CL295" s="110"/>
      <c r="CM295" s="110"/>
      <c r="CN295" s="110"/>
      <c r="CO295" s="110"/>
      <c r="CP295" s="110"/>
      <c r="CQ295" s="110"/>
      <c r="CR295" s="110"/>
      <c r="CS295" s="110"/>
      <c r="CT295" s="110">
        <v>0</v>
      </c>
      <c r="CU295" s="110">
        <v>0</v>
      </c>
      <c r="CV295" s="110">
        <v>0</v>
      </c>
      <c r="CW295" s="110">
        <v>19</v>
      </c>
      <c r="CX295" s="110">
        <v>0</v>
      </c>
      <c r="CY295" s="110">
        <v>33</v>
      </c>
      <c r="DA295" s="6"/>
      <c r="DC295" s="6"/>
      <c r="DD295" s="6">
        <f t="shared" ref="DD295" si="150">SUM(BE295:CK295)</f>
        <v>632781</v>
      </c>
      <c r="DE295" s="6">
        <f t="shared" si="102"/>
        <v>256692</v>
      </c>
      <c r="DF295" s="8">
        <f t="shared" ref="DF295" si="151">SUM(DD295:DE295)</f>
        <v>889473</v>
      </c>
      <c r="DK295" s="6">
        <f t="shared" si="103"/>
        <v>58400</v>
      </c>
      <c r="DL295" s="6">
        <f t="shared" si="104"/>
        <v>143766</v>
      </c>
      <c r="DM295" s="6">
        <f t="shared" ref="DM295" si="152">T295</f>
        <v>11509</v>
      </c>
      <c r="DN295" s="6">
        <f t="shared" ref="DN295" si="153">AG295+AX295+AN295+AP295+AQ295+AR295</f>
        <v>43848</v>
      </c>
      <c r="DO295" s="6">
        <f t="shared" ref="DO295" si="154">SUM(BF295,BI295,BK295,BO295,BR295:BS295,BU295:BW295,BZ295:CB295,CD295:CF295,CJ295:CK295)</f>
        <v>452420</v>
      </c>
      <c r="DP295" s="6">
        <f t="shared" si="108"/>
        <v>88520</v>
      </c>
      <c r="DQ295" s="6"/>
      <c r="DR295" s="6">
        <f t="shared" ref="DR295" si="155">CC295+CI295</f>
        <v>14239</v>
      </c>
      <c r="DS295" s="6">
        <f t="shared" ref="DS295" si="156">BP295</f>
        <v>16918</v>
      </c>
      <c r="DT295" s="6">
        <f t="shared" ref="DT295" si="157">BG295+BJ295+BL295+BX295</f>
        <v>11938</v>
      </c>
      <c r="DU295" s="6"/>
      <c r="DV295" s="6"/>
      <c r="DW295" s="6">
        <f t="shared" ref="DW295" si="158">SUM(DK295:DT295)</f>
        <v>841558</v>
      </c>
      <c r="DY295" s="6">
        <f t="shared" si="105"/>
        <v>576775</v>
      </c>
      <c r="DZ295" s="6">
        <f t="shared" si="106"/>
        <v>65051</v>
      </c>
      <c r="EB295" s="6">
        <f t="shared" si="107"/>
        <v>954524</v>
      </c>
      <c r="EC295" s="6"/>
      <c r="ED295" s="6"/>
      <c r="EF295" s="6">
        <f t="shared" ref="EF295" si="159">SUM(BE295:CK295)-CG295-BP295</f>
        <v>567117</v>
      </c>
      <c r="EG295" s="6">
        <f t="shared" si="127"/>
        <v>249754</v>
      </c>
      <c r="EH295" s="6">
        <f t="shared" ref="EH295" si="160">SUM(EF295:EG295)</f>
        <v>816871</v>
      </c>
      <c r="EI295" s="36">
        <f t="shared" ref="EI295" si="161">(EF295-EF294)/EF294</f>
        <v>9.2809778217553957E-3</v>
      </c>
      <c r="EJ295" s="36">
        <f t="shared" ref="EJ295" si="162">(EG295-EG294)/EG294</f>
        <v>4.0644359841281964E-3</v>
      </c>
      <c r="EM295" s="104"/>
      <c r="EN295" s="104"/>
      <c r="FE295" s="32"/>
      <c r="FF295" s="34"/>
      <c r="FG295" s="31"/>
      <c r="FU295" s="192">
        <f t="shared" si="149"/>
        <v>0</v>
      </c>
    </row>
    <row r="296" spans="2:177">
      <c r="B296" s="9">
        <v>40969</v>
      </c>
      <c r="C296" s="110">
        <v>0</v>
      </c>
      <c r="D296" s="110">
        <v>0</v>
      </c>
      <c r="E296" s="110">
        <v>0</v>
      </c>
      <c r="F296" s="110">
        <v>0</v>
      </c>
      <c r="G296" s="110">
        <v>1398</v>
      </c>
      <c r="H296" s="110">
        <v>17481</v>
      </c>
      <c r="I296" s="110">
        <v>31669</v>
      </c>
      <c r="J296" s="110">
        <v>5123</v>
      </c>
      <c r="K296" s="110">
        <v>9021</v>
      </c>
      <c r="L296" s="110"/>
      <c r="M296" s="110">
        <v>25969</v>
      </c>
      <c r="N296" s="110">
        <v>1688</v>
      </c>
      <c r="O296" s="110"/>
      <c r="P296" s="110">
        <v>1634</v>
      </c>
      <c r="Q296" s="110">
        <v>11961</v>
      </c>
      <c r="R296" s="110">
        <v>308</v>
      </c>
      <c r="S296" s="110">
        <v>8404</v>
      </c>
      <c r="T296" s="110">
        <v>11525</v>
      </c>
      <c r="U296" s="110"/>
      <c r="V296" s="110"/>
      <c r="W296" s="110">
        <v>413</v>
      </c>
      <c r="X296" s="110">
        <v>8046</v>
      </c>
      <c r="Y296" s="110">
        <v>335</v>
      </c>
      <c r="Z296" s="110">
        <v>7</v>
      </c>
      <c r="AA296" s="160"/>
      <c r="AB296" s="110">
        <v>7</v>
      </c>
      <c r="AC296" s="110">
        <v>228</v>
      </c>
      <c r="AD296" s="110">
        <v>24</v>
      </c>
      <c r="AE296" s="110">
        <v>32</v>
      </c>
      <c r="AF296" s="110">
        <v>42</v>
      </c>
      <c r="AG296" s="110">
        <v>85</v>
      </c>
      <c r="AH296" s="110"/>
      <c r="AI296" s="110"/>
      <c r="AJ296" s="110">
        <v>11</v>
      </c>
      <c r="AK296" s="110">
        <v>11032</v>
      </c>
      <c r="AL296" s="110">
        <v>111232</v>
      </c>
      <c r="AM296" s="110">
        <v>3181</v>
      </c>
      <c r="AN296" s="110">
        <v>20893</v>
      </c>
      <c r="AO296" s="110">
        <v>16</v>
      </c>
      <c r="AP296" s="110">
        <v>4</v>
      </c>
      <c r="AQ296" s="110">
        <v>8860</v>
      </c>
      <c r="AR296" s="110">
        <v>0</v>
      </c>
      <c r="AS296" s="110">
        <v>2834</v>
      </c>
      <c r="AT296" s="110">
        <v>46</v>
      </c>
      <c r="AU296" s="110">
        <v>6712</v>
      </c>
      <c r="AV296" s="110">
        <v>2355</v>
      </c>
      <c r="AW296" s="110">
        <v>4606</v>
      </c>
      <c r="AX296" s="110">
        <v>15394</v>
      </c>
      <c r="AY296" s="160"/>
      <c r="AZ296" s="160"/>
      <c r="BA296" s="160">
        <v>840</v>
      </c>
      <c r="BB296" s="160"/>
      <c r="BC296" s="110">
        <v>314</v>
      </c>
      <c r="BD296" s="110"/>
      <c r="BE296" s="110">
        <v>0</v>
      </c>
      <c r="BF296" s="110">
        <v>0</v>
      </c>
      <c r="BG296" s="110">
        <v>1237</v>
      </c>
      <c r="BH296" s="110">
        <v>0</v>
      </c>
      <c r="BI296" s="110">
        <v>0</v>
      </c>
      <c r="BJ296" s="110">
        <v>8092</v>
      </c>
      <c r="BK296" s="110">
        <v>11</v>
      </c>
      <c r="BL296" s="110">
        <v>2533</v>
      </c>
      <c r="BM296" s="110"/>
      <c r="BN296" s="110">
        <v>417</v>
      </c>
      <c r="BO296" s="110">
        <v>26</v>
      </c>
      <c r="BP296" s="110">
        <v>18949</v>
      </c>
      <c r="BQ296" s="110">
        <v>80906</v>
      </c>
      <c r="BR296" s="110">
        <v>487</v>
      </c>
      <c r="BS296" s="110">
        <v>109</v>
      </c>
      <c r="BT296" s="110">
        <v>6609</v>
      </c>
      <c r="BU296" s="110">
        <v>68</v>
      </c>
      <c r="BV296" s="110"/>
      <c r="BW296" s="110">
        <v>2</v>
      </c>
      <c r="BX296" s="110">
        <v>47</v>
      </c>
      <c r="BY296" s="110"/>
      <c r="BZ296" s="110">
        <v>2</v>
      </c>
      <c r="CA296" s="110">
        <v>0</v>
      </c>
      <c r="CB296" s="110">
        <v>23816</v>
      </c>
      <c r="CC296" s="110">
        <v>14333</v>
      </c>
      <c r="CD296" s="110">
        <v>153848</v>
      </c>
      <c r="CE296" s="110">
        <v>247898</v>
      </c>
      <c r="CF296" s="110">
        <v>24839</v>
      </c>
      <c r="CG296" s="110">
        <v>48456</v>
      </c>
      <c r="CH296" s="110">
        <v>0</v>
      </c>
      <c r="CI296" s="110">
        <v>1</v>
      </c>
      <c r="CJ296" s="110">
        <v>5</v>
      </c>
      <c r="CK296" s="110">
        <v>42</v>
      </c>
      <c r="CL296" s="110"/>
      <c r="CM296" s="110"/>
      <c r="CN296" s="110"/>
      <c r="CO296" s="110"/>
      <c r="CP296" s="110"/>
      <c r="CQ296" s="110"/>
      <c r="CR296" s="110"/>
      <c r="CS296" s="110"/>
      <c r="CT296" s="110">
        <v>0</v>
      </c>
      <c r="CU296" s="110">
        <v>0</v>
      </c>
      <c r="CV296" s="110">
        <v>0</v>
      </c>
      <c r="CW296" s="110">
        <v>19</v>
      </c>
      <c r="CX296" s="110">
        <v>0</v>
      </c>
      <c r="CY296" s="110">
        <v>33</v>
      </c>
      <c r="DA296" s="6"/>
      <c r="DC296" s="6"/>
      <c r="DD296" s="6">
        <f t="shared" ref="DD296:DD299" si="163">SUM(BE296:CK296)</f>
        <v>632733</v>
      </c>
      <c r="DE296" s="6">
        <f t="shared" si="102"/>
        <v>258198</v>
      </c>
      <c r="DF296" s="8">
        <f t="shared" ref="DF296:DF299" si="164">SUM(DD296:DE296)</f>
        <v>890931</v>
      </c>
      <c r="DK296" s="6">
        <f t="shared" si="103"/>
        <v>58423</v>
      </c>
      <c r="DL296" s="6">
        <f t="shared" si="104"/>
        <v>143854</v>
      </c>
      <c r="DM296" s="6">
        <f t="shared" ref="DM296:DM299" si="165">T296</f>
        <v>11525</v>
      </c>
      <c r="DN296" s="6">
        <f t="shared" ref="DN296:DN299" si="166">AG296+AX296+AN296+AP296+AQ296+AR296</f>
        <v>45236</v>
      </c>
      <c r="DO296" s="6">
        <f t="shared" ref="DO296:DO299" si="167">SUM(BF296,BI296,BK296,BO296,BR296:BS296,BU296:BW296,BZ296:CB296,CD296:CF296,CJ296:CK296)</f>
        <v>451153</v>
      </c>
      <c r="DP296" s="6">
        <f t="shared" si="108"/>
        <v>87932</v>
      </c>
      <c r="DQ296" s="6"/>
      <c r="DR296" s="6">
        <f t="shared" ref="DR296:DR299" si="168">CC296+CI296</f>
        <v>14334</v>
      </c>
      <c r="DS296" s="6">
        <f t="shared" ref="DS296:DS299" si="169">BP296</f>
        <v>18949</v>
      </c>
      <c r="DT296" s="6">
        <f t="shared" ref="DT296:DT299" si="170">BG296+BJ296+BL296+BX296</f>
        <v>11909</v>
      </c>
      <c r="DU296" s="6"/>
      <c r="DV296" s="6"/>
      <c r="DW296" s="6">
        <f t="shared" ref="DW296:DW299" si="171">SUM(DK296:DT296)</f>
        <v>843315</v>
      </c>
      <c r="DY296" s="6">
        <f t="shared" si="105"/>
        <v>574812</v>
      </c>
      <c r="DZ296" s="6">
        <f t="shared" si="106"/>
        <v>64692</v>
      </c>
      <c r="EB296" s="6">
        <f t="shared" si="107"/>
        <v>955623</v>
      </c>
      <c r="EC296" s="6"/>
      <c r="ED296" s="6"/>
      <c r="EF296" s="6">
        <f t="shared" ref="EF296:EF299" si="172">SUM(BE296:CK296)-CG296-BP296</f>
        <v>565328</v>
      </c>
      <c r="EG296" s="6">
        <f t="shared" si="127"/>
        <v>250178</v>
      </c>
      <c r="EH296" s="6">
        <f t="shared" ref="EH296:EH299" si="173">SUM(EF296:EG296)</f>
        <v>815506</v>
      </c>
      <c r="EI296" s="36">
        <f t="shared" ref="EI296:EI298" si="174">(EF296-EF295)/EF295</f>
        <v>-3.1545518825921281E-3</v>
      </c>
      <c r="EJ296" s="36">
        <f t="shared" ref="EJ296:EJ298" si="175">(EG296-EG295)/EG295</f>
        <v>1.6976705077796552E-3</v>
      </c>
      <c r="EM296" s="104"/>
      <c r="EN296" s="104"/>
      <c r="FE296" s="32"/>
      <c r="FF296" s="34"/>
      <c r="FG296" s="31"/>
      <c r="FU296" s="192">
        <f t="shared" si="149"/>
        <v>0</v>
      </c>
    </row>
    <row r="297" spans="2:177">
      <c r="B297" s="9">
        <v>41000</v>
      </c>
      <c r="C297" s="110">
        <v>0</v>
      </c>
      <c r="D297" s="110">
        <v>0</v>
      </c>
      <c r="E297" s="110">
        <v>0</v>
      </c>
      <c r="F297" s="110">
        <v>0</v>
      </c>
      <c r="G297" s="110">
        <v>1436</v>
      </c>
      <c r="H297" s="110">
        <v>17490</v>
      </c>
      <c r="I297" s="110">
        <v>32049</v>
      </c>
      <c r="J297" s="110">
        <v>5143</v>
      </c>
      <c r="K297" s="110">
        <v>9132</v>
      </c>
      <c r="L297" s="110"/>
      <c r="M297" s="110">
        <v>25913</v>
      </c>
      <c r="N297" s="110">
        <v>1675</v>
      </c>
      <c r="O297" s="110"/>
      <c r="P297" s="110">
        <v>1657</v>
      </c>
      <c r="Q297" s="110">
        <v>12091</v>
      </c>
      <c r="R297" s="110">
        <v>306</v>
      </c>
      <c r="S297" s="110">
        <v>8447</v>
      </c>
      <c r="T297" s="110">
        <v>11546</v>
      </c>
      <c r="U297" s="110"/>
      <c r="V297" s="110"/>
      <c r="W297" s="110">
        <v>418</v>
      </c>
      <c r="X297" s="110">
        <v>8051</v>
      </c>
      <c r="Y297" s="110">
        <v>333</v>
      </c>
      <c r="Z297" s="110">
        <v>7</v>
      </c>
      <c r="AA297" s="160"/>
      <c r="AB297" s="110">
        <v>6</v>
      </c>
      <c r="AC297" s="110">
        <v>225</v>
      </c>
      <c r="AD297" s="110">
        <v>27</v>
      </c>
      <c r="AE297" s="110">
        <v>32</v>
      </c>
      <c r="AF297" s="110">
        <v>42</v>
      </c>
      <c r="AG297" s="110">
        <v>87</v>
      </c>
      <c r="AH297" s="110"/>
      <c r="AI297" s="110"/>
      <c r="AJ297" s="110">
        <v>11</v>
      </c>
      <c r="AK297" s="110">
        <v>11045</v>
      </c>
      <c r="AL297" s="110">
        <v>111163</v>
      </c>
      <c r="AM297" s="110">
        <v>3147</v>
      </c>
      <c r="AN297" s="110">
        <v>21084</v>
      </c>
      <c r="AO297" s="110">
        <v>19</v>
      </c>
      <c r="AP297" s="110">
        <v>2</v>
      </c>
      <c r="AQ297" s="110">
        <v>9376</v>
      </c>
      <c r="AR297" s="110">
        <v>0</v>
      </c>
      <c r="AS297" s="110">
        <v>2919</v>
      </c>
      <c r="AT297" s="110">
        <v>46</v>
      </c>
      <c r="AU297" s="110">
        <v>6773</v>
      </c>
      <c r="AV297" s="110">
        <v>2362</v>
      </c>
      <c r="AW297" s="110">
        <v>4648</v>
      </c>
      <c r="AX297" s="110">
        <v>15396</v>
      </c>
      <c r="AY297" s="160"/>
      <c r="AZ297" s="160"/>
      <c r="BA297" s="160">
        <v>860</v>
      </c>
      <c r="BB297" s="160"/>
      <c r="BC297" s="110">
        <v>352</v>
      </c>
      <c r="BD297" s="110"/>
      <c r="BE297" s="110">
        <v>0</v>
      </c>
      <c r="BF297" s="110">
        <v>0</v>
      </c>
      <c r="BG297" s="110">
        <v>1243</v>
      </c>
      <c r="BH297" s="110">
        <v>0</v>
      </c>
      <c r="BI297" s="110">
        <v>0</v>
      </c>
      <c r="BJ297" s="110">
        <v>8089</v>
      </c>
      <c r="BK297" s="110">
        <v>11</v>
      </c>
      <c r="BL297" s="110">
        <v>2527</v>
      </c>
      <c r="BM297" s="110"/>
      <c r="BN297" s="110">
        <v>414</v>
      </c>
      <c r="BO297" s="110">
        <v>25</v>
      </c>
      <c r="BP297" s="110">
        <v>21258</v>
      </c>
      <c r="BQ297" s="110">
        <v>81662</v>
      </c>
      <c r="BR297" s="110">
        <v>492</v>
      </c>
      <c r="BS297" s="110">
        <v>107</v>
      </c>
      <c r="BT297" s="110">
        <v>6587</v>
      </c>
      <c r="BU297" s="110">
        <v>61</v>
      </c>
      <c r="BV297" s="110"/>
      <c r="BW297" s="110">
        <v>2</v>
      </c>
      <c r="BX297" s="110">
        <v>49</v>
      </c>
      <c r="BY297" s="110"/>
      <c r="BZ297" s="110">
        <v>0</v>
      </c>
      <c r="CA297" s="110">
        <v>0</v>
      </c>
      <c r="CB297" s="110">
        <v>23655</v>
      </c>
      <c r="CC297" s="110">
        <v>14557</v>
      </c>
      <c r="CD297" s="110">
        <v>154574</v>
      </c>
      <c r="CE297" s="110">
        <v>249282</v>
      </c>
      <c r="CF297" s="110">
        <v>24967</v>
      </c>
      <c r="CG297" s="110">
        <v>48326</v>
      </c>
      <c r="CH297" s="110">
        <v>0</v>
      </c>
      <c r="CI297" s="110">
        <v>1</v>
      </c>
      <c r="CJ297" s="110">
        <v>5</v>
      </c>
      <c r="CK297" s="110">
        <v>44</v>
      </c>
      <c r="CL297" s="110"/>
      <c r="CM297" s="110"/>
      <c r="CN297" s="110"/>
      <c r="CO297" s="110"/>
      <c r="CP297" s="110"/>
      <c r="CQ297" s="110"/>
      <c r="CR297" s="110"/>
      <c r="CS297" s="110"/>
      <c r="CT297" s="110">
        <v>0</v>
      </c>
      <c r="CU297" s="110">
        <v>0</v>
      </c>
      <c r="CV297" s="110">
        <v>0</v>
      </c>
      <c r="CW297" s="110">
        <v>19</v>
      </c>
      <c r="CX297" s="110">
        <v>0</v>
      </c>
      <c r="CY297" s="110">
        <v>33</v>
      </c>
      <c r="DA297" s="6"/>
      <c r="DC297" s="6"/>
      <c r="DD297" s="6">
        <f t="shared" si="163"/>
        <v>637938</v>
      </c>
      <c r="DE297" s="6">
        <f t="shared" si="102"/>
        <v>259206</v>
      </c>
      <c r="DF297" s="8">
        <f t="shared" si="164"/>
        <v>897144</v>
      </c>
      <c r="DK297" s="6">
        <f t="shared" si="103"/>
        <v>58558</v>
      </c>
      <c r="DL297" s="6">
        <f t="shared" si="104"/>
        <v>144017</v>
      </c>
      <c r="DM297" s="6">
        <f t="shared" si="165"/>
        <v>11546</v>
      </c>
      <c r="DN297" s="6">
        <f t="shared" si="166"/>
        <v>45945</v>
      </c>
      <c r="DO297" s="6">
        <f t="shared" si="167"/>
        <v>453225</v>
      </c>
      <c r="DP297" s="6">
        <f t="shared" si="108"/>
        <v>88663</v>
      </c>
      <c r="DQ297" s="6"/>
      <c r="DR297" s="6">
        <f t="shared" si="168"/>
        <v>14558</v>
      </c>
      <c r="DS297" s="6">
        <f t="shared" si="169"/>
        <v>21258</v>
      </c>
      <c r="DT297" s="6">
        <f t="shared" si="170"/>
        <v>11908</v>
      </c>
      <c r="DU297" s="6"/>
      <c r="DV297" s="6"/>
      <c r="DW297" s="6">
        <f t="shared" si="171"/>
        <v>849678</v>
      </c>
      <c r="DY297" s="6">
        <f t="shared" si="105"/>
        <v>577273</v>
      </c>
      <c r="DZ297" s="6">
        <f t="shared" si="106"/>
        <v>65250</v>
      </c>
      <c r="EB297" s="6">
        <f t="shared" si="107"/>
        <v>962394</v>
      </c>
      <c r="EC297" s="6"/>
      <c r="ED297" s="6"/>
      <c r="EF297" s="6">
        <f t="shared" si="172"/>
        <v>568354</v>
      </c>
      <c r="EG297" s="6">
        <f t="shared" si="127"/>
        <v>250690</v>
      </c>
      <c r="EH297" s="6">
        <f t="shared" si="173"/>
        <v>819044</v>
      </c>
      <c r="EI297" s="36">
        <f t="shared" si="174"/>
        <v>5.3526448362720405E-3</v>
      </c>
      <c r="EJ297" s="36">
        <f t="shared" si="175"/>
        <v>2.0465428614826245E-3</v>
      </c>
      <c r="EM297" s="104"/>
      <c r="EN297" s="104"/>
      <c r="FE297" s="32"/>
      <c r="FF297" s="34"/>
      <c r="FG297" s="31"/>
      <c r="FU297" s="192">
        <f t="shared" si="149"/>
        <v>0</v>
      </c>
    </row>
    <row r="298" spans="2:177">
      <c r="B298" s="9">
        <v>41030</v>
      </c>
      <c r="C298" s="110">
        <v>0</v>
      </c>
      <c r="D298" s="110">
        <v>0</v>
      </c>
      <c r="E298" s="110">
        <v>0</v>
      </c>
      <c r="F298" s="110">
        <v>0</v>
      </c>
      <c r="G298" s="110">
        <v>1471</v>
      </c>
      <c r="H298" s="110">
        <v>17502</v>
      </c>
      <c r="I298" s="110">
        <v>32155</v>
      </c>
      <c r="J298" s="110">
        <v>5179</v>
      </c>
      <c r="K298" s="110">
        <v>9223</v>
      </c>
      <c r="L298" s="110"/>
      <c r="M298" s="110">
        <v>25852</v>
      </c>
      <c r="N298" s="110">
        <v>1662</v>
      </c>
      <c r="O298" s="110"/>
      <c r="P298" s="110">
        <v>1707</v>
      </c>
      <c r="Q298" s="110">
        <v>12218</v>
      </c>
      <c r="R298" s="110">
        <v>308</v>
      </c>
      <c r="S298" s="110">
        <v>8412</v>
      </c>
      <c r="T298" s="110">
        <v>11594</v>
      </c>
      <c r="U298" s="110"/>
      <c r="V298" s="110"/>
      <c r="W298" s="110">
        <v>402</v>
      </c>
      <c r="X298" s="110">
        <v>8034</v>
      </c>
      <c r="Y298" s="110">
        <v>334</v>
      </c>
      <c r="Z298" s="110">
        <v>7</v>
      </c>
      <c r="AA298" s="160"/>
      <c r="AB298" s="110">
        <v>8</v>
      </c>
      <c r="AC298" s="110">
        <v>220</v>
      </c>
      <c r="AD298" s="110">
        <v>27</v>
      </c>
      <c r="AE298" s="110">
        <v>32</v>
      </c>
      <c r="AF298" s="110">
        <v>43</v>
      </c>
      <c r="AG298" s="110">
        <v>91</v>
      </c>
      <c r="AH298" s="110"/>
      <c r="AI298" s="110"/>
      <c r="AJ298" s="110">
        <v>11</v>
      </c>
      <c r="AK298" s="110">
        <v>11029</v>
      </c>
      <c r="AL298" s="110">
        <v>111259</v>
      </c>
      <c r="AM298" s="110">
        <v>3159</v>
      </c>
      <c r="AN298" s="110">
        <v>21232</v>
      </c>
      <c r="AO298" s="110">
        <v>20</v>
      </c>
      <c r="AP298" s="110">
        <v>3</v>
      </c>
      <c r="AQ298" s="110">
        <v>9695</v>
      </c>
      <c r="AR298" s="110">
        <v>0</v>
      </c>
      <c r="AS298" s="110">
        <v>2976</v>
      </c>
      <c r="AT298" s="110">
        <v>45</v>
      </c>
      <c r="AU298" s="110">
        <v>6796</v>
      </c>
      <c r="AV298" s="110">
        <v>2365</v>
      </c>
      <c r="AW298" s="110">
        <v>4666</v>
      </c>
      <c r="AX298" s="110">
        <v>15517</v>
      </c>
      <c r="AY298" s="160"/>
      <c r="AZ298" s="160"/>
      <c r="BA298" s="160">
        <v>862</v>
      </c>
      <c r="BB298" s="160"/>
      <c r="BC298" s="110">
        <v>340</v>
      </c>
      <c r="BD298" s="110"/>
      <c r="BE298" s="110">
        <v>0</v>
      </c>
      <c r="BF298" s="110">
        <v>0</v>
      </c>
      <c r="BG298" s="110">
        <v>1243</v>
      </c>
      <c r="BH298" s="110">
        <v>0</v>
      </c>
      <c r="BI298" s="110">
        <v>0</v>
      </c>
      <c r="BJ298" s="110">
        <v>8120</v>
      </c>
      <c r="BK298" s="110">
        <v>11</v>
      </c>
      <c r="BL298" s="110">
        <v>2520</v>
      </c>
      <c r="BM298" s="110"/>
      <c r="BN298" s="110">
        <v>382</v>
      </c>
      <c r="BO298" s="110">
        <v>23</v>
      </c>
      <c r="BP298" s="110">
        <v>23294</v>
      </c>
      <c r="BQ298" s="110">
        <v>81835</v>
      </c>
      <c r="BR298" s="110">
        <v>482</v>
      </c>
      <c r="BS298" s="110">
        <v>107</v>
      </c>
      <c r="BT298" s="110">
        <v>6522</v>
      </c>
      <c r="BU298" s="110">
        <v>68</v>
      </c>
      <c r="BV298" s="110"/>
      <c r="BW298" s="110">
        <v>3</v>
      </c>
      <c r="BX298" s="110">
        <v>50</v>
      </c>
      <c r="BY298" s="110"/>
      <c r="BZ298" s="110">
        <v>1</v>
      </c>
      <c r="CA298" s="110">
        <v>0</v>
      </c>
      <c r="CB298" s="110">
        <v>23869</v>
      </c>
      <c r="CC298" s="110">
        <v>14646</v>
      </c>
      <c r="CD298" s="110">
        <v>154758</v>
      </c>
      <c r="CE298" s="110">
        <v>250215</v>
      </c>
      <c r="CF298" s="110">
        <v>25012</v>
      </c>
      <c r="CG298" s="110">
        <v>48521</v>
      </c>
      <c r="CH298" s="110">
        <v>0</v>
      </c>
      <c r="CI298" s="110">
        <v>0</v>
      </c>
      <c r="CJ298" s="110">
        <v>4</v>
      </c>
      <c r="CK298" s="110">
        <v>50</v>
      </c>
      <c r="CL298" s="110"/>
      <c r="CM298" s="110"/>
      <c r="CN298" s="110"/>
      <c r="CO298" s="110"/>
      <c r="CP298" s="110"/>
      <c r="CQ298" s="110"/>
      <c r="CR298" s="110"/>
      <c r="CS298" s="110"/>
      <c r="CT298" s="110">
        <v>0</v>
      </c>
      <c r="CU298" s="110">
        <v>0</v>
      </c>
      <c r="CV298" s="110">
        <v>0</v>
      </c>
      <c r="CW298" s="110">
        <v>19</v>
      </c>
      <c r="CX298" s="110">
        <v>0</v>
      </c>
      <c r="CY298" s="110">
        <v>33</v>
      </c>
      <c r="DA298" s="6"/>
      <c r="DC298" s="6"/>
      <c r="DD298" s="6">
        <f t="shared" si="163"/>
        <v>641736</v>
      </c>
      <c r="DE298" s="6">
        <f t="shared" si="102"/>
        <v>260064</v>
      </c>
      <c r="DF298" s="8">
        <f t="shared" si="164"/>
        <v>901800</v>
      </c>
      <c r="DK298" s="6">
        <f t="shared" si="103"/>
        <v>58595</v>
      </c>
      <c r="DL298" s="6">
        <f t="shared" si="104"/>
        <v>144199</v>
      </c>
      <c r="DM298" s="6">
        <f t="shared" si="165"/>
        <v>11594</v>
      </c>
      <c r="DN298" s="6">
        <f t="shared" si="166"/>
        <v>46538</v>
      </c>
      <c r="DO298" s="6">
        <f t="shared" si="167"/>
        <v>454603</v>
      </c>
      <c r="DP298" s="6">
        <f t="shared" si="108"/>
        <v>88739</v>
      </c>
      <c r="DQ298" s="6"/>
      <c r="DR298" s="6">
        <f t="shared" si="168"/>
        <v>14646</v>
      </c>
      <c r="DS298" s="6">
        <f t="shared" si="169"/>
        <v>23294</v>
      </c>
      <c r="DT298" s="6">
        <f t="shared" si="170"/>
        <v>11933</v>
      </c>
      <c r="DU298" s="6"/>
      <c r="DV298" s="6"/>
      <c r="DW298" s="6">
        <f t="shared" si="171"/>
        <v>854141</v>
      </c>
      <c r="DY298" s="6">
        <f t="shared" si="105"/>
        <v>579116</v>
      </c>
      <c r="DZ298" s="6">
        <f t="shared" si="106"/>
        <v>65530</v>
      </c>
      <c r="EB298" s="6">
        <f t="shared" si="107"/>
        <v>967330</v>
      </c>
      <c r="EC298" s="6"/>
      <c r="ED298" s="6"/>
      <c r="EF298" s="6">
        <f t="shared" si="172"/>
        <v>569921</v>
      </c>
      <c r="EG298" s="6">
        <f t="shared" si="127"/>
        <v>251231</v>
      </c>
      <c r="EH298" s="6">
        <f t="shared" si="173"/>
        <v>821152</v>
      </c>
      <c r="EI298" s="36">
        <f t="shared" si="174"/>
        <v>2.7570844931152066E-3</v>
      </c>
      <c r="EJ298" s="36">
        <f t="shared" si="175"/>
        <v>2.158043799114444E-3</v>
      </c>
      <c r="EM298" s="104"/>
      <c r="EN298" s="104"/>
      <c r="FE298" s="32"/>
      <c r="FF298" s="34"/>
      <c r="FG298" s="31"/>
      <c r="FU298" s="192">
        <f t="shared" si="149"/>
        <v>0</v>
      </c>
    </row>
    <row r="299" spans="2:177">
      <c r="B299" s="9">
        <v>41061</v>
      </c>
      <c r="C299" s="110">
        <v>0</v>
      </c>
      <c r="D299" s="110">
        <v>0</v>
      </c>
      <c r="E299" s="110">
        <v>0</v>
      </c>
      <c r="F299" s="110">
        <v>0</v>
      </c>
      <c r="G299" s="110">
        <v>1477</v>
      </c>
      <c r="H299" s="110">
        <v>17485</v>
      </c>
      <c r="I299" s="110">
        <v>32513</v>
      </c>
      <c r="J299" s="110">
        <v>5149</v>
      </c>
      <c r="K299" s="110">
        <v>9289</v>
      </c>
      <c r="L299" s="110"/>
      <c r="M299" s="110">
        <v>25640</v>
      </c>
      <c r="N299" s="110">
        <v>1650</v>
      </c>
      <c r="O299" s="110"/>
      <c r="P299" s="110">
        <v>1687</v>
      </c>
      <c r="Q299" s="110">
        <v>12108</v>
      </c>
      <c r="R299" s="110">
        <v>305</v>
      </c>
      <c r="S299" s="110">
        <v>8412</v>
      </c>
      <c r="T299" s="110">
        <v>11604</v>
      </c>
      <c r="U299" s="110"/>
      <c r="V299" s="110"/>
      <c r="W299" s="110">
        <v>401</v>
      </c>
      <c r="X299" s="110">
        <v>8018</v>
      </c>
      <c r="Y299" s="110">
        <v>337</v>
      </c>
      <c r="Z299" s="110">
        <v>7</v>
      </c>
      <c r="AA299" s="160"/>
      <c r="AB299" s="110">
        <v>8</v>
      </c>
      <c r="AC299" s="110">
        <v>220</v>
      </c>
      <c r="AD299" s="110">
        <v>28</v>
      </c>
      <c r="AE299" s="110">
        <v>34</v>
      </c>
      <c r="AF299" s="110">
        <v>42</v>
      </c>
      <c r="AG299" s="110">
        <v>92</v>
      </c>
      <c r="AH299" s="110"/>
      <c r="AI299" s="110"/>
      <c r="AJ299" s="110">
        <v>8</v>
      </c>
      <c r="AK299" s="110">
        <v>11035</v>
      </c>
      <c r="AL299" s="110">
        <v>111249</v>
      </c>
      <c r="AM299" s="110">
        <v>3176</v>
      </c>
      <c r="AN299" s="110">
        <v>21231</v>
      </c>
      <c r="AO299" s="110">
        <v>22</v>
      </c>
      <c r="AP299" s="110">
        <v>3</v>
      </c>
      <c r="AQ299" s="110">
        <v>9984</v>
      </c>
      <c r="AR299" s="110">
        <v>0</v>
      </c>
      <c r="AS299" s="110">
        <v>3071</v>
      </c>
      <c r="AT299" s="110">
        <v>46</v>
      </c>
      <c r="AU299" s="110">
        <v>6812</v>
      </c>
      <c r="AV299" s="110">
        <v>2379</v>
      </c>
      <c r="AW299" s="110">
        <v>4682</v>
      </c>
      <c r="AX299" s="110">
        <v>15580</v>
      </c>
      <c r="AY299" s="160"/>
      <c r="AZ299" s="160"/>
      <c r="BA299" s="160">
        <v>856</v>
      </c>
      <c r="BB299" s="160"/>
      <c r="BC299" s="110">
        <v>354</v>
      </c>
      <c r="BD299" s="110"/>
      <c r="BE299" s="110">
        <v>0</v>
      </c>
      <c r="BF299" s="110">
        <v>0</v>
      </c>
      <c r="BG299" s="110">
        <v>1255</v>
      </c>
      <c r="BH299" s="110">
        <v>0</v>
      </c>
      <c r="BI299" s="110">
        <v>0</v>
      </c>
      <c r="BJ299" s="110">
        <v>8139</v>
      </c>
      <c r="BK299" s="110">
        <v>7</v>
      </c>
      <c r="BL299" s="110">
        <v>2509</v>
      </c>
      <c r="BM299" s="110"/>
      <c r="BN299" s="110">
        <v>402</v>
      </c>
      <c r="BO299" s="110">
        <v>23</v>
      </c>
      <c r="BP299" s="110">
        <v>25418</v>
      </c>
      <c r="BQ299" s="110">
        <v>82213</v>
      </c>
      <c r="BR299" s="110">
        <v>485</v>
      </c>
      <c r="BS299" s="110">
        <v>107</v>
      </c>
      <c r="BT299" s="110">
        <v>6386</v>
      </c>
      <c r="BU299" s="110">
        <v>61</v>
      </c>
      <c r="BV299" s="110"/>
      <c r="BW299" s="110">
        <v>3</v>
      </c>
      <c r="BX299" s="110">
        <v>47</v>
      </c>
      <c r="BY299" s="110"/>
      <c r="BZ299" s="110">
        <v>2</v>
      </c>
      <c r="CA299" s="110">
        <v>0</v>
      </c>
      <c r="CB299" s="110">
        <v>23902</v>
      </c>
      <c r="CC299" s="110">
        <v>14832</v>
      </c>
      <c r="CD299" s="110">
        <v>155074</v>
      </c>
      <c r="CE299" s="110">
        <v>251206</v>
      </c>
      <c r="CF299" s="110">
        <v>24933</v>
      </c>
      <c r="CG299" s="110">
        <v>48723</v>
      </c>
      <c r="CH299" s="110">
        <v>0</v>
      </c>
      <c r="CI299" s="110">
        <v>0</v>
      </c>
      <c r="CJ299" s="110">
        <v>4</v>
      </c>
      <c r="CK299" s="110">
        <v>52</v>
      </c>
      <c r="CL299" s="110"/>
      <c r="CM299" s="110"/>
      <c r="CN299" s="110"/>
      <c r="CO299" s="110"/>
      <c r="CP299" s="110"/>
      <c r="CQ299" s="110"/>
      <c r="CR299" s="110"/>
      <c r="CS299" s="110"/>
      <c r="CT299" s="110">
        <v>0</v>
      </c>
      <c r="CU299" s="110">
        <v>0</v>
      </c>
      <c r="CV299" s="110">
        <v>0</v>
      </c>
      <c r="CW299" s="110">
        <v>19</v>
      </c>
      <c r="CX299" s="110">
        <v>0</v>
      </c>
      <c r="CY299" s="110">
        <v>33</v>
      </c>
      <c r="DA299" s="6"/>
      <c r="DC299" s="6"/>
      <c r="DD299" s="6">
        <f t="shared" si="163"/>
        <v>645783</v>
      </c>
      <c r="DE299" s="6">
        <f t="shared" si="102"/>
        <v>260225</v>
      </c>
      <c r="DF299" s="8">
        <f t="shared" si="164"/>
        <v>906008</v>
      </c>
      <c r="DK299" s="6">
        <f t="shared" si="103"/>
        <v>58221</v>
      </c>
      <c r="DL299" s="6">
        <f t="shared" si="104"/>
        <v>144366</v>
      </c>
      <c r="DM299" s="6">
        <f t="shared" si="165"/>
        <v>11604</v>
      </c>
      <c r="DN299" s="6">
        <f t="shared" si="166"/>
        <v>46890</v>
      </c>
      <c r="DO299" s="6">
        <f t="shared" si="167"/>
        <v>455859</v>
      </c>
      <c r="DP299" s="6">
        <f t="shared" si="108"/>
        <v>89001</v>
      </c>
      <c r="DQ299" s="6"/>
      <c r="DR299" s="6">
        <f t="shared" si="168"/>
        <v>14832</v>
      </c>
      <c r="DS299" s="6">
        <f t="shared" si="169"/>
        <v>25418</v>
      </c>
      <c r="DT299" s="6">
        <f t="shared" si="170"/>
        <v>11950</v>
      </c>
      <c r="DU299" s="6"/>
      <c r="DV299" s="6"/>
      <c r="DW299" s="6">
        <f t="shared" si="171"/>
        <v>858141</v>
      </c>
      <c r="DY299" s="6">
        <f t="shared" si="105"/>
        <v>580968</v>
      </c>
      <c r="DZ299" s="6">
        <f t="shared" si="106"/>
        <v>65913</v>
      </c>
      <c r="EB299" s="6">
        <f t="shared" si="107"/>
        <v>971921</v>
      </c>
      <c r="EC299" s="6"/>
      <c r="ED299" s="6"/>
      <c r="EF299" s="6">
        <f t="shared" si="172"/>
        <v>571642</v>
      </c>
      <c r="EG299" s="6">
        <f t="shared" si="127"/>
        <v>251097</v>
      </c>
      <c r="EH299" s="6">
        <f t="shared" si="173"/>
        <v>822739</v>
      </c>
      <c r="EI299" s="36">
        <f>(EF299-EF298)/EF298</f>
        <v>3.0197167677625497E-3</v>
      </c>
      <c r="EJ299" s="36">
        <f>(EG299-EG298)/EG298</f>
        <v>-5.3337366805848003E-4</v>
      </c>
      <c r="EM299" s="104"/>
      <c r="EN299" s="104"/>
      <c r="FE299" s="32"/>
      <c r="FF299" s="34"/>
      <c r="FG299" s="31"/>
      <c r="FU299" s="192">
        <f t="shared" si="149"/>
        <v>0</v>
      </c>
    </row>
    <row r="300" spans="2:177">
      <c r="B300" s="9">
        <v>41091</v>
      </c>
      <c r="C300" s="110">
        <v>0</v>
      </c>
      <c r="D300" s="110">
        <v>0</v>
      </c>
      <c r="E300" s="110">
        <v>0</v>
      </c>
      <c r="F300" s="110">
        <v>0</v>
      </c>
      <c r="G300" s="110">
        <v>1483</v>
      </c>
      <c r="H300" s="110">
        <v>17352</v>
      </c>
      <c r="I300" s="110">
        <v>32424</v>
      </c>
      <c r="J300" s="110">
        <v>5099</v>
      </c>
      <c r="K300" s="110">
        <v>9274</v>
      </c>
      <c r="L300" s="110"/>
      <c r="M300" s="110">
        <v>25548</v>
      </c>
      <c r="N300" s="110">
        <v>1631</v>
      </c>
      <c r="O300" s="110"/>
      <c r="P300" s="110">
        <v>1692</v>
      </c>
      <c r="Q300" s="110">
        <v>12185</v>
      </c>
      <c r="R300" s="110">
        <v>308</v>
      </c>
      <c r="S300" s="110">
        <v>8411</v>
      </c>
      <c r="T300" s="110">
        <v>11623</v>
      </c>
      <c r="U300" s="110"/>
      <c r="V300" s="110"/>
      <c r="W300" s="110">
        <v>394</v>
      </c>
      <c r="X300" s="110">
        <v>8038</v>
      </c>
      <c r="Y300" s="110">
        <v>339</v>
      </c>
      <c r="Z300" s="110">
        <v>7</v>
      </c>
      <c r="AA300" s="160"/>
      <c r="AB300" s="110">
        <v>10</v>
      </c>
      <c r="AC300" s="110">
        <v>228</v>
      </c>
      <c r="AD300" s="110">
        <v>28</v>
      </c>
      <c r="AE300" s="110">
        <v>34</v>
      </c>
      <c r="AF300" s="110">
        <v>42</v>
      </c>
      <c r="AG300" s="110">
        <v>99</v>
      </c>
      <c r="AH300" s="110"/>
      <c r="AI300" s="110"/>
      <c r="AJ300" s="110">
        <v>8</v>
      </c>
      <c r="AK300" s="110">
        <v>10968</v>
      </c>
      <c r="AL300" s="110">
        <v>111254</v>
      </c>
      <c r="AM300" s="110">
        <v>3170</v>
      </c>
      <c r="AN300" s="110">
        <v>21280</v>
      </c>
      <c r="AO300" s="110">
        <v>23</v>
      </c>
      <c r="AP300" s="110">
        <v>1</v>
      </c>
      <c r="AQ300" s="110">
        <v>10259</v>
      </c>
      <c r="AR300" s="110">
        <v>0</v>
      </c>
      <c r="AS300" s="110">
        <v>2957</v>
      </c>
      <c r="AT300" s="110">
        <v>46</v>
      </c>
      <c r="AU300" s="110">
        <v>6835</v>
      </c>
      <c r="AV300" s="110">
        <v>2408</v>
      </c>
      <c r="AW300" s="110">
        <v>4700</v>
      </c>
      <c r="AX300" s="110">
        <v>15633</v>
      </c>
      <c r="AY300" s="160"/>
      <c r="AZ300" s="160"/>
      <c r="BA300" s="160">
        <v>868</v>
      </c>
      <c r="BB300" s="160"/>
      <c r="BC300" s="110">
        <v>345</v>
      </c>
      <c r="BD300" s="110"/>
      <c r="BE300" s="110">
        <v>0</v>
      </c>
      <c r="BF300" s="110">
        <v>0</v>
      </c>
      <c r="BG300" s="110">
        <v>1260</v>
      </c>
      <c r="BH300" s="110">
        <v>0</v>
      </c>
      <c r="BI300" s="110">
        <v>0</v>
      </c>
      <c r="BJ300" s="110">
        <v>8099</v>
      </c>
      <c r="BK300" s="110">
        <v>6</v>
      </c>
      <c r="BL300" s="110">
        <v>2510</v>
      </c>
      <c r="BM300" s="110"/>
      <c r="BN300" s="110">
        <v>427</v>
      </c>
      <c r="BO300" s="110">
        <v>22</v>
      </c>
      <c r="BP300" s="110">
        <v>27257</v>
      </c>
      <c r="BQ300" s="110">
        <v>82650</v>
      </c>
      <c r="BR300" s="110">
        <v>484</v>
      </c>
      <c r="BS300" s="110">
        <v>112</v>
      </c>
      <c r="BT300" s="110">
        <v>6392</v>
      </c>
      <c r="BU300" s="110">
        <v>55</v>
      </c>
      <c r="BV300" s="110"/>
      <c r="BW300" s="110">
        <v>4</v>
      </c>
      <c r="BX300" s="110">
        <v>47</v>
      </c>
      <c r="BY300" s="110"/>
      <c r="BZ300" s="110">
        <v>2</v>
      </c>
      <c r="CA300" s="110">
        <v>0</v>
      </c>
      <c r="CB300" s="110">
        <v>24191</v>
      </c>
      <c r="CC300" s="110">
        <v>15038</v>
      </c>
      <c r="CD300" s="110">
        <v>155180</v>
      </c>
      <c r="CE300" s="110">
        <v>252100</v>
      </c>
      <c r="CF300" s="110">
        <v>24714</v>
      </c>
      <c r="CG300" s="110">
        <v>49140</v>
      </c>
      <c r="CH300" s="110">
        <v>0</v>
      </c>
      <c r="CI300" s="110">
        <v>0</v>
      </c>
      <c r="CJ300" s="110">
        <v>4</v>
      </c>
      <c r="CK300" s="110">
        <v>49</v>
      </c>
      <c r="CL300" s="110"/>
      <c r="CM300" s="110"/>
      <c r="CN300" s="110"/>
      <c r="CO300" s="110"/>
      <c r="CP300" s="110"/>
      <c r="CQ300" s="110"/>
      <c r="CR300" s="110"/>
      <c r="CS300" s="110"/>
      <c r="CT300" s="110">
        <v>0</v>
      </c>
      <c r="CU300" s="110">
        <v>0</v>
      </c>
      <c r="CV300" s="110">
        <v>0</v>
      </c>
      <c r="CW300" s="110">
        <v>18</v>
      </c>
      <c r="CX300" s="110">
        <v>0</v>
      </c>
      <c r="CY300" s="110">
        <v>33</v>
      </c>
      <c r="DA300" s="6"/>
      <c r="DC300" s="6"/>
      <c r="DD300" s="6">
        <f t="shared" ref="DD300:DD304" si="176">SUM(BE300:CK300)</f>
        <v>649743</v>
      </c>
      <c r="DE300" s="6">
        <f t="shared" si="102"/>
        <v>260504</v>
      </c>
      <c r="DF300" s="8">
        <f t="shared" ref="DF300:DF304" si="177">SUM(DD300:DE300)</f>
        <v>910247</v>
      </c>
      <c r="DK300" s="6">
        <f t="shared" si="103"/>
        <v>58207</v>
      </c>
      <c r="DL300" s="6">
        <f t="shared" si="104"/>
        <v>144270</v>
      </c>
      <c r="DM300" s="6">
        <f t="shared" ref="DM300:DM304" si="178">T300</f>
        <v>11623</v>
      </c>
      <c r="DN300" s="6">
        <f t="shared" ref="DN300:DN304" si="179">AG300+AX300+AN300+AP300+AQ300+AR300</f>
        <v>47272</v>
      </c>
      <c r="DO300" s="6">
        <f t="shared" ref="DO300:DO304" si="180">SUM(BF300,BI300,BK300,BO300,BR300:BS300,BU300:BW300,BZ300:CB300,CD300:CF300,CJ300:CK300)</f>
        <v>456923</v>
      </c>
      <c r="DP300" s="6">
        <f t="shared" si="108"/>
        <v>89469</v>
      </c>
      <c r="DQ300" s="6"/>
      <c r="DR300" s="6">
        <f t="shared" ref="DR300:DR304" si="181">CC300+CI300</f>
        <v>15038</v>
      </c>
      <c r="DS300" s="6">
        <f t="shared" ref="DS300:DS304" si="182">BP300</f>
        <v>27257</v>
      </c>
      <c r="DT300" s="6">
        <f t="shared" ref="DT300:DT304" si="183">BG300+BJ300+BL300+BX300</f>
        <v>11916</v>
      </c>
      <c r="DU300" s="6"/>
      <c r="DV300" s="6"/>
      <c r="DW300" s="6">
        <f t="shared" ref="DW300:DW304" si="184">SUM(DK300:DT300)</f>
        <v>861975</v>
      </c>
      <c r="DY300" s="6">
        <f t="shared" si="105"/>
        <v>582128</v>
      </c>
      <c r="DZ300" s="6">
        <f t="shared" si="106"/>
        <v>65632</v>
      </c>
      <c r="EB300" s="6">
        <f t="shared" si="107"/>
        <v>975879</v>
      </c>
      <c r="EC300" s="6"/>
      <c r="ED300" s="6"/>
      <c r="EF300" s="6">
        <f t="shared" ref="EF300:EF304" si="185">SUM(BE300:CK300)-CG300-BP300</f>
        <v>573346</v>
      </c>
      <c r="EG300" s="6">
        <f t="shared" si="127"/>
        <v>251113</v>
      </c>
      <c r="EH300" s="6">
        <f t="shared" ref="EH300:EH304" si="186">SUM(EF300:EG300)</f>
        <v>824459</v>
      </c>
      <c r="EI300" s="36">
        <f t="shared" ref="EI300:EI304" si="187">(EF300-EF299)/EF299</f>
        <v>2.9808866388403932E-3</v>
      </c>
      <c r="EJ300" s="36">
        <f t="shared" ref="EJ300:EJ304" si="188">(EG300-EG299)/EG299</f>
        <v>6.3720394907147435E-5</v>
      </c>
      <c r="EM300" s="104"/>
      <c r="EN300" s="104"/>
      <c r="FE300" s="32"/>
      <c r="FF300" s="34"/>
      <c r="FG300" s="31"/>
      <c r="FU300" s="192">
        <f t="shared" si="149"/>
        <v>0</v>
      </c>
    </row>
    <row r="301" spans="2:177">
      <c r="B301" s="9">
        <v>41122</v>
      </c>
      <c r="C301" s="110">
        <v>0</v>
      </c>
      <c r="D301" s="110">
        <v>0</v>
      </c>
      <c r="E301" s="110">
        <v>0</v>
      </c>
      <c r="F301" s="110">
        <v>0</v>
      </c>
      <c r="G301" s="110">
        <v>1478</v>
      </c>
      <c r="H301" s="110">
        <v>17289</v>
      </c>
      <c r="I301" s="110">
        <v>32089</v>
      </c>
      <c r="J301" s="110">
        <v>5025</v>
      </c>
      <c r="K301" s="110">
        <v>9294</v>
      </c>
      <c r="L301" s="110"/>
      <c r="M301" s="110">
        <v>25504</v>
      </c>
      <c r="N301" s="110">
        <v>1609</v>
      </c>
      <c r="O301" s="110"/>
      <c r="P301" s="110">
        <v>1691</v>
      </c>
      <c r="Q301" s="110">
        <v>12249</v>
      </c>
      <c r="R301" s="110">
        <v>309</v>
      </c>
      <c r="S301" s="110">
        <v>8391</v>
      </c>
      <c r="T301" s="110">
        <v>11537</v>
      </c>
      <c r="U301" s="110"/>
      <c r="V301" s="110"/>
      <c r="W301" s="110">
        <v>406</v>
      </c>
      <c r="X301" s="110">
        <v>8063</v>
      </c>
      <c r="Y301" s="110">
        <v>338</v>
      </c>
      <c r="Z301" s="110">
        <v>7</v>
      </c>
      <c r="AA301" s="160"/>
      <c r="AB301" s="110">
        <v>9</v>
      </c>
      <c r="AC301" s="110">
        <v>235</v>
      </c>
      <c r="AD301" s="110">
        <v>28</v>
      </c>
      <c r="AE301" s="110">
        <v>32</v>
      </c>
      <c r="AF301" s="110">
        <v>42</v>
      </c>
      <c r="AG301" s="110">
        <v>93</v>
      </c>
      <c r="AH301" s="110"/>
      <c r="AI301" s="110"/>
      <c r="AJ301" s="110">
        <v>9</v>
      </c>
      <c r="AK301" s="110">
        <v>10962</v>
      </c>
      <c r="AL301" s="110">
        <v>111519</v>
      </c>
      <c r="AM301" s="110">
        <v>3168</v>
      </c>
      <c r="AN301" s="110">
        <v>21365</v>
      </c>
      <c r="AO301" s="110">
        <v>20</v>
      </c>
      <c r="AP301" s="110">
        <v>2</v>
      </c>
      <c r="AQ301" s="110">
        <v>10506</v>
      </c>
      <c r="AR301" s="110">
        <v>0</v>
      </c>
      <c r="AS301" s="110">
        <v>3027</v>
      </c>
      <c r="AT301" s="110">
        <v>46</v>
      </c>
      <c r="AU301" s="110">
        <v>6873</v>
      </c>
      <c r="AV301" s="110">
        <v>2415</v>
      </c>
      <c r="AW301" s="110">
        <v>4710</v>
      </c>
      <c r="AX301" s="110">
        <v>15750</v>
      </c>
      <c r="AY301" s="160"/>
      <c r="AZ301" s="160"/>
      <c r="BA301" s="160">
        <v>871</v>
      </c>
      <c r="BB301" s="160"/>
      <c r="BC301" s="110">
        <v>373</v>
      </c>
      <c r="BD301" s="110"/>
      <c r="BE301" s="110">
        <v>0</v>
      </c>
      <c r="BF301" s="110">
        <v>0</v>
      </c>
      <c r="BG301" s="110">
        <v>1255</v>
      </c>
      <c r="BH301" s="110">
        <v>0</v>
      </c>
      <c r="BI301" s="110">
        <v>0</v>
      </c>
      <c r="BJ301" s="110">
        <v>8075</v>
      </c>
      <c r="BK301" s="110">
        <v>5</v>
      </c>
      <c r="BL301" s="110">
        <v>2520</v>
      </c>
      <c r="BM301" s="110"/>
      <c r="BN301" s="110">
        <v>458</v>
      </c>
      <c r="BO301" s="110">
        <v>22</v>
      </c>
      <c r="BP301" s="110">
        <v>28946</v>
      </c>
      <c r="BQ301" s="110">
        <v>83075</v>
      </c>
      <c r="BR301" s="110">
        <v>440</v>
      </c>
      <c r="BS301" s="110">
        <v>116</v>
      </c>
      <c r="BT301" s="110">
        <v>6320</v>
      </c>
      <c r="BU301" s="110">
        <v>71</v>
      </c>
      <c r="BV301" s="110"/>
      <c r="BW301" s="110">
        <v>4</v>
      </c>
      <c r="BX301" s="110">
        <v>45</v>
      </c>
      <c r="BY301" s="110"/>
      <c r="BZ301" s="110">
        <v>1</v>
      </c>
      <c r="CA301" s="110">
        <v>0</v>
      </c>
      <c r="CB301" s="110">
        <v>24213</v>
      </c>
      <c r="CC301" s="110">
        <v>15160</v>
      </c>
      <c r="CD301" s="110">
        <v>154781</v>
      </c>
      <c r="CE301" s="110">
        <v>253179</v>
      </c>
      <c r="CF301" s="110">
        <v>24669</v>
      </c>
      <c r="CG301" s="110">
        <v>48930</v>
      </c>
      <c r="CH301" s="110">
        <v>0</v>
      </c>
      <c r="CI301" s="110">
        <v>0</v>
      </c>
      <c r="CJ301" s="110">
        <v>4</v>
      </c>
      <c r="CK301" s="110">
        <v>53</v>
      </c>
      <c r="CL301" s="110"/>
      <c r="CM301" s="110"/>
      <c r="CN301" s="110"/>
      <c r="CO301" s="110"/>
      <c r="CP301" s="110"/>
      <c r="CQ301" s="110"/>
      <c r="CR301" s="110"/>
      <c r="CS301" s="110"/>
      <c r="CT301" s="110">
        <v>0</v>
      </c>
      <c r="CU301" s="110">
        <v>0</v>
      </c>
      <c r="CV301" s="110">
        <v>0</v>
      </c>
      <c r="CW301" s="110">
        <v>18</v>
      </c>
      <c r="CX301" s="110">
        <v>0</v>
      </c>
      <c r="CY301" s="110">
        <v>33</v>
      </c>
      <c r="DA301" s="6"/>
      <c r="DC301" s="6"/>
      <c r="DD301" s="6">
        <f t="shared" si="176"/>
        <v>652342</v>
      </c>
      <c r="DE301" s="6">
        <f t="shared" si="102"/>
        <v>261288</v>
      </c>
      <c r="DF301" s="8">
        <f t="shared" si="177"/>
        <v>913630</v>
      </c>
      <c r="DK301" s="6">
        <f t="shared" si="103"/>
        <v>58222</v>
      </c>
      <c r="DL301" s="6">
        <f t="shared" si="104"/>
        <v>144684</v>
      </c>
      <c r="DM301" s="6">
        <f t="shared" si="178"/>
        <v>11537</v>
      </c>
      <c r="DN301" s="6">
        <f t="shared" si="179"/>
        <v>47716</v>
      </c>
      <c r="DO301" s="6">
        <f t="shared" si="180"/>
        <v>457558</v>
      </c>
      <c r="DP301" s="6">
        <f t="shared" si="108"/>
        <v>89853</v>
      </c>
      <c r="DQ301" s="6"/>
      <c r="DR301" s="6">
        <f t="shared" si="181"/>
        <v>15160</v>
      </c>
      <c r="DS301" s="6">
        <f t="shared" si="182"/>
        <v>28946</v>
      </c>
      <c r="DT301" s="6">
        <f t="shared" si="183"/>
        <v>11895</v>
      </c>
      <c r="DU301" s="6"/>
      <c r="DV301" s="6"/>
      <c r="DW301" s="6">
        <f t="shared" si="184"/>
        <v>865571</v>
      </c>
      <c r="DY301" s="6">
        <f t="shared" si="105"/>
        <v>582080</v>
      </c>
      <c r="DZ301" s="6">
        <f t="shared" si="106"/>
        <v>65175</v>
      </c>
      <c r="EB301" s="6">
        <f t="shared" si="107"/>
        <v>978805</v>
      </c>
      <c r="EC301" s="6"/>
      <c r="ED301" s="6"/>
      <c r="EF301" s="6">
        <f t="shared" si="185"/>
        <v>574466</v>
      </c>
      <c r="EG301" s="6">
        <f t="shared" si="127"/>
        <v>251653</v>
      </c>
      <c r="EH301" s="6">
        <f t="shared" si="186"/>
        <v>826119</v>
      </c>
      <c r="EI301" s="36">
        <f t="shared" si="187"/>
        <v>1.9534452145824684E-3</v>
      </c>
      <c r="EJ301" s="36">
        <f t="shared" si="188"/>
        <v>2.1504263021030375E-3</v>
      </c>
      <c r="EM301" s="104"/>
      <c r="EN301" s="104"/>
      <c r="FE301" s="32"/>
      <c r="FF301" s="34"/>
      <c r="FG301" s="31"/>
      <c r="FU301" s="192">
        <f t="shared" si="149"/>
        <v>0</v>
      </c>
    </row>
    <row r="302" spans="2:177">
      <c r="B302" s="9">
        <v>41153</v>
      </c>
      <c r="C302" s="110">
        <v>0</v>
      </c>
      <c r="D302" s="110">
        <v>0</v>
      </c>
      <c r="E302" s="110">
        <v>0</v>
      </c>
      <c r="F302" s="110">
        <v>0</v>
      </c>
      <c r="G302" s="110">
        <v>1492</v>
      </c>
      <c r="H302" s="110">
        <v>17072</v>
      </c>
      <c r="I302" s="110">
        <v>31687</v>
      </c>
      <c r="J302" s="110">
        <v>4905</v>
      </c>
      <c r="K302" s="110">
        <v>9110</v>
      </c>
      <c r="L302" s="110"/>
      <c r="M302" s="110">
        <v>25421</v>
      </c>
      <c r="N302" s="110">
        <v>1612</v>
      </c>
      <c r="O302" s="110"/>
      <c r="P302" s="110">
        <v>1696</v>
      </c>
      <c r="Q302" s="110">
        <v>12285</v>
      </c>
      <c r="R302" s="110">
        <v>302</v>
      </c>
      <c r="S302" s="110">
        <v>8434</v>
      </c>
      <c r="T302" s="110">
        <v>11588</v>
      </c>
      <c r="U302" s="110"/>
      <c r="V302" s="110"/>
      <c r="W302" s="110">
        <v>408</v>
      </c>
      <c r="X302" s="110">
        <v>8095</v>
      </c>
      <c r="Y302" s="110">
        <v>331</v>
      </c>
      <c r="Z302" s="110">
        <v>6</v>
      </c>
      <c r="AA302" s="160"/>
      <c r="AB302" s="110">
        <v>9</v>
      </c>
      <c r="AC302" s="110">
        <v>240</v>
      </c>
      <c r="AD302" s="110">
        <v>29</v>
      </c>
      <c r="AE302" s="110">
        <v>33</v>
      </c>
      <c r="AF302" s="110">
        <v>38</v>
      </c>
      <c r="AG302" s="110">
        <v>94</v>
      </c>
      <c r="AH302" s="110"/>
      <c r="AI302" s="110"/>
      <c r="AJ302" s="110">
        <v>7</v>
      </c>
      <c r="AK302" s="110">
        <v>11022</v>
      </c>
      <c r="AL302" s="110">
        <v>111864</v>
      </c>
      <c r="AM302" s="110">
        <v>3203</v>
      </c>
      <c r="AN302" s="110">
        <v>21505</v>
      </c>
      <c r="AO302" s="110">
        <v>20</v>
      </c>
      <c r="AP302" s="110">
        <v>2</v>
      </c>
      <c r="AQ302" s="110">
        <v>10768</v>
      </c>
      <c r="AR302" s="110">
        <v>0</v>
      </c>
      <c r="AS302" s="110">
        <v>2779</v>
      </c>
      <c r="AT302" s="110">
        <v>42</v>
      </c>
      <c r="AU302" s="110">
        <v>6952</v>
      </c>
      <c r="AV302" s="110">
        <v>2424</v>
      </c>
      <c r="AW302" s="110">
        <v>4779</v>
      </c>
      <c r="AX302" s="110">
        <v>15823</v>
      </c>
      <c r="AY302" s="160"/>
      <c r="AZ302" s="160"/>
      <c r="BA302" s="160">
        <v>874</v>
      </c>
      <c r="BB302" s="160"/>
      <c r="BC302" s="110">
        <v>366</v>
      </c>
      <c r="BD302" s="110"/>
      <c r="BE302" s="110">
        <v>0</v>
      </c>
      <c r="BF302" s="110">
        <v>0</v>
      </c>
      <c r="BG302" s="110">
        <v>1452</v>
      </c>
      <c r="BH302" s="110">
        <v>0</v>
      </c>
      <c r="BI302" s="110">
        <v>0</v>
      </c>
      <c r="BJ302" s="110">
        <v>7775</v>
      </c>
      <c r="BK302" s="110">
        <v>5</v>
      </c>
      <c r="BL302" s="110">
        <v>2651</v>
      </c>
      <c r="BM302" s="110"/>
      <c r="BN302" s="110">
        <v>514</v>
      </c>
      <c r="BO302" s="110">
        <v>23</v>
      </c>
      <c r="BP302" s="110">
        <v>30690</v>
      </c>
      <c r="BQ302" s="110">
        <v>83920</v>
      </c>
      <c r="BR302" s="110">
        <v>438</v>
      </c>
      <c r="BS302" s="110">
        <v>122</v>
      </c>
      <c r="BT302" s="110">
        <v>6336</v>
      </c>
      <c r="BU302" s="110">
        <v>80</v>
      </c>
      <c r="BV302" s="110"/>
      <c r="BW302" s="110">
        <v>3</v>
      </c>
      <c r="BX302" s="110">
        <v>44</v>
      </c>
      <c r="BY302" s="110"/>
      <c r="BZ302" s="110">
        <v>3</v>
      </c>
      <c r="CA302" s="110">
        <v>0</v>
      </c>
      <c r="CB302" s="110">
        <v>24234</v>
      </c>
      <c r="CC302" s="110">
        <v>15552</v>
      </c>
      <c r="CD302" s="110">
        <v>155288</v>
      </c>
      <c r="CE302" s="110">
        <v>254185</v>
      </c>
      <c r="CF302" s="110">
        <v>24573</v>
      </c>
      <c r="CG302" s="110">
        <v>49323</v>
      </c>
      <c r="CH302" s="110">
        <v>0</v>
      </c>
      <c r="CI302" s="110">
        <v>2</v>
      </c>
      <c r="CJ302" s="110">
        <v>4</v>
      </c>
      <c r="CK302" s="110">
        <v>51</v>
      </c>
      <c r="CL302" s="110"/>
      <c r="CM302" s="110"/>
      <c r="CN302" s="110"/>
      <c r="CO302" s="110"/>
      <c r="CP302" s="110"/>
      <c r="CQ302" s="110"/>
      <c r="CR302" s="110"/>
      <c r="CS302" s="110"/>
      <c r="CT302" s="110">
        <v>0</v>
      </c>
      <c r="CU302" s="110">
        <v>0</v>
      </c>
      <c r="CV302" s="110">
        <v>0</v>
      </c>
      <c r="CW302" s="110">
        <v>18</v>
      </c>
      <c r="CX302" s="110">
        <v>0</v>
      </c>
      <c r="CY302" s="110">
        <v>33</v>
      </c>
      <c r="DA302" s="6"/>
      <c r="DC302" s="6"/>
      <c r="DD302" s="6">
        <f t="shared" si="176"/>
        <v>657268</v>
      </c>
      <c r="DE302" s="6">
        <f t="shared" si="102"/>
        <v>262177</v>
      </c>
      <c r="DF302" s="8">
        <f t="shared" si="177"/>
        <v>919445</v>
      </c>
      <c r="DK302" s="6">
        <f t="shared" si="103"/>
        <v>58253</v>
      </c>
      <c r="DL302" s="6">
        <f t="shared" si="104"/>
        <v>145018</v>
      </c>
      <c r="DM302" s="6">
        <f t="shared" si="178"/>
        <v>11588</v>
      </c>
      <c r="DN302" s="6">
        <f t="shared" si="179"/>
        <v>48192</v>
      </c>
      <c r="DO302" s="6">
        <f t="shared" si="180"/>
        <v>459009</v>
      </c>
      <c r="DP302" s="6">
        <f t="shared" si="108"/>
        <v>90770</v>
      </c>
      <c r="DQ302" s="6"/>
      <c r="DR302" s="6">
        <f t="shared" si="181"/>
        <v>15554</v>
      </c>
      <c r="DS302" s="6">
        <f t="shared" si="182"/>
        <v>30690</v>
      </c>
      <c r="DT302" s="6">
        <f t="shared" si="183"/>
        <v>11922</v>
      </c>
      <c r="DU302" s="6"/>
      <c r="DV302" s="6"/>
      <c r="DW302" s="6">
        <f t="shared" si="184"/>
        <v>870996</v>
      </c>
      <c r="DY302" s="6">
        <f t="shared" si="105"/>
        <v>583028</v>
      </c>
      <c r="DZ302" s="6">
        <f t="shared" si="106"/>
        <v>64266</v>
      </c>
      <c r="EB302" s="6">
        <f t="shared" si="107"/>
        <v>983711</v>
      </c>
      <c r="EC302" s="6"/>
      <c r="ED302" s="6"/>
      <c r="EF302" s="6">
        <f t="shared" si="185"/>
        <v>577255</v>
      </c>
      <c r="EG302" s="6">
        <f t="shared" si="127"/>
        <v>252283</v>
      </c>
      <c r="EH302" s="6">
        <f t="shared" si="186"/>
        <v>829538</v>
      </c>
      <c r="EI302" s="36">
        <f t="shared" si="187"/>
        <v>4.8549435475728764E-3</v>
      </c>
      <c r="EJ302" s="36">
        <f t="shared" si="188"/>
        <v>2.5034472070668739E-3</v>
      </c>
      <c r="EM302" s="104"/>
      <c r="EN302" s="104"/>
      <c r="FE302" s="32"/>
      <c r="FF302" s="34"/>
      <c r="FG302" s="31"/>
      <c r="FU302" s="192">
        <f t="shared" si="149"/>
        <v>0</v>
      </c>
    </row>
    <row r="303" spans="2:177">
      <c r="B303" s="9">
        <v>41183</v>
      </c>
      <c r="C303" s="110">
        <v>0</v>
      </c>
      <c r="D303" s="110">
        <v>0</v>
      </c>
      <c r="E303" s="110">
        <v>0</v>
      </c>
      <c r="F303" s="110">
        <v>0</v>
      </c>
      <c r="G303" s="110">
        <v>1488</v>
      </c>
      <c r="H303" s="110">
        <v>16908</v>
      </c>
      <c r="I303" s="110">
        <v>31656</v>
      </c>
      <c r="J303" s="110">
        <v>4943</v>
      </c>
      <c r="K303" s="110">
        <v>9094</v>
      </c>
      <c r="L303" s="110"/>
      <c r="M303" s="110">
        <v>25376</v>
      </c>
      <c r="N303" s="110">
        <v>1582</v>
      </c>
      <c r="O303" s="110"/>
      <c r="P303" s="110">
        <v>1700</v>
      </c>
      <c r="Q303" s="110">
        <v>12290</v>
      </c>
      <c r="R303" s="110">
        <v>302</v>
      </c>
      <c r="S303" s="110">
        <v>8416</v>
      </c>
      <c r="T303" s="110">
        <v>11568</v>
      </c>
      <c r="U303" s="110"/>
      <c r="V303" s="110"/>
      <c r="W303" s="110">
        <v>420</v>
      </c>
      <c r="X303" s="110">
        <v>8117</v>
      </c>
      <c r="Y303" s="110">
        <v>334</v>
      </c>
      <c r="Z303" s="110">
        <v>6</v>
      </c>
      <c r="AA303" s="160"/>
      <c r="AB303" s="110">
        <v>9</v>
      </c>
      <c r="AC303" s="110">
        <v>240</v>
      </c>
      <c r="AD303" s="110">
        <v>30</v>
      </c>
      <c r="AE303" s="110">
        <v>30</v>
      </c>
      <c r="AF303" s="110">
        <v>36</v>
      </c>
      <c r="AG303" s="110">
        <v>93</v>
      </c>
      <c r="AH303" s="110"/>
      <c r="AI303" s="110"/>
      <c r="AJ303" s="110">
        <v>8</v>
      </c>
      <c r="AK303" s="110">
        <v>11117</v>
      </c>
      <c r="AL303" s="110">
        <v>112193</v>
      </c>
      <c r="AM303" s="110">
        <v>3194</v>
      </c>
      <c r="AN303" s="110">
        <v>21549</v>
      </c>
      <c r="AO303" s="110">
        <v>19</v>
      </c>
      <c r="AP303" s="110">
        <v>1</v>
      </c>
      <c r="AQ303" s="110">
        <v>11006</v>
      </c>
      <c r="AR303" s="110">
        <v>0</v>
      </c>
      <c r="AS303" s="110">
        <v>2601</v>
      </c>
      <c r="AT303" s="110">
        <v>43</v>
      </c>
      <c r="AU303" s="110">
        <v>6984</v>
      </c>
      <c r="AV303" s="110">
        <v>2428</v>
      </c>
      <c r="AW303" s="110">
        <v>4754</v>
      </c>
      <c r="AX303" s="110">
        <v>15860</v>
      </c>
      <c r="AY303" s="160"/>
      <c r="AZ303" s="160"/>
      <c r="BA303" s="160">
        <v>879</v>
      </c>
      <c r="BB303" s="160"/>
      <c r="BC303" s="110">
        <v>357</v>
      </c>
      <c r="BD303" s="110"/>
      <c r="BE303" s="110">
        <v>0</v>
      </c>
      <c r="BF303" s="110">
        <v>0</v>
      </c>
      <c r="BG303" s="110">
        <v>1740</v>
      </c>
      <c r="BH303" s="110">
        <v>0</v>
      </c>
      <c r="BI303" s="110">
        <v>0</v>
      </c>
      <c r="BJ303" s="110">
        <v>7602</v>
      </c>
      <c r="BK303" s="110">
        <v>5</v>
      </c>
      <c r="BL303" s="110">
        <v>2557</v>
      </c>
      <c r="BM303" s="110"/>
      <c r="BN303" s="110">
        <v>525</v>
      </c>
      <c r="BO303" s="110">
        <v>17</v>
      </c>
      <c r="BP303" s="110">
        <v>31779</v>
      </c>
      <c r="BQ303" s="110">
        <v>84472</v>
      </c>
      <c r="BR303" s="110">
        <v>417</v>
      </c>
      <c r="BS303" s="110">
        <v>120</v>
      </c>
      <c r="BT303" s="110">
        <v>6406</v>
      </c>
      <c r="BU303" s="110">
        <v>85</v>
      </c>
      <c r="BV303" s="110"/>
      <c r="BW303" s="110">
        <v>2</v>
      </c>
      <c r="BX303" s="110">
        <v>46</v>
      </c>
      <c r="BY303" s="110"/>
      <c r="BZ303" s="110">
        <v>1</v>
      </c>
      <c r="CA303" s="110">
        <v>0</v>
      </c>
      <c r="CB303" s="110">
        <v>24296</v>
      </c>
      <c r="CC303" s="110">
        <v>15376</v>
      </c>
      <c r="CD303" s="110">
        <v>155187</v>
      </c>
      <c r="CE303" s="110">
        <v>255369</v>
      </c>
      <c r="CF303" s="110">
        <v>24469</v>
      </c>
      <c r="CG303" s="110">
        <v>49705</v>
      </c>
      <c r="CH303" s="110">
        <v>0</v>
      </c>
      <c r="CI303" s="110">
        <v>1</v>
      </c>
      <c r="CJ303" s="110">
        <v>4</v>
      </c>
      <c r="CK303" s="110">
        <v>50</v>
      </c>
      <c r="CL303" s="110"/>
      <c r="CM303" s="110"/>
      <c r="CN303" s="110"/>
      <c r="CO303" s="110"/>
      <c r="CP303" s="110"/>
      <c r="CQ303" s="110"/>
      <c r="CR303" s="110"/>
      <c r="CS303" s="110"/>
      <c r="CT303" s="110">
        <v>0</v>
      </c>
      <c r="CU303" s="110">
        <v>0</v>
      </c>
      <c r="CV303" s="110">
        <v>0</v>
      </c>
      <c r="CW303" s="110">
        <v>18</v>
      </c>
      <c r="CX303" s="110">
        <v>0</v>
      </c>
      <c r="CY303" s="110">
        <v>33</v>
      </c>
      <c r="DA303" s="6"/>
      <c r="DC303" s="6"/>
      <c r="DD303" s="6">
        <f t="shared" si="176"/>
        <v>660231</v>
      </c>
      <c r="DE303" s="6">
        <f t="shared" si="102"/>
        <v>262663</v>
      </c>
      <c r="DF303" s="8">
        <f t="shared" si="177"/>
        <v>922894</v>
      </c>
      <c r="DK303" s="6">
        <f t="shared" si="103"/>
        <v>58203</v>
      </c>
      <c r="DL303" s="6">
        <f t="shared" si="104"/>
        <v>145262</v>
      </c>
      <c r="DM303" s="6">
        <f t="shared" si="178"/>
        <v>11568</v>
      </c>
      <c r="DN303" s="6">
        <f t="shared" si="179"/>
        <v>48509</v>
      </c>
      <c r="DO303" s="6">
        <f t="shared" si="180"/>
        <v>460022</v>
      </c>
      <c r="DP303" s="6">
        <f t="shared" si="108"/>
        <v>91403</v>
      </c>
      <c r="DQ303" s="6"/>
      <c r="DR303" s="6">
        <f t="shared" si="181"/>
        <v>15377</v>
      </c>
      <c r="DS303" s="6">
        <f t="shared" si="182"/>
        <v>31779</v>
      </c>
      <c r="DT303" s="6">
        <f t="shared" si="183"/>
        <v>11945</v>
      </c>
      <c r="DU303" s="6"/>
      <c r="DV303" s="6"/>
      <c r="DW303" s="6">
        <f t="shared" si="184"/>
        <v>874068</v>
      </c>
      <c r="DY303" s="6">
        <f t="shared" si="105"/>
        <v>584273</v>
      </c>
      <c r="DZ303" s="6">
        <f t="shared" si="106"/>
        <v>64089</v>
      </c>
      <c r="EB303" s="6">
        <f t="shared" si="107"/>
        <v>986983</v>
      </c>
      <c r="EC303" s="6"/>
      <c r="ED303" s="6"/>
      <c r="EF303" s="6">
        <f t="shared" si="185"/>
        <v>578747</v>
      </c>
      <c r="EG303" s="6">
        <f t="shared" si="127"/>
        <v>252536</v>
      </c>
      <c r="EH303" s="6">
        <f t="shared" si="186"/>
        <v>831283</v>
      </c>
      <c r="EI303" s="36">
        <f t="shared" si="187"/>
        <v>2.5846463001619733E-3</v>
      </c>
      <c r="EJ303" s="36">
        <f t="shared" si="188"/>
        <v>1.0028420464319831E-3</v>
      </c>
      <c r="EM303" s="104"/>
      <c r="EN303" s="104"/>
      <c r="FE303" s="32"/>
      <c r="FF303" s="34"/>
      <c r="FG303" s="31"/>
      <c r="FU303" s="192">
        <f t="shared" si="149"/>
        <v>0</v>
      </c>
    </row>
    <row r="304" spans="2:177">
      <c r="B304" s="9">
        <v>41214</v>
      </c>
      <c r="C304" s="110">
        <v>0</v>
      </c>
      <c r="D304" s="110">
        <v>0</v>
      </c>
      <c r="E304" s="110">
        <v>0</v>
      </c>
      <c r="F304" s="110">
        <v>0</v>
      </c>
      <c r="G304" s="110">
        <v>1501</v>
      </c>
      <c r="H304" s="110">
        <v>17029</v>
      </c>
      <c r="I304" s="110">
        <v>32125</v>
      </c>
      <c r="J304" s="110">
        <v>5004</v>
      </c>
      <c r="K304" s="110">
        <v>9262</v>
      </c>
      <c r="L304" s="110"/>
      <c r="M304" s="110">
        <v>25351</v>
      </c>
      <c r="N304" s="110">
        <v>1578</v>
      </c>
      <c r="O304" s="110"/>
      <c r="P304" s="110">
        <v>1706</v>
      </c>
      <c r="Q304" s="110">
        <v>12267</v>
      </c>
      <c r="R304" s="110">
        <v>306</v>
      </c>
      <c r="S304" s="110">
        <v>8412</v>
      </c>
      <c r="T304" s="110">
        <v>11618</v>
      </c>
      <c r="U304" s="110"/>
      <c r="V304" s="110"/>
      <c r="W304" s="110">
        <v>425</v>
      </c>
      <c r="X304" s="110">
        <v>8167</v>
      </c>
      <c r="Y304" s="110">
        <v>330</v>
      </c>
      <c r="Z304" s="110">
        <v>6</v>
      </c>
      <c r="AA304" s="160"/>
      <c r="AB304" s="110">
        <v>10</v>
      </c>
      <c r="AC304" s="110">
        <v>238</v>
      </c>
      <c r="AD304" s="110">
        <v>29</v>
      </c>
      <c r="AE304" s="110">
        <v>31</v>
      </c>
      <c r="AF304" s="110">
        <v>36</v>
      </c>
      <c r="AG304" s="110">
        <v>94</v>
      </c>
      <c r="AH304" s="110"/>
      <c r="AI304" s="110"/>
      <c r="AJ304" s="110">
        <v>7</v>
      </c>
      <c r="AK304" s="110">
        <v>11238</v>
      </c>
      <c r="AL304" s="110">
        <v>112563</v>
      </c>
      <c r="AM304" s="110">
        <v>3180</v>
      </c>
      <c r="AN304" s="110">
        <v>21623</v>
      </c>
      <c r="AO304" s="110">
        <v>20</v>
      </c>
      <c r="AP304" s="110">
        <v>1</v>
      </c>
      <c r="AQ304" s="110">
        <v>11208</v>
      </c>
      <c r="AR304" s="110">
        <v>0</v>
      </c>
      <c r="AS304" s="110">
        <v>2567</v>
      </c>
      <c r="AT304" s="110">
        <v>45</v>
      </c>
      <c r="AU304" s="110">
        <v>7085</v>
      </c>
      <c r="AV304" s="110">
        <v>2433</v>
      </c>
      <c r="AW304" s="110">
        <v>4785</v>
      </c>
      <c r="AX304" s="110">
        <v>15973</v>
      </c>
      <c r="AY304" s="160"/>
      <c r="AZ304" s="160"/>
      <c r="BA304" s="160">
        <v>881</v>
      </c>
      <c r="BB304" s="160"/>
      <c r="BC304" s="110">
        <v>354</v>
      </c>
      <c r="BD304" s="110"/>
      <c r="BE304" s="110">
        <v>0</v>
      </c>
      <c r="BF304" s="110">
        <v>0</v>
      </c>
      <c r="BG304" s="110">
        <v>2359</v>
      </c>
      <c r="BH304" s="110">
        <v>0</v>
      </c>
      <c r="BI304" s="110">
        <v>0</v>
      </c>
      <c r="BJ304" s="110">
        <v>6868</v>
      </c>
      <c r="BK304" s="110">
        <v>5</v>
      </c>
      <c r="BL304" s="110">
        <v>2761</v>
      </c>
      <c r="BM304" s="110"/>
      <c r="BN304" s="110">
        <v>546</v>
      </c>
      <c r="BO304" s="110">
        <v>18</v>
      </c>
      <c r="BP304" s="130">
        <f>CZ304+DA304</f>
        <v>33070</v>
      </c>
      <c r="BQ304" s="110">
        <v>84979</v>
      </c>
      <c r="BR304" s="110">
        <v>437</v>
      </c>
      <c r="BS304" s="110">
        <v>120</v>
      </c>
      <c r="BT304" s="110">
        <v>6463</v>
      </c>
      <c r="BU304" s="110">
        <v>84</v>
      </c>
      <c r="BV304" s="110"/>
      <c r="BW304" s="110">
        <v>2</v>
      </c>
      <c r="BX304" s="110">
        <v>45</v>
      </c>
      <c r="BY304" s="110"/>
      <c r="BZ304" s="110">
        <v>3</v>
      </c>
      <c r="CA304" s="110">
        <v>0</v>
      </c>
      <c r="CB304" s="110">
        <v>24469</v>
      </c>
      <c r="CC304" s="110">
        <v>15337</v>
      </c>
      <c r="CD304" s="110">
        <v>155473</v>
      </c>
      <c r="CE304" s="110">
        <v>256998</v>
      </c>
      <c r="CF304" s="110">
        <v>24746</v>
      </c>
      <c r="CG304" s="110">
        <v>50180</v>
      </c>
      <c r="CH304" s="110">
        <v>0</v>
      </c>
      <c r="CI304" s="110">
        <v>1</v>
      </c>
      <c r="CJ304" s="110">
        <v>4</v>
      </c>
      <c r="CK304" s="110">
        <v>52</v>
      </c>
      <c r="CL304" s="110"/>
      <c r="CM304" s="110"/>
      <c r="CN304" s="110"/>
      <c r="CO304" s="110"/>
      <c r="CP304" s="110"/>
      <c r="CQ304" s="110"/>
      <c r="CR304" s="110"/>
      <c r="CS304" s="110"/>
      <c r="CT304" s="110">
        <v>0</v>
      </c>
      <c r="CU304" s="110">
        <v>0</v>
      </c>
      <c r="CV304" s="110">
        <v>0</v>
      </c>
      <c r="CW304" s="110">
        <v>18</v>
      </c>
      <c r="CX304" s="110">
        <v>0</v>
      </c>
      <c r="CY304" s="110">
        <v>33</v>
      </c>
      <c r="CZ304">
        <v>33007</v>
      </c>
      <c r="DA304" s="6">
        <v>63</v>
      </c>
      <c r="DC304" s="6"/>
      <c r="DD304" s="6">
        <f t="shared" si="176"/>
        <v>665020</v>
      </c>
      <c r="DE304" s="6">
        <f t="shared" si="102"/>
        <v>263686</v>
      </c>
      <c r="DF304" s="8">
        <f t="shared" si="177"/>
        <v>928706</v>
      </c>
      <c r="DK304" s="6">
        <f t="shared" si="103"/>
        <v>58212</v>
      </c>
      <c r="DL304" s="6">
        <f t="shared" si="104"/>
        <v>145838</v>
      </c>
      <c r="DM304" s="6">
        <f t="shared" si="178"/>
        <v>11618</v>
      </c>
      <c r="DN304" s="6">
        <f t="shared" si="179"/>
        <v>48899</v>
      </c>
      <c r="DO304" s="6">
        <f t="shared" si="180"/>
        <v>462411</v>
      </c>
      <c r="DP304" s="6">
        <f t="shared" si="108"/>
        <v>91988</v>
      </c>
      <c r="DQ304" s="6"/>
      <c r="DR304" s="6">
        <f t="shared" si="181"/>
        <v>15338</v>
      </c>
      <c r="DS304" s="6">
        <f t="shared" si="182"/>
        <v>33070</v>
      </c>
      <c r="DT304" s="6">
        <f t="shared" si="183"/>
        <v>12033</v>
      </c>
      <c r="DU304" s="6"/>
      <c r="DV304" s="6"/>
      <c r="DW304" s="6">
        <f t="shared" si="184"/>
        <v>879407</v>
      </c>
      <c r="DY304" s="6">
        <f t="shared" si="105"/>
        <v>588044</v>
      </c>
      <c r="DZ304" s="6">
        <f t="shared" si="106"/>
        <v>64921</v>
      </c>
      <c r="EB304" s="6">
        <f t="shared" si="107"/>
        <v>993627</v>
      </c>
      <c r="EC304" s="6"/>
      <c r="ED304" s="6"/>
      <c r="EF304" s="6">
        <f t="shared" si="185"/>
        <v>581770</v>
      </c>
      <c r="EG304" s="6">
        <f t="shared" si="127"/>
        <v>253359</v>
      </c>
      <c r="EH304" s="6">
        <f t="shared" si="186"/>
        <v>835129</v>
      </c>
      <c r="EI304" s="36">
        <f t="shared" si="187"/>
        <v>5.2233532096062699E-3</v>
      </c>
      <c r="EJ304" s="36">
        <f t="shared" si="188"/>
        <v>3.258941299458295E-3</v>
      </c>
      <c r="EM304" s="104"/>
      <c r="EN304" s="104"/>
      <c r="FE304" s="32"/>
      <c r="FF304" s="34"/>
      <c r="FG304" s="31"/>
      <c r="FU304" s="192">
        <f t="shared" si="149"/>
        <v>0</v>
      </c>
    </row>
    <row r="305" spans="1:177">
      <c r="B305" s="9">
        <v>41244</v>
      </c>
      <c r="C305" s="110">
        <v>0</v>
      </c>
      <c r="D305" s="110">
        <v>0</v>
      </c>
      <c r="E305" s="110">
        <v>0</v>
      </c>
      <c r="F305" s="110">
        <v>0</v>
      </c>
      <c r="G305" s="110">
        <v>1471</v>
      </c>
      <c r="H305" s="110">
        <v>17136</v>
      </c>
      <c r="I305" s="110">
        <v>32358</v>
      </c>
      <c r="J305" s="110">
        <v>5067</v>
      </c>
      <c r="K305" s="110">
        <v>9362</v>
      </c>
      <c r="L305" s="110"/>
      <c r="M305" s="110">
        <v>25292</v>
      </c>
      <c r="N305" s="110">
        <v>1558</v>
      </c>
      <c r="O305" s="110"/>
      <c r="P305" s="110">
        <v>1724</v>
      </c>
      <c r="Q305" s="110">
        <v>12283</v>
      </c>
      <c r="R305" s="110">
        <v>309</v>
      </c>
      <c r="S305" s="110">
        <v>8316</v>
      </c>
      <c r="T305" s="110">
        <v>11661</v>
      </c>
      <c r="U305" s="110"/>
      <c r="V305" s="110"/>
      <c r="W305" s="110">
        <v>427</v>
      </c>
      <c r="X305" s="110">
        <v>8239</v>
      </c>
      <c r="Y305" s="110">
        <v>328</v>
      </c>
      <c r="Z305" s="110">
        <v>6</v>
      </c>
      <c r="AA305" s="160"/>
      <c r="AB305" s="110">
        <v>9</v>
      </c>
      <c r="AC305" s="110">
        <v>241</v>
      </c>
      <c r="AD305" s="110">
        <v>31</v>
      </c>
      <c r="AE305" s="110">
        <v>32</v>
      </c>
      <c r="AF305" s="110">
        <v>36</v>
      </c>
      <c r="AG305" s="110">
        <v>95</v>
      </c>
      <c r="AH305" s="110"/>
      <c r="AI305" s="110"/>
      <c r="AJ305" s="110">
        <v>7</v>
      </c>
      <c r="AK305" s="110">
        <v>11270</v>
      </c>
      <c r="AL305" s="110">
        <v>112794</v>
      </c>
      <c r="AM305" s="110">
        <v>3170</v>
      </c>
      <c r="AN305" s="110">
        <v>21738</v>
      </c>
      <c r="AO305" s="110">
        <v>20</v>
      </c>
      <c r="AP305" s="110">
        <v>3</v>
      </c>
      <c r="AQ305" s="110">
        <v>11438</v>
      </c>
      <c r="AR305" s="110">
        <v>0</v>
      </c>
      <c r="AS305" s="110">
        <v>2313</v>
      </c>
      <c r="AT305" s="110">
        <v>45</v>
      </c>
      <c r="AU305" s="110">
        <v>7107</v>
      </c>
      <c r="AV305" s="110">
        <v>2441</v>
      </c>
      <c r="AW305" s="110">
        <v>4801</v>
      </c>
      <c r="AX305" s="110">
        <v>16019</v>
      </c>
      <c r="AY305" s="160"/>
      <c r="AZ305" s="160"/>
      <c r="BA305" s="160">
        <v>894</v>
      </c>
      <c r="BB305" s="160"/>
      <c r="BC305" s="110">
        <v>341</v>
      </c>
      <c r="BD305" s="110"/>
      <c r="BE305" s="110">
        <v>0</v>
      </c>
      <c r="BF305" s="110">
        <v>0</v>
      </c>
      <c r="BG305" s="110">
        <v>3046</v>
      </c>
      <c r="BH305" s="110">
        <v>0</v>
      </c>
      <c r="BI305" s="110">
        <v>0</v>
      </c>
      <c r="BJ305" s="110">
        <v>6040</v>
      </c>
      <c r="BK305" s="110">
        <v>4</v>
      </c>
      <c r="BL305" s="110">
        <v>2992</v>
      </c>
      <c r="BM305" s="110"/>
      <c r="BN305" s="110">
        <v>550</v>
      </c>
      <c r="BO305" s="110">
        <v>17</v>
      </c>
      <c r="BP305" s="130">
        <v>34005</v>
      </c>
      <c r="BQ305" s="110">
        <v>84904</v>
      </c>
      <c r="BR305" s="110">
        <v>429</v>
      </c>
      <c r="BS305" s="110">
        <v>117</v>
      </c>
      <c r="BT305" s="110">
        <v>6441</v>
      </c>
      <c r="BU305" s="110">
        <v>92</v>
      </c>
      <c r="BV305" s="110"/>
      <c r="BW305" s="110">
        <v>1</v>
      </c>
      <c r="BX305" s="110">
        <v>36</v>
      </c>
      <c r="BY305" s="110"/>
      <c r="BZ305" s="110">
        <v>3</v>
      </c>
      <c r="CA305" s="110">
        <v>0</v>
      </c>
      <c r="CB305" s="110">
        <v>24651</v>
      </c>
      <c r="CC305" s="110">
        <v>15047</v>
      </c>
      <c r="CD305" s="110">
        <v>154900</v>
      </c>
      <c r="CE305" s="110">
        <v>257696</v>
      </c>
      <c r="CF305" s="110">
        <v>24936</v>
      </c>
      <c r="CG305" s="110">
        <v>50694</v>
      </c>
      <c r="CH305" s="110">
        <v>0</v>
      </c>
      <c r="CI305" s="110">
        <v>1</v>
      </c>
      <c r="CJ305" s="110">
        <v>3</v>
      </c>
      <c r="CK305" s="110">
        <v>50</v>
      </c>
      <c r="CL305" s="110"/>
      <c r="CM305" s="110"/>
      <c r="CN305" s="110"/>
      <c r="CO305" s="110"/>
      <c r="CP305" s="110"/>
      <c r="CQ305" s="110"/>
      <c r="CR305" s="110"/>
      <c r="CS305" s="110"/>
      <c r="CT305" s="110">
        <v>0</v>
      </c>
      <c r="CU305" s="110">
        <v>0</v>
      </c>
      <c r="CV305" s="110">
        <v>0</v>
      </c>
      <c r="CW305" s="110">
        <v>18</v>
      </c>
      <c r="CX305" s="110">
        <v>0</v>
      </c>
      <c r="CY305" s="110">
        <v>32</v>
      </c>
      <c r="DA305" s="6"/>
      <c r="DC305" s="6"/>
      <c r="DD305" s="6">
        <f t="shared" ref="DD305:DD311" si="189">SUM(BE305:CK305)</f>
        <v>666655</v>
      </c>
      <c r="DE305" s="6">
        <f t="shared" si="102"/>
        <v>264094</v>
      </c>
      <c r="DF305" s="8">
        <f t="shared" ref="DF305:DF307" si="190">SUM(DD305:DE305)</f>
        <v>930749</v>
      </c>
      <c r="DK305" s="6">
        <f t="shared" si="103"/>
        <v>58148</v>
      </c>
      <c r="DL305" s="6">
        <f t="shared" si="104"/>
        <v>145886</v>
      </c>
      <c r="DM305" s="6">
        <f t="shared" ref="DM305:DM307" si="191">T305</f>
        <v>11661</v>
      </c>
      <c r="DN305" s="6">
        <f t="shared" ref="DN305:DN307" si="192">AG305+AX305+AN305+AP305+AQ305+AR305</f>
        <v>49293</v>
      </c>
      <c r="DO305" s="6">
        <f t="shared" ref="DO305:DO307" si="193">SUM(BF305,BI305,BK305,BO305,BR305:BS305,BU305:BW305,BZ305:CB305,CD305:CF305,CJ305:CK305)</f>
        <v>462899</v>
      </c>
      <c r="DP305" s="6">
        <f t="shared" si="108"/>
        <v>91895</v>
      </c>
      <c r="DQ305" s="6"/>
      <c r="DR305" s="6">
        <f t="shared" ref="DR305:DR307" si="194">CC305+CI305</f>
        <v>15048</v>
      </c>
      <c r="DS305" s="6">
        <f t="shared" ref="DS305:DS307" si="195">BP305</f>
        <v>34005</v>
      </c>
      <c r="DT305" s="6">
        <f t="shared" ref="DT305:DT307" si="196">BG305+BJ305+BL305+BX305</f>
        <v>12114</v>
      </c>
      <c r="DU305" s="6"/>
      <c r="DV305" s="6"/>
      <c r="DW305" s="6">
        <f t="shared" ref="DW305:DW307" si="197">SUM(DK305:DT305)</f>
        <v>880949</v>
      </c>
      <c r="DY305" s="6">
        <f t="shared" si="105"/>
        <v>589630</v>
      </c>
      <c r="DZ305" s="6">
        <f t="shared" si="106"/>
        <v>65394</v>
      </c>
      <c r="EB305" s="6">
        <f t="shared" si="107"/>
        <v>996143</v>
      </c>
      <c r="EC305" s="6"/>
      <c r="ED305" s="6"/>
      <c r="EF305" s="6">
        <f t="shared" ref="EF305:EF311" si="198">SUM(BE305:CK305)-CG305-BP305</f>
        <v>581956</v>
      </c>
      <c r="EG305" s="6">
        <f t="shared" si="127"/>
        <v>253550</v>
      </c>
      <c r="EH305" s="6">
        <f t="shared" ref="EH305:EH311" si="199">SUM(EF305:EG305)</f>
        <v>835506</v>
      </c>
      <c r="EI305" s="36">
        <f t="shared" ref="EI305:EI307" si="200">(EF305-EF304)/EF304</f>
        <v>3.1971397631366349E-4</v>
      </c>
      <c r="EJ305" s="36">
        <f t="shared" ref="EJ305:EJ307" si="201">(EG305-EG304)/EG304</f>
        <v>7.5387098938660164E-4</v>
      </c>
      <c r="EM305" s="104"/>
      <c r="EN305" s="104"/>
      <c r="FE305" s="32"/>
      <c r="FF305" s="34"/>
      <c r="FG305" s="31"/>
      <c r="FU305" s="192">
        <f t="shared" si="149"/>
        <v>0</v>
      </c>
    </row>
    <row r="306" spans="1:177">
      <c r="B306" s="9">
        <v>41275</v>
      </c>
      <c r="C306" s="110">
        <v>0</v>
      </c>
      <c r="D306" s="110">
        <v>0</v>
      </c>
      <c r="E306" s="110">
        <v>0</v>
      </c>
      <c r="F306" s="110">
        <v>0</v>
      </c>
      <c r="G306" s="110">
        <v>1468</v>
      </c>
      <c r="H306" s="110">
        <v>17047</v>
      </c>
      <c r="I306" s="110">
        <v>32301</v>
      </c>
      <c r="J306" s="110">
        <v>4997</v>
      </c>
      <c r="K306" s="110">
        <v>9404</v>
      </c>
      <c r="L306" s="110"/>
      <c r="M306" s="110">
        <v>25216</v>
      </c>
      <c r="N306" s="110">
        <v>1562</v>
      </c>
      <c r="O306" s="110"/>
      <c r="P306" s="110">
        <v>1713</v>
      </c>
      <c r="Q306" s="110">
        <v>12145</v>
      </c>
      <c r="R306" s="110">
        <v>314</v>
      </c>
      <c r="S306" s="110">
        <v>8193</v>
      </c>
      <c r="T306" s="110">
        <v>11633</v>
      </c>
      <c r="U306" s="110"/>
      <c r="V306" s="110"/>
      <c r="W306" s="110">
        <v>422</v>
      </c>
      <c r="X306" s="110">
        <v>8248</v>
      </c>
      <c r="Y306" s="110">
        <v>330</v>
      </c>
      <c r="Z306" s="110">
        <v>5</v>
      </c>
      <c r="AA306" s="160"/>
      <c r="AB306" s="110">
        <v>9</v>
      </c>
      <c r="AC306" s="110">
        <v>241</v>
      </c>
      <c r="AD306" s="110">
        <v>31</v>
      </c>
      <c r="AE306" s="110">
        <v>31</v>
      </c>
      <c r="AF306" s="110">
        <v>36</v>
      </c>
      <c r="AG306" s="110">
        <v>97</v>
      </c>
      <c r="AH306" s="110"/>
      <c r="AI306" s="110"/>
      <c r="AJ306" s="110">
        <v>8</v>
      </c>
      <c r="AK306" s="110">
        <v>11305</v>
      </c>
      <c r="AL306" s="110">
        <v>113031</v>
      </c>
      <c r="AM306" s="110">
        <v>3156</v>
      </c>
      <c r="AN306" s="110">
        <v>21723</v>
      </c>
      <c r="AO306" s="110">
        <v>21</v>
      </c>
      <c r="AP306" s="110">
        <v>2</v>
      </c>
      <c r="AQ306" s="110">
        <v>1</v>
      </c>
      <c r="AR306" s="110">
        <v>0</v>
      </c>
      <c r="AS306" s="110">
        <v>2191</v>
      </c>
      <c r="AT306" s="110">
        <v>47</v>
      </c>
      <c r="AU306" s="110">
        <v>7063</v>
      </c>
      <c r="AV306" s="110">
        <v>2435</v>
      </c>
      <c r="AW306" s="110">
        <v>4792</v>
      </c>
      <c r="AX306" s="110">
        <v>16045</v>
      </c>
      <c r="AY306" s="160"/>
      <c r="AZ306" s="160"/>
      <c r="BA306" s="160">
        <v>893</v>
      </c>
      <c r="BB306" s="160"/>
      <c r="BC306" s="110">
        <v>326</v>
      </c>
      <c r="BD306" s="110"/>
      <c r="BE306" s="110">
        <v>0</v>
      </c>
      <c r="BF306" s="110">
        <v>0</v>
      </c>
      <c r="BG306" s="110">
        <v>3399</v>
      </c>
      <c r="BH306" s="110">
        <v>0</v>
      </c>
      <c r="BI306" s="110">
        <v>0</v>
      </c>
      <c r="BJ306" s="110">
        <v>5632</v>
      </c>
      <c r="BK306" s="110">
        <v>4</v>
      </c>
      <c r="BL306" s="110">
        <v>3038</v>
      </c>
      <c r="BM306" s="110"/>
      <c r="BN306" s="110">
        <v>560</v>
      </c>
      <c r="BO306" s="110">
        <v>16</v>
      </c>
      <c r="BP306" s="130">
        <v>34407</v>
      </c>
      <c r="BQ306" s="110">
        <v>84504</v>
      </c>
      <c r="BR306" s="110">
        <v>440</v>
      </c>
      <c r="BS306" s="110">
        <v>113</v>
      </c>
      <c r="BT306" s="110">
        <v>6383</v>
      </c>
      <c r="BU306" s="110">
        <v>81</v>
      </c>
      <c r="BV306" s="110"/>
      <c r="BW306" s="110">
        <v>1</v>
      </c>
      <c r="BX306" s="110">
        <v>34</v>
      </c>
      <c r="BY306" s="110"/>
      <c r="BZ306" s="110">
        <v>3</v>
      </c>
      <c r="CA306" s="110">
        <v>0</v>
      </c>
      <c r="CB306" s="110">
        <v>24434</v>
      </c>
      <c r="CC306" s="110">
        <v>14657</v>
      </c>
      <c r="CD306" s="110">
        <v>153454</v>
      </c>
      <c r="CE306" s="110">
        <v>257414</v>
      </c>
      <c r="CF306" s="110">
        <v>24702</v>
      </c>
      <c r="CG306" s="110">
        <v>50809</v>
      </c>
      <c r="CH306" s="110">
        <v>0</v>
      </c>
      <c r="CI306" s="110">
        <v>2</v>
      </c>
      <c r="CJ306" s="110">
        <v>2</v>
      </c>
      <c r="CK306" s="110">
        <v>58</v>
      </c>
      <c r="CL306" s="110"/>
      <c r="CM306" s="110"/>
      <c r="CN306" s="110"/>
      <c r="CO306" s="110"/>
      <c r="CP306" s="110"/>
      <c r="CQ306" s="110"/>
      <c r="CR306" s="110"/>
      <c r="CS306" s="110"/>
      <c r="CT306" s="110">
        <v>0</v>
      </c>
      <c r="CU306" s="110">
        <v>0</v>
      </c>
      <c r="CV306" s="110">
        <v>0</v>
      </c>
      <c r="CW306" s="110">
        <v>18</v>
      </c>
      <c r="CX306" s="110">
        <v>0</v>
      </c>
      <c r="CY306" s="110">
        <v>32</v>
      </c>
      <c r="DA306" s="6"/>
      <c r="DC306" s="6"/>
      <c r="DD306" s="6">
        <f t="shared" si="189"/>
        <v>664147</v>
      </c>
      <c r="DE306" s="6">
        <f t="shared" si="102"/>
        <v>252372</v>
      </c>
      <c r="DF306" s="8">
        <f t="shared" si="190"/>
        <v>916519</v>
      </c>
      <c r="DK306" s="6">
        <f t="shared" si="103"/>
        <v>57813</v>
      </c>
      <c r="DL306" s="6">
        <f t="shared" si="104"/>
        <v>145951</v>
      </c>
      <c r="DM306" s="6">
        <f t="shared" si="191"/>
        <v>11633</v>
      </c>
      <c r="DN306" s="6">
        <f t="shared" si="192"/>
        <v>37868</v>
      </c>
      <c r="DO306" s="6">
        <f t="shared" si="193"/>
        <v>460722</v>
      </c>
      <c r="DP306" s="6">
        <f t="shared" si="108"/>
        <v>91447</v>
      </c>
      <c r="DQ306" s="6"/>
      <c r="DR306" s="6">
        <f t="shared" si="194"/>
        <v>14659</v>
      </c>
      <c r="DS306" s="6">
        <f t="shared" si="195"/>
        <v>34407</v>
      </c>
      <c r="DT306" s="6">
        <f t="shared" si="196"/>
        <v>12103</v>
      </c>
      <c r="DU306" s="6"/>
      <c r="DV306" s="6"/>
      <c r="DW306" s="6">
        <f t="shared" si="197"/>
        <v>866603</v>
      </c>
      <c r="DY306" s="6">
        <f t="shared" si="105"/>
        <v>587383</v>
      </c>
      <c r="DZ306" s="6">
        <f t="shared" si="106"/>
        <v>65217</v>
      </c>
      <c r="EB306" s="6">
        <f t="shared" si="107"/>
        <v>981736</v>
      </c>
      <c r="EC306" s="6"/>
      <c r="ED306" s="6"/>
      <c r="EF306" s="6">
        <f t="shared" si="198"/>
        <v>578931</v>
      </c>
      <c r="EG306" s="6">
        <f t="shared" si="127"/>
        <v>253264</v>
      </c>
      <c r="EH306" s="6">
        <f t="shared" si="199"/>
        <v>832195</v>
      </c>
      <c r="EI306" s="36">
        <f t="shared" si="200"/>
        <v>-5.197987476716453E-3</v>
      </c>
      <c r="EJ306" s="36">
        <f t="shared" si="201"/>
        <v>-1.1279826464208242E-3</v>
      </c>
      <c r="EM306" s="104"/>
      <c r="EN306" s="104"/>
      <c r="FE306" s="32"/>
      <c r="FF306" s="34"/>
      <c r="FG306" s="31"/>
      <c r="FU306" s="192">
        <f t="shared" si="149"/>
        <v>0</v>
      </c>
    </row>
    <row r="307" spans="1:177">
      <c r="B307" s="9">
        <v>41306</v>
      </c>
      <c r="C307" s="110">
        <v>0</v>
      </c>
      <c r="D307" s="110">
        <v>0</v>
      </c>
      <c r="E307" s="110">
        <v>0</v>
      </c>
      <c r="F307" s="110">
        <v>0</v>
      </c>
      <c r="G307" s="110">
        <v>1476</v>
      </c>
      <c r="H307" s="110">
        <v>17222</v>
      </c>
      <c r="I307" s="110">
        <v>32541</v>
      </c>
      <c r="J307" s="110">
        <v>4970</v>
      </c>
      <c r="K307" s="110">
        <v>9381</v>
      </c>
      <c r="L307" s="110"/>
      <c r="M307" s="110">
        <v>25125</v>
      </c>
      <c r="N307" s="110">
        <v>1546</v>
      </c>
      <c r="O307" s="110"/>
      <c r="P307" s="110">
        <v>1705</v>
      </c>
      <c r="Q307" s="110">
        <v>12076</v>
      </c>
      <c r="R307" s="110">
        <v>310</v>
      </c>
      <c r="S307" s="110">
        <v>8088</v>
      </c>
      <c r="T307" s="110">
        <v>11631</v>
      </c>
      <c r="U307" s="110"/>
      <c r="V307" s="110"/>
      <c r="W307" s="110">
        <v>421</v>
      </c>
      <c r="X307" s="110">
        <v>8329</v>
      </c>
      <c r="Y307" s="110">
        <v>330</v>
      </c>
      <c r="Z307" s="110">
        <v>5</v>
      </c>
      <c r="AA307" s="160"/>
      <c r="AB307" s="110">
        <v>10</v>
      </c>
      <c r="AC307" s="110">
        <v>251</v>
      </c>
      <c r="AD307" s="110">
        <v>30</v>
      </c>
      <c r="AE307" s="110">
        <v>30</v>
      </c>
      <c r="AF307" s="110">
        <v>36</v>
      </c>
      <c r="AG307" s="110">
        <v>100</v>
      </c>
      <c r="AH307" s="110"/>
      <c r="AI307" s="110"/>
      <c r="AJ307" s="110">
        <v>7</v>
      </c>
      <c r="AK307" s="110">
        <v>11392</v>
      </c>
      <c r="AL307" s="110">
        <v>113137</v>
      </c>
      <c r="AM307" s="110">
        <v>3113</v>
      </c>
      <c r="AN307" s="110">
        <v>21822</v>
      </c>
      <c r="AO307" s="110">
        <v>19</v>
      </c>
      <c r="AP307" s="110">
        <v>4</v>
      </c>
      <c r="AQ307" s="110">
        <v>8399</v>
      </c>
      <c r="AR307" s="110">
        <v>0</v>
      </c>
      <c r="AS307" s="110">
        <v>2269</v>
      </c>
      <c r="AT307" s="110">
        <v>45</v>
      </c>
      <c r="AU307" s="110">
        <v>7102</v>
      </c>
      <c r="AV307" s="110">
        <v>2438</v>
      </c>
      <c r="AW307" s="110">
        <v>4780</v>
      </c>
      <c r="AX307" s="110">
        <v>16066</v>
      </c>
      <c r="AY307" s="160"/>
      <c r="AZ307" s="160"/>
      <c r="BA307" s="160">
        <v>896</v>
      </c>
      <c r="BB307" s="160"/>
      <c r="BC307" s="110">
        <v>331</v>
      </c>
      <c r="BD307" s="110"/>
      <c r="BE307" s="110">
        <v>0</v>
      </c>
      <c r="BF307" s="110">
        <v>0</v>
      </c>
      <c r="BG307" s="110">
        <v>6640</v>
      </c>
      <c r="BH307" s="110">
        <v>0</v>
      </c>
      <c r="BI307" s="110">
        <v>0</v>
      </c>
      <c r="BJ307" s="110">
        <v>0</v>
      </c>
      <c r="BK307" s="110">
        <v>3</v>
      </c>
      <c r="BL307" s="110">
        <v>5728</v>
      </c>
      <c r="BM307" s="110"/>
      <c r="BN307" s="110">
        <v>531</v>
      </c>
      <c r="BO307" s="110">
        <v>15</v>
      </c>
      <c r="BP307" s="130">
        <v>35335</v>
      </c>
      <c r="BQ307" s="110">
        <v>85558</v>
      </c>
      <c r="BR307" s="110">
        <v>439</v>
      </c>
      <c r="BS307" s="110">
        <v>112</v>
      </c>
      <c r="BT307" s="110">
        <v>6460</v>
      </c>
      <c r="BU307" s="110">
        <v>80</v>
      </c>
      <c r="BV307" s="110"/>
      <c r="BW307" s="110">
        <v>1</v>
      </c>
      <c r="BX307" s="110">
        <v>31</v>
      </c>
      <c r="BY307" s="110"/>
      <c r="BZ307" s="110">
        <v>6</v>
      </c>
      <c r="CA307" s="110">
        <v>0</v>
      </c>
      <c r="CB307" s="110">
        <v>24687</v>
      </c>
      <c r="CC307" s="110">
        <v>14931</v>
      </c>
      <c r="CD307" s="110">
        <v>154035</v>
      </c>
      <c r="CE307" s="110">
        <v>258981</v>
      </c>
      <c r="CF307" s="110">
        <v>25012</v>
      </c>
      <c r="CG307" s="110">
        <v>51156</v>
      </c>
      <c r="CH307" s="110">
        <v>0</v>
      </c>
      <c r="CI307" s="110">
        <v>3</v>
      </c>
      <c r="CJ307" s="110">
        <v>3</v>
      </c>
      <c r="CK307" s="110">
        <v>54</v>
      </c>
      <c r="CL307" s="110"/>
      <c r="CM307" s="110"/>
      <c r="CN307" s="110"/>
      <c r="CO307" s="110"/>
      <c r="CP307" s="110"/>
      <c r="CQ307" s="110"/>
      <c r="CR307" s="110"/>
      <c r="CS307" s="110"/>
      <c r="CT307" s="110">
        <v>0</v>
      </c>
      <c r="CU307" s="110">
        <v>0</v>
      </c>
      <c r="CV307" s="110">
        <v>0</v>
      </c>
      <c r="CW307" s="110">
        <v>18</v>
      </c>
      <c r="CX307" s="110">
        <v>0</v>
      </c>
      <c r="CY307" s="110">
        <v>32</v>
      </c>
      <c r="DA307" s="6"/>
      <c r="DC307" s="6"/>
      <c r="DD307" s="6">
        <f t="shared" si="189"/>
        <v>669801</v>
      </c>
      <c r="DE307" s="6">
        <f t="shared" si="102"/>
        <v>260947</v>
      </c>
      <c r="DF307" s="8">
        <f t="shared" si="190"/>
        <v>930748</v>
      </c>
      <c r="DK307" s="6">
        <f t="shared" si="103"/>
        <v>57600</v>
      </c>
      <c r="DL307" s="6">
        <f t="shared" si="104"/>
        <v>146221</v>
      </c>
      <c r="DM307" s="6">
        <f t="shared" si="191"/>
        <v>11631</v>
      </c>
      <c r="DN307" s="6">
        <f t="shared" si="192"/>
        <v>46391</v>
      </c>
      <c r="DO307" s="6">
        <f t="shared" si="193"/>
        <v>463428</v>
      </c>
      <c r="DP307" s="6">
        <f t="shared" si="108"/>
        <v>92549</v>
      </c>
      <c r="DQ307" s="6"/>
      <c r="DR307" s="6">
        <f t="shared" si="194"/>
        <v>14934</v>
      </c>
      <c r="DS307" s="6">
        <f t="shared" si="195"/>
        <v>35335</v>
      </c>
      <c r="DT307" s="6">
        <f t="shared" si="196"/>
        <v>12399</v>
      </c>
      <c r="DU307" s="6"/>
      <c r="DV307" s="6"/>
      <c r="DW307" s="6">
        <f t="shared" si="197"/>
        <v>880488</v>
      </c>
      <c r="DY307" s="6">
        <f t="shared" si="105"/>
        <v>591097</v>
      </c>
      <c r="DZ307" s="6">
        <f t="shared" si="106"/>
        <v>65590</v>
      </c>
      <c r="EB307" s="6">
        <f t="shared" si="107"/>
        <v>996338</v>
      </c>
      <c r="EC307" s="6"/>
      <c r="ED307" s="6"/>
      <c r="EF307" s="6">
        <f t="shared" si="198"/>
        <v>583310</v>
      </c>
      <c r="EG307" s="6">
        <f t="shared" si="127"/>
        <v>253444</v>
      </c>
      <c r="EH307" s="6">
        <f t="shared" si="199"/>
        <v>836754</v>
      </c>
      <c r="EI307" s="36">
        <f t="shared" si="200"/>
        <v>7.5639411259718339E-3</v>
      </c>
      <c r="EJ307" s="36">
        <f t="shared" si="201"/>
        <v>7.1072082885842436E-4</v>
      </c>
      <c r="EM307" s="104"/>
      <c r="EN307" s="104"/>
      <c r="FE307" s="32"/>
      <c r="FF307" s="34"/>
      <c r="FG307" s="31"/>
      <c r="FU307" s="192">
        <f t="shared" si="149"/>
        <v>0</v>
      </c>
    </row>
    <row r="308" spans="1:177">
      <c r="B308" s="9">
        <v>41334</v>
      </c>
      <c r="C308" s="110">
        <v>0</v>
      </c>
      <c r="D308" s="110">
        <v>0</v>
      </c>
      <c r="E308" s="110">
        <v>0</v>
      </c>
      <c r="F308" s="110">
        <v>0</v>
      </c>
      <c r="G308" s="110">
        <v>1518</v>
      </c>
      <c r="H308" s="110">
        <v>17103</v>
      </c>
      <c r="I308" s="110">
        <v>32217</v>
      </c>
      <c r="J308" s="110">
        <v>4930</v>
      </c>
      <c r="K308" s="110">
        <v>9332</v>
      </c>
      <c r="L308" s="110"/>
      <c r="M308" s="110">
        <v>25057</v>
      </c>
      <c r="N308" s="110">
        <v>1532</v>
      </c>
      <c r="O308" s="110"/>
      <c r="P308" s="110">
        <v>1702</v>
      </c>
      <c r="Q308" s="110">
        <v>12085</v>
      </c>
      <c r="R308" s="110">
        <v>306</v>
      </c>
      <c r="S308" s="110">
        <v>8030</v>
      </c>
      <c r="T308" s="110">
        <v>11679</v>
      </c>
      <c r="U308" s="110">
        <v>1</v>
      </c>
      <c r="V308" s="110">
        <v>9</v>
      </c>
      <c r="W308" s="110">
        <v>420</v>
      </c>
      <c r="X308" s="110">
        <v>8406</v>
      </c>
      <c r="Y308" s="110">
        <v>328</v>
      </c>
      <c r="Z308" s="110">
        <v>5</v>
      </c>
      <c r="AA308" s="160"/>
      <c r="AB308" s="110">
        <v>10</v>
      </c>
      <c r="AC308" s="110">
        <v>260</v>
      </c>
      <c r="AD308" s="110">
        <v>30</v>
      </c>
      <c r="AE308" s="110">
        <v>29</v>
      </c>
      <c r="AF308" s="110">
        <v>36</v>
      </c>
      <c r="AG308" s="110">
        <v>99</v>
      </c>
      <c r="AH308" s="110">
        <v>5</v>
      </c>
      <c r="AI308" s="110">
        <v>4</v>
      </c>
      <c r="AJ308" s="110">
        <v>7</v>
      </c>
      <c r="AK308" s="110">
        <v>11563</v>
      </c>
      <c r="AL308" s="110">
        <v>113347</v>
      </c>
      <c r="AM308" s="110">
        <v>3088</v>
      </c>
      <c r="AN308" s="110">
        <v>21919</v>
      </c>
      <c r="AO308" s="110">
        <v>22</v>
      </c>
      <c r="AP308" s="110">
        <v>3</v>
      </c>
      <c r="AQ308" s="110">
        <v>9470</v>
      </c>
      <c r="AR308" s="110">
        <v>0</v>
      </c>
      <c r="AS308" s="110">
        <v>2208</v>
      </c>
      <c r="AT308" s="110">
        <v>48</v>
      </c>
      <c r="AU308" s="110">
        <v>7095</v>
      </c>
      <c r="AV308" s="110">
        <v>2449</v>
      </c>
      <c r="AW308" s="110">
        <v>4802</v>
      </c>
      <c r="AX308" s="110">
        <v>16178</v>
      </c>
      <c r="AY308" s="160"/>
      <c r="AZ308" s="160"/>
      <c r="BA308" s="160">
        <v>903</v>
      </c>
      <c r="BB308" s="160"/>
      <c r="BC308" s="110">
        <v>332</v>
      </c>
      <c r="BD308" s="110"/>
      <c r="BE308" s="110">
        <v>0</v>
      </c>
      <c r="BF308" s="110">
        <v>0</v>
      </c>
      <c r="BG308" s="110">
        <v>6764</v>
      </c>
      <c r="BH308" s="110">
        <v>0</v>
      </c>
      <c r="BI308" s="110">
        <v>0</v>
      </c>
      <c r="BJ308" s="110">
        <v>0</v>
      </c>
      <c r="BK308" s="110">
        <v>3</v>
      </c>
      <c r="BL308" s="110">
        <v>5775</v>
      </c>
      <c r="BM308" s="110"/>
      <c r="BN308" s="110">
        <v>488</v>
      </c>
      <c r="BO308" s="110">
        <v>15</v>
      </c>
      <c r="BP308" s="130">
        <v>36071</v>
      </c>
      <c r="BQ308" s="110">
        <v>85573</v>
      </c>
      <c r="BR308" s="110">
        <v>431</v>
      </c>
      <c r="BS308" s="110">
        <v>113</v>
      </c>
      <c r="BT308" s="110">
        <v>6461</v>
      </c>
      <c r="BU308" s="110">
        <v>70</v>
      </c>
      <c r="BV308" s="110"/>
      <c r="BW308" s="110">
        <v>1</v>
      </c>
      <c r="BX308" s="110">
        <v>21</v>
      </c>
      <c r="BY308" s="110"/>
      <c r="BZ308" s="110">
        <v>4</v>
      </c>
      <c r="CA308" s="110">
        <v>0</v>
      </c>
      <c r="CB308" s="110">
        <v>24351</v>
      </c>
      <c r="CC308" s="110">
        <v>15001</v>
      </c>
      <c r="CD308" s="110">
        <v>153747</v>
      </c>
      <c r="CE308" s="110">
        <v>259677</v>
      </c>
      <c r="CF308" s="110">
        <v>24994</v>
      </c>
      <c r="CG308" s="110">
        <v>50656</v>
      </c>
      <c r="CH308" s="110">
        <v>0</v>
      </c>
      <c r="CI308" s="110">
        <v>4</v>
      </c>
      <c r="CJ308" s="110">
        <v>3</v>
      </c>
      <c r="CK308" s="110">
        <v>62</v>
      </c>
      <c r="CL308" s="110"/>
      <c r="CM308" s="110"/>
      <c r="CN308" s="110"/>
      <c r="CO308" s="110"/>
      <c r="CP308" s="110"/>
      <c r="CQ308" s="110"/>
      <c r="CR308" s="110"/>
      <c r="CS308" s="110"/>
      <c r="CT308" s="110">
        <v>0</v>
      </c>
      <c r="CU308" s="110">
        <v>0</v>
      </c>
      <c r="CV308" s="110">
        <v>0</v>
      </c>
      <c r="CW308" s="110">
        <v>18</v>
      </c>
      <c r="CX308" s="110">
        <v>0</v>
      </c>
      <c r="CY308" s="110">
        <v>32</v>
      </c>
      <c r="CZ308" s="133"/>
      <c r="DA308" s="6"/>
      <c r="DC308" s="6"/>
      <c r="DD308" s="6">
        <f t="shared" si="189"/>
        <v>670285</v>
      </c>
      <c r="DE308" s="6">
        <f t="shared" si="102"/>
        <v>262564</v>
      </c>
      <c r="DF308" s="8">
        <f t="shared" ref="DF308:DF311" si="202">SUM(DD308:DE308)</f>
        <v>932849</v>
      </c>
      <c r="DK308" s="6">
        <f t="shared" si="103"/>
        <v>57548</v>
      </c>
      <c r="DL308" s="6">
        <f t="shared" si="104"/>
        <v>146571</v>
      </c>
      <c r="DM308" s="6">
        <f t="shared" ref="DM308:DM311" si="203">T308</f>
        <v>11679</v>
      </c>
      <c r="DN308" s="6">
        <f t="shared" ref="DN308:DN311" si="204">AG308+AX308+AN308+AP308+AQ308+AR308</f>
        <v>47669</v>
      </c>
      <c r="DO308" s="6">
        <f t="shared" ref="DO308:DO311" si="205">SUM(BF308,BI308,BK308,BO308,BR308:BS308,BU308:BW308,BZ308:CB308,CD308:CF308,CJ308:CK308)</f>
        <v>463471</v>
      </c>
      <c r="DP308" s="6">
        <f t="shared" si="108"/>
        <v>92522</v>
      </c>
      <c r="DQ308" s="6"/>
      <c r="DR308" s="6">
        <f t="shared" ref="DR308:DR311" si="206">CC308+CI308</f>
        <v>15005</v>
      </c>
      <c r="DS308" s="6">
        <f t="shared" ref="DS308:DS311" si="207">BP308</f>
        <v>36071</v>
      </c>
      <c r="DT308" s="6">
        <f t="shared" ref="DT308:DT311" si="208">BG308+BJ308+BL308+BX308</f>
        <v>12560</v>
      </c>
      <c r="DU308" s="6"/>
      <c r="DV308" s="6"/>
      <c r="DW308" s="6">
        <f t="shared" ref="DW308:DW311" si="209">SUM(DK308:DT308)</f>
        <v>883096</v>
      </c>
      <c r="DY308" s="6">
        <f t="shared" si="105"/>
        <v>590269</v>
      </c>
      <c r="DZ308" s="6">
        <f t="shared" si="106"/>
        <v>65100</v>
      </c>
      <c r="EB308" s="6">
        <f t="shared" si="107"/>
        <v>997949</v>
      </c>
      <c r="EC308" s="6"/>
      <c r="ED308" s="6"/>
      <c r="EF308" s="6">
        <f t="shared" si="198"/>
        <v>583558</v>
      </c>
      <c r="EG308" s="6">
        <f t="shared" si="127"/>
        <v>253997</v>
      </c>
      <c r="EH308" s="6">
        <f t="shared" si="199"/>
        <v>837555</v>
      </c>
      <c r="EI308" s="36">
        <f t="shared" ref="EI308:EI311" si="210">(EF308-EF307)/EF307</f>
        <v>4.2515986353739864E-4</v>
      </c>
      <c r="EJ308" s="36">
        <f t="shared" ref="EJ308:EJ311" si="211">(EG308-EG307)/EG307</f>
        <v>2.1819415728918418E-3</v>
      </c>
      <c r="EM308" s="104"/>
      <c r="EN308" s="104"/>
      <c r="FE308" s="32"/>
      <c r="FF308" s="34"/>
      <c r="FG308" s="31"/>
      <c r="FU308" s="192">
        <f t="shared" si="149"/>
        <v>0</v>
      </c>
    </row>
    <row r="309" spans="1:177">
      <c r="A309" s="150">
        <f>AB309+AS309+AD309+AU309</f>
        <v>9437</v>
      </c>
      <c r="B309" s="9">
        <v>41365</v>
      </c>
      <c r="C309" s="110">
        <v>0</v>
      </c>
      <c r="D309" s="110">
        <v>0</v>
      </c>
      <c r="E309" s="110">
        <v>0</v>
      </c>
      <c r="F309" s="110">
        <v>0</v>
      </c>
      <c r="G309" s="110">
        <v>1544</v>
      </c>
      <c r="H309" s="110">
        <v>17039</v>
      </c>
      <c r="I309" s="110">
        <v>32175</v>
      </c>
      <c r="J309" s="110">
        <v>4884</v>
      </c>
      <c r="K309" s="110">
        <v>9338</v>
      </c>
      <c r="L309" s="110"/>
      <c r="M309" s="110">
        <v>24998</v>
      </c>
      <c r="N309" s="110">
        <v>1526</v>
      </c>
      <c r="O309" s="110"/>
      <c r="P309" s="110">
        <v>1721</v>
      </c>
      <c r="Q309" s="110">
        <v>12170</v>
      </c>
      <c r="R309" s="110">
        <v>304</v>
      </c>
      <c r="S309" s="110">
        <v>8016</v>
      </c>
      <c r="T309" s="110">
        <v>11727</v>
      </c>
      <c r="U309" s="110">
        <v>11</v>
      </c>
      <c r="V309" s="110">
        <v>82</v>
      </c>
      <c r="W309" s="110">
        <v>417</v>
      </c>
      <c r="X309" s="110">
        <v>8534</v>
      </c>
      <c r="Y309" s="110">
        <v>331</v>
      </c>
      <c r="Z309" s="110">
        <v>4</v>
      </c>
      <c r="AA309" s="160"/>
      <c r="AB309" s="110">
        <v>11</v>
      </c>
      <c r="AC309" s="110">
        <v>274</v>
      </c>
      <c r="AD309" s="110">
        <v>31</v>
      </c>
      <c r="AE309" s="110">
        <v>29</v>
      </c>
      <c r="AF309" s="110">
        <v>37</v>
      </c>
      <c r="AG309" s="110">
        <v>95</v>
      </c>
      <c r="AH309" s="110">
        <v>23</v>
      </c>
      <c r="AI309" s="110">
        <v>31</v>
      </c>
      <c r="AJ309" s="110">
        <v>7</v>
      </c>
      <c r="AK309" s="110">
        <v>11780</v>
      </c>
      <c r="AL309" s="110">
        <v>113476</v>
      </c>
      <c r="AM309" s="110">
        <v>3110</v>
      </c>
      <c r="AN309" s="110">
        <v>21998</v>
      </c>
      <c r="AO309" s="110">
        <v>25</v>
      </c>
      <c r="AP309" s="110">
        <v>3</v>
      </c>
      <c r="AQ309" s="110">
        <v>10108</v>
      </c>
      <c r="AR309" s="110">
        <v>0</v>
      </c>
      <c r="AS309" s="110">
        <v>2280</v>
      </c>
      <c r="AT309" s="110">
        <v>52</v>
      </c>
      <c r="AU309" s="110">
        <v>7115</v>
      </c>
      <c r="AV309" s="110">
        <v>2459</v>
      </c>
      <c r="AW309" s="110">
        <v>4831</v>
      </c>
      <c r="AX309" s="110">
        <v>16332</v>
      </c>
      <c r="AY309" s="160"/>
      <c r="AZ309" s="160"/>
      <c r="BA309" s="160">
        <v>911</v>
      </c>
      <c r="BB309" s="160"/>
      <c r="BC309" s="110">
        <v>325</v>
      </c>
      <c r="BD309" s="110"/>
      <c r="BE309" s="110">
        <v>0</v>
      </c>
      <c r="BF309" s="110">
        <v>0</v>
      </c>
      <c r="BG309" s="110">
        <v>6824</v>
      </c>
      <c r="BH309" s="110">
        <v>0</v>
      </c>
      <c r="BI309" s="110">
        <v>0</v>
      </c>
      <c r="BJ309" s="110">
        <v>0</v>
      </c>
      <c r="BK309" s="110">
        <v>4</v>
      </c>
      <c r="BL309" s="110">
        <v>5784</v>
      </c>
      <c r="BM309" s="110"/>
      <c r="BN309" s="110">
        <v>504</v>
      </c>
      <c r="BO309" s="110">
        <v>11</v>
      </c>
      <c r="BP309" s="130">
        <v>37150</v>
      </c>
      <c r="BQ309" s="110">
        <v>85854</v>
      </c>
      <c r="BR309" s="110">
        <v>440</v>
      </c>
      <c r="BS309" s="110">
        <v>106</v>
      </c>
      <c r="BT309" s="110">
        <v>6554</v>
      </c>
      <c r="BU309" s="110">
        <v>67</v>
      </c>
      <c r="BV309" s="110"/>
      <c r="BW309" s="110">
        <v>1</v>
      </c>
      <c r="BX309" s="110">
        <v>18</v>
      </c>
      <c r="BY309" s="110"/>
      <c r="BZ309" s="110">
        <v>5</v>
      </c>
      <c r="CA309" s="110">
        <v>0</v>
      </c>
      <c r="CB309" s="110">
        <v>24156</v>
      </c>
      <c r="CC309" s="110">
        <v>15284</v>
      </c>
      <c r="CD309" s="110">
        <v>153610</v>
      </c>
      <c r="CE309" s="110">
        <v>260304</v>
      </c>
      <c r="CF309" s="110">
        <v>25074</v>
      </c>
      <c r="CG309" s="110">
        <v>50405</v>
      </c>
      <c r="CH309" s="110">
        <v>0</v>
      </c>
      <c r="CI309" s="110">
        <v>3</v>
      </c>
      <c r="CJ309" s="110">
        <v>4</v>
      </c>
      <c r="CK309" s="110">
        <v>60</v>
      </c>
      <c r="CL309" s="110"/>
      <c r="CM309" s="110"/>
      <c r="CN309" s="110"/>
      <c r="CO309" s="110"/>
      <c r="CP309" s="110"/>
      <c r="CQ309" s="110"/>
      <c r="CR309" s="110"/>
      <c r="CS309" s="110"/>
      <c r="CT309" s="110">
        <v>0</v>
      </c>
      <c r="CU309" s="110">
        <v>0</v>
      </c>
      <c r="CV309" s="110">
        <v>0</v>
      </c>
      <c r="CW309" s="110">
        <v>18</v>
      </c>
      <c r="CX309" s="110">
        <v>0</v>
      </c>
      <c r="CY309" s="110">
        <v>32</v>
      </c>
      <c r="CZ309" s="133"/>
      <c r="DA309" s="6"/>
      <c r="DC309" s="6"/>
      <c r="DD309" s="6">
        <f t="shared" si="189"/>
        <v>672222</v>
      </c>
      <c r="DE309" s="6">
        <f t="shared" si="102"/>
        <v>264273</v>
      </c>
      <c r="DF309" s="8">
        <f t="shared" si="202"/>
        <v>936495</v>
      </c>
      <c r="DK309" s="6">
        <f t="shared" si="103"/>
        <v>57779</v>
      </c>
      <c r="DL309" s="6">
        <f t="shared" si="104"/>
        <v>147142</v>
      </c>
      <c r="DM309" s="6">
        <f t="shared" si="203"/>
        <v>11727</v>
      </c>
      <c r="DN309" s="6">
        <f t="shared" si="204"/>
        <v>48536</v>
      </c>
      <c r="DO309" s="6">
        <f t="shared" si="205"/>
        <v>463842</v>
      </c>
      <c r="DP309" s="6">
        <f t="shared" si="108"/>
        <v>92912</v>
      </c>
      <c r="DQ309" s="6"/>
      <c r="DR309" s="6">
        <f t="shared" si="206"/>
        <v>15287</v>
      </c>
      <c r="DS309" s="6">
        <f t="shared" si="207"/>
        <v>37150</v>
      </c>
      <c r="DT309" s="6">
        <f t="shared" si="208"/>
        <v>12626</v>
      </c>
      <c r="DU309" s="6"/>
      <c r="DV309" s="6"/>
      <c r="DW309" s="6">
        <f t="shared" si="209"/>
        <v>887001</v>
      </c>
      <c r="DY309" s="6">
        <f t="shared" si="105"/>
        <v>590309</v>
      </c>
      <c r="DZ309" s="6">
        <f t="shared" si="106"/>
        <v>64980</v>
      </c>
      <c r="EB309" s="6">
        <f t="shared" si="107"/>
        <v>1001475</v>
      </c>
      <c r="EC309" s="6"/>
      <c r="ED309" s="6"/>
      <c r="EF309" s="6">
        <f t="shared" si="198"/>
        <v>584667</v>
      </c>
      <c r="EG309" s="6">
        <f t="shared" si="127"/>
        <v>255076</v>
      </c>
      <c r="EH309" s="6">
        <f t="shared" si="199"/>
        <v>839743</v>
      </c>
      <c r="EI309" s="36">
        <f t="shared" si="210"/>
        <v>1.9004109274485142E-3</v>
      </c>
      <c r="EJ309" s="36">
        <f t="shared" si="211"/>
        <v>4.2480816702559479E-3</v>
      </c>
      <c r="EM309" s="104"/>
      <c r="EN309" s="104"/>
      <c r="FE309" s="32"/>
      <c r="FF309" s="34"/>
      <c r="FG309" s="31"/>
      <c r="FU309" s="192">
        <f t="shared" si="149"/>
        <v>0</v>
      </c>
    </row>
    <row r="310" spans="1:177">
      <c r="A310" s="150">
        <f t="shared" ref="A310:A319" si="212">AB310+AS310+AD310+AU310</f>
        <v>9477</v>
      </c>
      <c r="B310" s="9">
        <v>41395</v>
      </c>
      <c r="C310" s="110">
        <v>0</v>
      </c>
      <c r="D310" s="110">
        <v>0</v>
      </c>
      <c r="E310" s="110">
        <v>0</v>
      </c>
      <c r="F310" s="110">
        <v>0</v>
      </c>
      <c r="G310" s="110">
        <v>1578</v>
      </c>
      <c r="H310" s="110">
        <v>16935</v>
      </c>
      <c r="I310" s="110">
        <v>32148</v>
      </c>
      <c r="J310" s="110">
        <v>4849</v>
      </c>
      <c r="K310" s="110">
        <v>9282</v>
      </c>
      <c r="L310" s="110">
        <v>0</v>
      </c>
      <c r="M310" s="110">
        <v>24935</v>
      </c>
      <c r="N310" s="110">
        <v>1526</v>
      </c>
      <c r="O310" s="110">
        <v>0</v>
      </c>
      <c r="P310" s="110">
        <v>1697</v>
      </c>
      <c r="Q310" s="110">
        <v>12190</v>
      </c>
      <c r="R310" s="110">
        <v>309</v>
      </c>
      <c r="S310" s="110">
        <v>7945</v>
      </c>
      <c r="T310" s="110">
        <v>11742</v>
      </c>
      <c r="U310" s="110">
        <v>13</v>
      </c>
      <c r="V310" s="110">
        <v>173</v>
      </c>
      <c r="W310" s="110">
        <v>414</v>
      </c>
      <c r="X310" s="110">
        <v>8611</v>
      </c>
      <c r="Y310" s="110">
        <v>330</v>
      </c>
      <c r="Z310" s="110">
        <v>4</v>
      </c>
      <c r="AA310" s="160"/>
      <c r="AB310" s="110">
        <v>10</v>
      </c>
      <c r="AC310" s="110">
        <v>268</v>
      </c>
      <c r="AD310" s="110">
        <v>32</v>
      </c>
      <c r="AE310" s="110">
        <v>32</v>
      </c>
      <c r="AF310" s="110">
        <v>35</v>
      </c>
      <c r="AG310" s="110">
        <v>94</v>
      </c>
      <c r="AH310" s="110">
        <v>32</v>
      </c>
      <c r="AI310" s="110">
        <v>81</v>
      </c>
      <c r="AJ310" s="110">
        <v>8</v>
      </c>
      <c r="AK310" s="110">
        <v>12011</v>
      </c>
      <c r="AL310" s="110">
        <v>113288</v>
      </c>
      <c r="AM310" s="110">
        <v>3071</v>
      </c>
      <c r="AN310" s="110">
        <v>21939</v>
      </c>
      <c r="AO310" s="110">
        <v>22</v>
      </c>
      <c r="AP310" s="110">
        <v>2</v>
      </c>
      <c r="AQ310" s="110">
        <v>10516</v>
      </c>
      <c r="AR310" s="110">
        <v>0</v>
      </c>
      <c r="AS310" s="110">
        <v>2311</v>
      </c>
      <c r="AT310" s="110">
        <v>54</v>
      </c>
      <c r="AU310" s="110">
        <v>7124</v>
      </c>
      <c r="AV310" s="110">
        <v>2459</v>
      </c>
      <c r="AW310" s="110">
        <v>4815</v>
      </c>
      <c r="AX310" s="110">
        <v>16321</v>
      </c>
      <c r="AY310" s="160"/>
      <c r="AZ310" s="160"/>
      <c r="BA310" s="160">
        <v>904</v>
      </c>
      <c r="BB310" s="160"/>
      <c r="BC310" s="110">
        <v>300</v>
      </c>
      <c r="BD310" s="110"/>
      <c r="BE310" s="110">
        <v>0</v>
      </c>
      <c r="BF310" s="110">
        <v>0</v>
      </c>
      <c r="BG310" s="110">
        <v>6871</v>
      </c>
      <c r="BH310" s="110">
        <v>0</v>
      </c>
      <c r="BI310" s="110">
        <v>0</v>
      </c>
      <c r="BJ310" s="110">
        <v>0</v>
      </c>
      <c r="BK310" s="110">
        <v>4</v>
      </c>
      <c r="BL310" s="110">
        <v>5790</v>
      </c>
      <c r="BM310" s="110"/>
      <c r="BN310" s="110">
        <v>481</v>
      </c>
      <c r="BO310" s="110">
        <v>9</v>
      </c>
      <c r="BP310" s="130">
        <v>37889</v>
      </c>
      <c r="BQ310" s="110">
        <v>86108</v>
      </c>
      <c r="BR310" s="110">
        <v>404</v>
      </c>
      <c r="BS310" s="110">
        <v>105</v>
      </c>
      <c r="BT310" s="110">
        <v>6491</v>
      </c>
      <c r="BU310" s="110">
        <v>67</v>
      </c>
      <c r="BV310" s="110"/>
      <c r="BW310" s="110">
        <v>1</v>
      </c>
      <c r="BX310" s="110">
        <v>19</v>
      </c>
      <c r="BY310" s="110"/>
      <c r="BZ310" s="110">
        <v>4</v>
      </c>
      <c r="CA310" s="110">
        <v>0</v>
      </c>
      <c r="CB310" s="110">
        <v>23996</v>
      </c>
      <c r="CC310" s="110">
        <v>15604</v>
      </c>
      <c r="CD310" s="110">
        <v>153477</v>
      </c>
      <c r="CE310" s="110">
        <v>260627</v>
      </c>
      <c r="CF310" s="110">
        <v>25185</v>
      </c>
      <c r="CG310" s="110">
        <v>50232</v>
      </c>
      <c r="CH310" s="110">
        <v>0</v>
      </c>
      <c r="CI310" s="110">
        <v>2</v>
      </c>
      <c r="CJ310" s="110">
        <v>4</v>
      </c>
      <c r="CK310" s="110">
        <v>57</v>
      </c>
      <c r="CL310" s="110"/>
      <c r="CM310" s="110"/>
      <c r="CN310" s="110"/>
      <c r="CO310" s="110"/>
      <c r="CP310" s="110"/>
      <c r="CQ310" s="110"/>
      <c r="CR310" s="110"/>
      <c r="CS310" s="110"/>
      <c r="CT310" s="110">
        <v>0</v>
      </c>
      <c r="CU310" s="110">
        <v>0</v>
      </c>
      <c r="CV310" s="110">
        <v>0</v>
      </c>
      <c r="CW310" s="110">
        <v>17</v>
      </c>
      <c r="CX310" s="110">
        <v>0</v>
      </c>
      <c r="CY310" s="110">
        <v>31</v>
      </c>
      <c r="CZ310" s="133"/>
      <c r="DA310" s="6"/>
      <c r="DC310" s="6"/>
      <c r="DD310" s="6">
        <f t="shared" si="189"/>
        <v>673427</v>
      </c>
      <c r="DE310" s="6">
        <f t="shared" si="102"/>
        <v>264714</v>
      </c>
      <c r="DF310" s="8">
        <f t="shared" si="202"/>
        <v>938141</v>
      </c>
      <c r="DK310" s="6">
        <f t="shared" si="103"/>
        <v>57813</v>
      </c>
      <c r="DL310" s="6">
        <f t="shared" si="104"/>
        <v>147191</v>
      </c>
      <c r="DM310" s="6">
        <f t="shared" si="203"/>
        <v>11742</v>
      </c>
      <c r="DN310" s="6">
        <f t="shared" si="204"/>
        <v>48872</v>
      </c>
      <c r="DO310" s="6">
        <f t="shared" si="205"/>
        <v>463940</v>
      </c>
      <c r="DP310" s="6">
        <f t="shared" si="108"/>
        <v>93080</v>
      </c>
      <c r="DQ310" s="6"/>
      <c r="DR310" s="6">
        <f t="shared" si="206"/>
        <v>15606</v>
      </c>
      <c r="DS310" s="6">
        <f t="shared" si="207"/>
        <v>37889</v>
      </c>
      <c r="DT310" s="6">
        <f t="shared" si="208"/>
        <v>12680</v>
      </c>
      <c r="DU310" s="6"/>
      <c r="DV310" s="6"/>
      <c r="DW310" s="6">
        <f t="shared" si="209"/>
        <v>888813</v>
      </c>
      <c r="DY310" s="6">
        <f t="shared" si="105"/>
        <v>590066</v>
      </c>
      <c r="DZ310" s="6">
        <f t="shared" si="106"/>
        <v>64792</v>
      </c>
      <c r="EB310" s="6">
        <f t="shared" si="107"/>
        <v>1002933</v>
      </c>
      <c r="EC310" s="6"/>
      <c r="ED310" s="6"/>
      <c r="EF310" s="6">
        <f t="shared" si="198"/>
        <v>585306</v>
      </c>
      <c r="EG310" s="6">
        <f t="shared" si="127"/>
        <v>255102</v>
      </c>
      <c r="EH310" s="6">
        <f t="shared" si="199"/>
        <v>840408</v>
      </c>
      <c r="EI310" s="36">
        <f t="shared" si="210"/>
        <v>1.0929298215907517E-3</v>
      </c>
      <c r="EJ310" s="36">
        <f t="shared" si="211"/>
        <v>1.0193040505574809E-4</v>
      </c>
      <c r="EM310" s="104"/>
      <c r="EN310" s="104"/>
      <c r="FE310" s="32"/>
      <c r="FF310" s="34"/>
      <c r="FG310" s="31"/>
      <c r="FU310" s="192">
        <f t="shared" si="149"/>
        <v>0</v>
      </c>
    </row>
    <row r="311" spans="1:177">
      <c r="A311" s="150">
        <f t="shared" si="212"/>
        <v>9524</v>
      </c>
      <c r="B311" s="9">
        <v>41426</v>
      </c>
      <c r="C311" s="110">
        <v>0</v>
      </c>
      <c r="D311" s="110">
        <v>0</v>
      </c>
      <c r="E311" s="110">
        <v>0</v>
      </c>
      <c r="F311" s="110">
        <v>0</v>
      </c>
      <c r="G311" s="110">
        <v>1616</v>
      </c>
      <c r="H311" s="110">
        <v>17088</v>
      </c>
      <c r="I311" s="110">
        <v>32575</v>
      </c>
      <c r="J311" s="110">
        <v>4935</v>
      </c>
      <c r="K311" s="110">
        <v>9354</v>
      </c>
      <c r="L311" s="110">
        <v>0</v>
      </c>
      <c r="M311" s="110">
        <v>24800</v>
      </c>
      <c r="N311" s="110">
        <v>1521</v>
      </c>
      <c r="O311" s="110">
        <v>0</v>
      </c>
      <c r="P311" s="110">
        <v>1684</v>
      </c>
      <c r="Q311" s="110">
        <v>12067</v>
      </c>
      <c r="R311" s="110">
        <v>304</v>
      </c>
      <c r="S311" s="110">
        <v>7813</v>
      </c>
      <c r="T311" s="110">
        <v>11692</v>
      </c>
      <c r="U311" s="110">
        <v>26</v>
      </c>
      <c r="V311" s="110">
        <v>264</v>
      </c>
      <c r="W311" s="110">
        <v>397</v>
      </c>
      <c r="X311" s="110">
        <v>8712</v>
      </c>
      <c r="Y311" s="110">
        <v>328</v>
      </c>
      <c r="Z311" s="110">
        <v>4</v>
      </c>
      <c r="AA311" s="160"/>
      <c r="AB311" s="110">
        <v>9</v>
      </c>
      <c r="AC311" s="110">
        <v>271</v>
      </c>
      <c r="AD311" s="110">
        <v>34</v>
      </c>
      <c r="AE311" s="110">
        <v>32</v>
      </c>
      <c r="AF311" s="110">
        <v>33</v>
      </c>
      <c r="AG311" s="110">
        <v>93</v>
      </c>
      <c r="AH311" s="110">
        <v>42</v>
      </c>
      <c r="AI311" s="110">
        <v>110</v>
      </c>
      <c r="AJ311" s="110">
        <v>9</v>
      </c>
      <c r="AK311" s="110">
        <v>12086</v>
      </c>
      <c r="AL311" s="110">
        <v>113373</v>
      </c>
      <c r="AM311" s="110">
        <v>3064</v>
      </c>
      <c r="AN311" s="110">
        <v>21933</v>
      </c>
      <c r="AO311" s="110">
        <v>23</v>
      </c>
      <c r="AP311" s="110">
        <v>3</v>
      </c>
      <c r="AQ311" s="110">
        <v>10770</v>
      </c>
      <c r="AR311" s="110">
        <v>0</v>
      </c>
      <c r="AS311" s="110">
        <v>2366</v>
      </c>
      <c r="AT311" s="110">
        <v>55</v>
      </c>
      <c r="AU311" s="110">
        <v>7115</v>
      </c>
      <c r="AV311" s="110">
        <v>2478</v>
      </c>
      <c r="AW311" s="110">
        <v>4820</v>
      </c>
      <c r="AX311" s="110">
        <v>16282</v>
      </c>
      <c r="AY311" s="160"/>
      <c r="AZ311" s="160"/>
      <c r="BA311" s="160">
        <v>904</v>
      </c>
      <c r="BB311" s="160"/>
      <c r="BC311" s="110">
        <v>300</v>
      </c>
      <c r="BD311" s="110"/>
      <c r="BE311" s="110">
        <v>0</v>
      </c>
      <c r="BF311" s="110">
        <v>0</v>
      </c>
      <c r="BG311" s="110">
        <v>6883</v>
      </c>
      <c r="BH311" s="110">
        <v>0</v>
      </c>
      <c r="BI311" s="110">
        <v>0</v>
      </c>
      <c r="BJ311" s="110">
        <v>0</v>
      </c>
      <c r="BK311" s="110">
        <v>4</v>
      </c>
      <c r="BL311" s="110">
        <v>5769</v>
      </c>
      <c r="BM311" s="110"/>
      <c r="BN311" s="110">
        <v>488</v>
      </c>
      <c r="BO311" s="110">
        <v>8</v>
      </c>
      <c r="BP311" s="130">
        <v>38837</v>
      </c>
      <c r="BQ311" s="110">
        <v>86231</v>
      </c>
      <c r="BR311" s="110">
        <v>393</v>
      </c>
      <c r="BS311" s="110">
        <v>109</v>
      </c>
      <c r="BT311" s="110">
        <v>6492</v>
      </c>
      <c r="BU311" s="110">
        <v>73</v>
      </c>
      <c r="BV311" s="110"/>
      <c r="BW311" s="110">
        <v>2</v>
      </c>
      <c r="BX311" s="110">
        <v>18</v>
      </c>
      <c r="BY311" s="110"/>
      <c r="BZ311" s="110">
        <v>1</v>
      </c>
      <c r="CA311" s="110">
        <v>0</v>
      </c>
      <c r="CB311" s="110">
        <v>23749</v>
      </c>
      <c r="CC311" s="110">
        <v>15743</v>
      </c>
      <c r="CD311" s="110">
        <v>153139</v>
      </c>
      <c r="CE311" s="110">
        <v>261320</v>
      </c>
      <c r="CF311" s="110">
        <v>25153</v>
      </c>
      <c r="CG311" s="110">
        <v>50169</v>
      </c>
      <c r="CH311" s="110">
        <v>0</v>
      </c>
      <c r="CI311" s="110">
        <v>3</v>
      </c>
      <c r="CJ311" s="110">
        <v>4</v>
      </c>
      <c r="CK311" s="110">
        <v>54</v>
      </c>
      <c r="CL311" s="110"/>
      <c r="CM311" s="110"/>
      <c r="CN311" s="110"/>
      <c r="CO311" s="110"/>
      <c r="CP311" s="110"/>
      <c r="CQ311" s="110"/>
      <c r="CR311" s="110"/>
      <c r="CS311" s="110"/>
      <c r="CT311" s="110">
        <v>0</v>
      </c>
      <c r="CU311" s="110">
        <v>0</v>
      </c>
      <c r="CV311" s="110">
        <v>0</v>
      </c>
      <c r="CW311" s="110">
        <v>17</v>
      </c>
      <c r="CX311" s="110">
        <v>0</v>
      </c>
      <c r="CY311" s="110">
        <v>31</v>
      </c>
      <c r="CZ311" s="133"/>
      <c r="DA311" s="6"/>
      <c r="DC311" s="6"/>
      <c r="DD311" s="6">
        <f t="shared" si="189"/>
        <v>674642</v>
      </c>
      <c r="DE311" s="6">
        <f t="shared" si="102"/>
        <v>264913</v>
      </c>
      <c r="DF311" s="8">
        <f t="shared" si="202"/>
        <v>939555</v>
      </c>
      <c r="DK311" s="6">
        <f t="shared" si="103"/>
        <v>57588</v>
      </c>
      <c r="DL311" s="6">
        <f>SUM(Y311:AF311,AH311:AM311,AO311,AS311:AW311,BA311:BC311)</f>
        <v>147456</v>
      </c>
      <c r="DM311" s="6">
        <f t="shared" si="203"/>
        <v>11692</v>
      </c>
      <c r="DN311" s="6">
        <f t="shared" si="204"/>
        <v>49081</v>
      </c>
      <c r="DO311" s="6">
        <f t="shared" si="205"/>
        <v>464009</v>
      </c>
      <c r="DP311" s="6">
        <f t="shared" si="108"/>
        <v>93211</v>
      </c>
      <c r="DQ311" s="6"/>
      <c r="DR311" s="6">
        <f t="shared" si="206"/>
        <v>15746</v>
      </c>
      <c r="DS311" s="6">
        <f t="shared" si="207"/>
        <v>38837</v>
      </c>
      <c r="DT311" s="6">
        <f t="shared" si="208"/>
        <v>12670</v>
      </c>
      <c r="DU311" s="6"/>
      <c r="DV311" s="6"/>
      <c r="DW311" s="6">
        <f t="shared" si="209"/>
        <v>890290</v>
      </c>
      <c r="DY311" s="6">
        <f t="shared" si="105"/>
        <v>590800</v>
      </c>
      <c r="DZ311" s="6">
        <f t="shared" si="106"/>
        <v>65568</v>
      </c>
      <c r="EB311" s="6">
        <f t="shared" si="107"/>
        <v>1005123</v>
      </c>
      <c r="EC311" s="6"/>
      <c r="ED311" s="6"/>
      <c r="EF311" s="6">
        <f t="shared" si="198"/>
        <v>585636</v>
      </c>
      <c r="EG311" s="6">
        <f t="shared" si="127"/>
        <v>255047</v>
      </c>
      <c r="EH311" s="6">
        <f t="shared" si="199"/>
        <v>840683</v>
      </c>
      <c r="EI311" s="36">
        <f t="shared" si="210"/>
        <v>5.638076493321442E-4</v>
      </c>
      <c r="EJ311" s="36">
        <f t="shared" si="211"/>
        <v>-2.1560003449600551E-4</v>
      </c>
      <c r="EM311" s="104"/>
      <c r="EN311" s="104"/>
      <c r="FE311" s="32"/>
      <c r="FF311" s="34"/>
      <c r="FG311" s="31"/>
      <c r="FU311" s="192">
        <f t="shared" si="149"/>
        <v>0</v>
      </c>
    </row>
    <row r="312" spans="1:177" s="137" customFormat="1">
      <c r="A312" s="150">
        <f t="shared" si="212"/>
        <v>9465</v>
      </c>
      <c r="B312" s="9">
        <v>41456</v>
      </c>
      <c r="C312" s="110">
        <v>0</v>
      </c>
      <c r="D312" s="110">
        <v>0</v>
      </c>
      <c r="E312" s="110">
        <v>0</v>
      </c>
      <c r="F312" s="110">
        <v>0</v>
      </c>
      <c r="G312" s="110">
        <v>1553</v>
      </c>
      <c r="H312" s="110">
        <v>17002</v>
      </c>
      <c r="I312" s="110">
        <v>32470</v>
      </c>
      <c r="J312" s="110">
        <v>4897</v>
      </c>
      <c r="K312" s="110">
        <v>9323</v>
      </c>
      <c r="L312" s="110">
        <v>0</v>
      </c>
      <c r="M312" s="110">
        <v>24737</v>
      </c>
      <c r="N312" s="110">
        <v>1507</v>
      </c>
      <c r="O312" s="110">
        <v>0</v>
      </c>
      <c r="P312" s="110">
        <v>1659</v>
      </c>
      <c r="Q312" s="110">
        <v>11999</v>
      </c>
      <c r="R312" s="110">
        <v>304</v>
      </c>
      <c r="S312" s="110">
        <v>7796</v>
      </c>
      <c r="T312" s="110">
        <v>11678</v>
      </c>
      <c r="U312" s="110">
        <v>30</v>
      </c>
      <c r="V312" s="110">
        <v>335</v>
      </c>
      <c r="W312" s="110">
        <v>374</v>
      </c>
      <c r="X312" s="110">
        <v>8756</v>
      </c>
      <c r="Y312" s="110">
        <v>334</v>
      </c>
      <c r="Z312" s="110">
        <v>4</v>
      </c>
      <c r="AA312" s="160"/>
      <c r="AB312" s="110">
        <v>7</v>
      </c>
      <c r="AC312" s="110">
        <v>273</v>
      </c>
      <c r="AD312" s="110">
        <v>32</v>
      </c>
      <c r="AE312" s="110">
        <v>34</v>
      </c>
      <c r="AF312" s="110">
        <v>33</v>
      </c>
      <c r="AG312" s="110">
        <v>93</v>
      </c>
      <c r="AH312" s="110">
        <v>48</v>
      </c>
      <c r="AI312" s="110">
        <v>131</v>
      </c>
      <c r="AJ312" s="110">
        <v>11</v>
      </c>
      <c r="AK312" s="110">
        <v>12190</v>
      </c>
      <c r="AL312" s="110">
        <v>113028</v>
      </c>
      <c r="AM312" s="110">
        <v>3042</v>
      </c>
      <c r="AN312" s="110">
        <v>21765</v>
      </c>
      <c r="AO312" s="110">
        <v>22</v>
      </c>
      <c r="AP312" s="110">
        <v>0</v>
      </c>
      <c r="AQ312" s="110">
        <v>11002</v>
      </c>
      <c r="AR312" s="110">
        <v>0</v>
      </c>
      <c r="AS312" s="110">
        <v>2324</v>
      </c>
      <c r="AT312" s="110">
        <v>55</v>
      </c>
      <c r="AU312" s="110">
        <v>7102</v>
      </c>
      <c r="AV312" s="110">
        <v>2464</v>
      </c>
      <c r="AW312" s="110">
        <v>4829</v>
      </c>
      <c r="AX312" s="110">
        <v>16311</v>
      </c>
      <c r="AY312" s="160"/>
      <c r="AZ312" s="160"/>
      <c r="BA312" s="160">
        <v>891</v>
      </c>
      <c r="BB312" s="160"/>
      <c r="BC312" s="110">
        <v>286</v>
      </c>
      <c r="BD312" s="110"/>
      <c r="BE312" s="110">
        <v>0</v>
      </c>
      <c r="BF312" s="110">
        <v>0</v>
      </c>
      <c r="BG312" s="110">
        <v>6978</v>
      </c>
      <c r="BH312" s="110">
        <v>0</v>
      </c>
      <c r="BI312" s="110">
        <v>0</v>
      </c>
      <c r="BJ312" s="110">
        <v>0</v>
      </c>
      <c r="BK312" s="110">
        <v>4</v>
      </c>
      <c r="BL312" s="110">
        <v>5678</v>
      </c>
      <c r="BM312" s="110"/>
      <c r="BN312" s="110">
        <v>460</v>
      </c>
      <c r="BO312" s="110">
        <v>6</v>
      </c>
      <c r="BP312" s="130">
        <v>39368</v>
      </c>
      <c r="BQ312" s="110">
        <v>85875</v>
      </c>
      <c r="BR312" s="110">
        <v>400</v>
      </c>
      <c r="BS312" s="110">
        <v>109</v>
      </c>
      <c r="BT312" s="110">
        <v>6343</v>
      </c>
      <c r="BU312" s="110">
        <v>71</v>
      </c>
      <c r="BV312" s="110"/>
      <c r="BW312" s="110">
        <v>3</v>
      </c>
      <c r="BX312" s="110">
        <v>18</v>
      </c>
      <c r="BY312" s="110"/>
      <c r="BZ312" s="110">
        <v>6</v>
      </c>
      <c r="CA312" s="110">
        <v>0</v>
      </c>
      <c r="CB312" s="110">
        <v>23571</v>
      </c>
      <c r="CC312" s="110">
        <v>15858</v>
      </c>
      <c r="CD312" s="110">
        <v>151995</v>
      </c>
      <c r="CE312" s="110">
        <v>260834</v>
      </c>
      <c r="CF312" s="110">
        <v>25033</v>
      </c>
      <c r="CG312" s="110">
        <v>49945</v>
      </c>
      <c r="CH312" s="110">
        <v>0</v>
      </c>
      <c r="CI312" s="110">
        <v>2</v>
      </c>
      <c r="CJ312" s="110">
        <v>4</v>
      </c>
      <c r="CK312" s="110">
        <v>48</v>
      </c>
      <c r="CL312" s="110"/>
      <c r="CM312" s="110"/>
      <c r="CN312" s="110"/>
      <c r="CO312" s="110"/>
      <c r="CP312" s="110"/>
      <c r="CQ312" s="110"/>
      <c r="CR312" s="110"/>
      <c r="CS312" s="110"/>
      <c r="CT312" s="110">
        <v>0</v>
      </c>
      <c r="CU312" s="110">
        <v>0</v>
      </c>
      <c r="CV312" s="110">
        <v>0</v>
      </c>
      <c r="CW312" s="110">
        <v>17</v>
      </c>
      <c r="CX312" s="110">
        <v>0</v>
      </c>
      <c r="CY312" s="110">
        <v>31</v>
      </c>
      <c r="CZ312" s="133"/>
      <c r="DA312" s="6"/>
      <c r="DC312" s="6"/>
      <c r="DD312" s="6">
        <f t="shared" ref="DD312:DD313" si="213">SUM(BE312:CK312)</f>
        <v>672609</v>
      </c>
      <c r="DE312" s="6">
        <f t="shared" si="102"/>
        <v>264595</v>
      </c>
      <c r="DF312" s="8">
        <f t="shared" ref="DF312:DF313" si="214">SUM(DD312:DE312)</f>
        <v>937204</v>
      </c>
      <c r="DH312" s="191"/>
      <c r="DI312" s="191"/>
      <c r="DJ312" s="191"/>
      <c r="DK312" s="6">
        <f t="shared" si="103"/>
        <v>57497</v>
      </c>
      <c r="DL312" s="6">
        <f t="shared" ref="DL312:DL317" si="215">SUM(Y312:Z312,AB312:AF312,AH312:AM312,AO312,AS312:AW312,BA312:BC312)</f>
        <v>147140</v>
      </c>
      <c r="DM312" s="6">
        <f t="shared" ref="DM312:DM313" si="216">T312</f>
        <v>11678</v>
      </c>
      <c r="DN312" s="6">
        <f t="shared" ref="DN312:DN313" si="217">AG312+AX312+AN312+AP312+AQ312+AR312</f>
        <v>49171</v>
      </c>
      <c r="DO312" s="6">
        <f t="shared" ref="DO312:DO313" si="218">SUM(BF312,BI312,BK312,BO312,BR312:BS312,BU312:BW312,BZ312:CB312,CD312:CF312,CJ312:CK312)</f>
        <v>462084</v>
      </c>
      <c r="DP312" s="6">
        <f t="shared" ref="DP312:DP321" si="219">SUM(AZ312,BD312:BE312,BH312,BN312,BQ312,BT312)</f>
        <v>92678</v>
      </c>
      <c r="DQ312" s="6"/>
      <c r="DR312" s="6">
        <f t="shared" ref="DR312:DR313" si="220">CC312+CI312</f>
        <v>15860</v>
      </c>
      <c r="DS312" s="6">
        <f t="shared" ref="DS312:DS313" si="221">BP312</f>
        <v>39368</v>
      </c>
      <c r="DT312" s="6">
        <f t="shared" ref="DT312:DT313" si="222">BG312+BJ312+BL312+BX312</f>
        <v>12674</v>
      </c>
      <c r="DU312" s="6"/>
      <c r="DV312" s="6"/>
      <c r="DW312" s="6">
        <f t="shared" ref="DW312:DW313" si="223">SUM(DK312:DT312)</f>
        <v>888150</v>
      </c>
      <c r="DY312" s="6">
        <f t="shared" ref="DY312:DY313" si="224">DO312+DT312+H312+I312+J312+K312+CG312</f>
        <v>588395</v>
      </c>
      <c r="DZ312" s="6">
        <f t="shared" si="106"/>
        <v>65245</v>
      </c>
      <c r="EB312" s="6">
        <f t="shared" ref="EB312:EB313" si="225">DZ312+DF312</f>
        <v>1002449</v>
      </c>
      <c r="EC312" s="6"/>
      <c r="ED312" s="6"/>
      <c r="EF312" s="6">
        <f t="shared" ref="EF312:EF313" si="226">SUM(BE312:CK312)-CG312-BP312</f>
        <v>583296</v>
      </c>
      <c r="EG312" s="6">
        <f t="shared" ref="EG312:EG313" si="227">SUM(M312:BC312)-AQ312</f>
        <v>254484</v>
      </c>
      <c r="EH312" s="6">
        <f t="shared" ref="EH312:EH313" si="228">SUM(EF312:EG312)</f>
        <v>837780</v>
      </c>
      <c r="EI312" s="36">
        <f t="shared" ref="EI312:EI313" si="229">(EF312-EF311)/EF311</f>
        <v>-3.9956560047538061E-3</v>
      </c>
      <c r="EJ312" s="36">
        <f t="shared" ref="EJ312:EJ313" si="230">(EG312-EG311)/EG311</f>
        <v>-2.2074362764510072E-3</v>
      </c>
      <c r="EM312" s="104"/>
      <c r="EN312" s="104"/>
      <c r="FE312" s="32"/>
      <c r="FF312" s="34"/>
      <c r="FG312" s="31"/>
      <c r="FU312" s="192">
        <f t="shared" si="149"/>
        <v>0</v>
      </c>
    </row>
    <row r="313" spans="1:177" s="137" customFormat="1">
      <c r="A313" s="150">
        <f t="shared" si="212"/>
        <v>9384</v>
      </c>
      <c r="B313" s="9">
        <v>41487</v>
      </c>
      <c r="C313" s="110">
        <v>0</v>
      </c>
      <c r="D313" s="110">
        <v>0</v>
      </c>
      <c r="E313" s="110">
        <v>0</v>
      </c>
      <c r="F313" s="110">
        <v>0</v>
      </c>
      <c r="G313" s="110">
        <v>1560</v>
      </c>
      <c r="H313" s="110">
        <v>16939</v>
      </c>
      <c r="I313" s="110">
        <v>32345</v>
      </c>
      <c r="J313" s="110">
        <v>4900</v>
      </c>
      <c r="K313" s="110">
        <v>9258</v>
      </c>
      <c r="L313" s="110">
        <v>0</v>
      </c>
      <c r="M313" s="110">
        <v>24664</v>
      </c>
      <c r="N313" s="110">
        <v>1493</v>
      </c>
      <c r="O313" s="110">
        <v>0</v>
      </c>
      <c r="P313" s="110">
        <v>1650</v>
      </c>
      <c r="Q313" s="110">
        <v>11988</v>
      </c>
      <c r="R313" s="110">
        <v>309</v>
      </c>
      <c r="S313" s="110">
        <v>7769</v>
      </c>
      <c r="T313" s="110">
        <v>11668</v>
      </c>
      <c r="U313" s="110">
        <v>31</v>
      </c>
      <c r="V313" s="110">
        <v>424</v>
      </c>
      <c r="W313" s="110">
        <v>373</v>
      </c>
      <c r="X313" s="110">
        <v>8835</v>
      </c>
      <c r="Y313" s="110">
        <v>336</v>
      </c>
      <c r="Z313" s="110">
        <v>4</v>
      </c>
      <c r="AA313" s="160"/>
      <c r="AB313" s="110">
        <v>7</v>
      </c>
      <c r="AC313" s="110">
        <v>277</v>
      </c>
      <c r="AD313" s="110">
        <v>30</v>
      </c>
      <c r="AE313" s="110">
        <v>35</v>
      </c>
      <c r="AF313" s="110">
        <v>35</v>
      </c>
      <c r="AG313" s="110">
        <v>93</v>
      </c>
      <c r="AH313" s="110">
        <v>53</v>
      </c>
      <c r="AI313" s="110">
        <v>170</v>
      </c>
      <c r="AJ313" s="110">
        <v>12</v>
      </c>
      <c r="AK313" s="110">
        <v>12229</v>
      </c>
      <c r="AL313" s="110">
        <v>113433</v>
      </c>
      <c r="AM313" s="110">
        <v>3030</v>
      </c>
      <c r="AN313" s="110">
        <v>21673</v>
      </c>
      <c r="AO313" s="110">
        <v>23</v>
      </c>
      <c r="AP313" s="110">
        <v>0</v>
      </c>
      <c r="AQ313" s="110">
        <v>11191</v>
      </c>
      <c r="AR313" s="110">
        <v>0</v>
      </c>
      <c r="AS313" s="110">
        <v>2257</v>
      </c>
      <c r="AT313" s="110">
        <v>55</v>
      </c>
      <c r="AU313" s="110">
        <v>7090</v>
      </c>
      <c r="AV313" s="110">
        <v>2481</v>
      </c>
      <c r="AW313" s="110">
        <v>4800</v>
      </c>
      <c r="AX313" s="110">
        <v>16324</v>
      </c>
      <c r="AY313" s="160"/>
      <c r="AZ313" s="160"/>
      <c r="BA313" s="160">
        <v>924</v>
      </c>
      <c r="BB313" s="160"/>
      <c r="BC313" s="110">
        <v>301</v>
      </c>
      <c r="BD313" s="110"/>
      <c r="BE313" s="110">
        <v>0</v>
      </c>
      <c r="BF313" s="110">
        <v>0</v>
      </c>
      <c r="BG313" s="110">
        <v>7245</v>
      </c>
      <c r="BH313" s="110">
        <v>0</v>
      </c>
      <c r="BI313" s="110">
        <v>0</v>
      </c>
      <c r="BJ313" s="110">
        <v>0</v>
      </c>
      <c r="BK313" s="110">
        <v>11</v>
      </c>
      <c r="BL313" s="110">
        <v>5392</v>
      </c>
      <c r="BM313" s="110"/>
      <c r="BN313" s="110">
        <v>452</v>
      </c>
      <c r="BO313" s="110">
        <v>5</v>
      </c>
      <c r="BP313" s="130">
        <v>39924</v>
      </c>
      <c r="BQ313" s="110">
        <v>86174</v>
      </c>
      <c r="BR313" s="110">
        <v>402</v>
      </c>
      <c r="BS313" s="110">
        <v>107</v>
      </c>
      <c r="BT313" s="110">
        <v>6261</v>
      </c>
      <c r="BU313" s="110">
        <v>63</v>
      </c>
      <c r="BV313" s="110"/>
      <c r="BW313" s="110">
        <v>2</v>
      </c>
      <c r="BX313" s="110">
        <v>18</v>
      </c>
      <c r="BY313" s="110"/>
      <c r="BZ313" s="110">
        <v>7</v>
      </c>
      <c r="CA313" s="110">
        <v>0</v>
      </c>
      <c r="CB313" s="110">
        <v>23520</v>
      </c>
      <c r="CC313" s="110">
        <v>16039</v>
      </c>
      <c r="CD313" s="110">
        <v>151229</v>
      </c>
      <c r="CE313" s="110">
        <v>260830</v>
      </c>
      <c r="CF313" s="110">
        <v>24974</v>
      </c>
      <c r="CG313" s="110">
        <v>49728</v>
      </c>
      <c r="CH313" s="110">
        <v>0</v>
      </c>
      <c r="CI313" s="110">
        <v>4</v>
      </c>
      <c r="CJ313" s="110">
        <v>5</v>
      </c>
      <c r="CK313" s="110">
        <v>49</v>
      </c>
      <c r="CL313" s="110"/>
      <c r="CM313" s="110"/>
      <c r="CN313" s="110"/>
      <c r="CO313" s="110"/>
      <c r="CP313" s="110"/>
      <c r="CQ313" s="110"/>
      <c r="CR313" s="110"/>
      <c r="CS313" s="110"/>
      <c r="CT313" s="110">
        <v>0</v>
      </c>
      <c r="CU313" s="110">
        <v>0</v>
      </c>
      <c r="CV313" s="110">
        <v>0</v>
      </c>
      <c r="CW313" s="110">
        <v>17</v>
      </c>
      <c r="CX313" s="110">
        <v>0</v>
      </c>
      <c r="CY313" s="110">
        <v>31</v>
      </c>
      <c r="CZ313" s="133"/>
      <c r="DA313" s="6"/>
      <c r="DC313" s="6"/>
      <c r="DD313" s="6">
        <f t="shared" si="213"/>
        <v>672441</v>
      </c>
      <c r="DE313" s="6">
        <f t="shared" si="102"/>
        <v>265143</v>
      </c>
      <c r="DF313" s="8">
        <f t="shared" si="214"/>
        <v>937584</v>
      </c>
      <c r="DH313" s="191"/>
      <c r="DI313" s="191"/>
      <c r="DJ313" s="191"/>
      <c r="DK313" s="6">
        <f t="shared" si="103"/>
        <v>57536</v>
      </c>
      <c r="DL313" s="6">
        <f t="shared" si="215"/>
        <v>147582</v>
      </c>
      <c r="DM313" s="6">
        <f t="shared" si="216"/>
        <v>11668</v>
      </c>
      <c r="DN313" s="6">
        <f t="shared" si="217"/>
        <v>49281</v>
      </c>
      <c r="DO313" s="6">
        <f t="shared" si="218"/>
        <v>461204</v>
      </c>
      <c r="DP313" s="6">
        <f t="shared" si="219"/>
        <v>92887</v>
      </c>
      <c r="DQ313" s="6"/>
      <c r="DR313" s="6">
        <f t="shared" si="220"/>
        <v>16043</v>
      </c>
      <c r="DS313" s="6">
        <f t="shared" si="221"/>
        <v>39924</v>
      </c>
      <c r="DT313" s="6">
        <f t="shared" si="222"/>
        <v>12655</v>
      </c>
      <c r="DU313" s="6"/>
      <c r="DV313" s="6"/>
      <c r="DW313" s="6">
        <f t="shared" si="223"/>
        <v>888780</v>
      </c>
      <c r="DY313" s="6">
        <f t="shared" si="224"/>
        <v>587029</v>
      </c>
      <c r="DZ313" s="6">
        <f t="shared" si="106"/>
        <v>65002</v>
      </c>
      <c r="EB313" s="6">
        <f t="shared" si="225"/>
        <v>1002586</v>
      </c>
      <c r="EC313" s="6"/>
      <c r="ED313" s="6"/>
      <c r="EF313" s="6">
        <f t="shared" si="226"/>
        <v>582789</v>
      </c>
      <c r="EG313" s="6">
        <f t="shared" si="227"/>
        <v>254876</v>
      </c>
      <c r="EH313" s="6">
        <f t="shared" si="228"/>
        <v>837665</v>
      </c>
      <c r="EI313" s="36">
        <f t="shared" si="229"/>
        <v>-8.6919848584595131E-4</v>
      </c>
      <c r="EJ313" s="36">
        <f t="shared" si="230"/>
        <v>1.5403718897848194E-3</v>
      </c>
      <c r="EM313" s="104"/>
      <c r="EN313" s="104"/>
      <c r="FE313" s="32"/>
      <c r="FF313" s="34"/>
      <c r="FG313" s="31"/>
      <c r="FU313" s="192">
        <f t="shared" si="149"/>
        <v>0</v>
      </c>
    </row>
    <row r="314" spans="1:177" s="137" customFormat="1">
      <c r="A314" s="150">
        <f t="shared" si="212"/>
        <v>9263</v>
      </c>
      <c r="B314" s="9">
        <v>41518</v>
      </c>
      <c r="C314" s="110">
        <v>0</v>
      </c>
      <c r="D314" s="110">
        <v>0</v>
      </c>
      <c r="E314" s="110">
        <v>0</v>
      </c>
      <c r="F314" s="110">
        <v>0</v>
      </c>
      <c r="G314" s="110">
        <v>1549</v>
      </c>
      <c r="H314" s="110">
        <v>16958</v>
      </c>
      <c r="I314" s="110">
        <v>32168</v>
      </c>
      <c r="J314" s="110">
        <v>4924</v>
      </c>
      <c r="K314" s="110">
        <v>9347</v>
      </c>
      <c r="L314" s="110">
        <v>0</v>
      </c>
      <c r="M314" s="110">
        <v>24599</v>
      </c>
      <c r="N314" s="110">
        <v>1483</v>
      </c>
      <c r="O314" s="110">
        <v>0</v>
      </c>
      <c r="P314" s="110">
        <v>1657</v>
      </c>
      <c r="Q314" s="110">
        <v>11895</v>
      </c>
      <c r="R314" s="110">
        <v>311</v>
      </c>
      <c r="S314" s="110">
        <v>7708</v>
      </c>
      <c r="T314" s="110">
        <v>11674</v>
      </c>
      <c r="U314" s="110">
        <v>34</v>
      </c>
      <c r="V314" s="110">
        <v>521</v>
      </c>
      <c r="W314" s="110">
        <v>363</v>
      </c>
      <c r="X314" s="110">
        <v>8925</v>
      </c>
      <c r="Y314" s="110">
        <v>331</v>
      </c>
      <c r="Z314" s="110">
        <v>5</v>
      </c>
      <c r="AA314" s="160"/>
      <c r="AB314" s="110">
        <v>7</v>
      </c>
      <c r="AC314" s="110">
        <v>282</v>
      </c>
      <c r="AD314" s="110">
        <v>31</v>
      </c>
      <c r="AE314" s="110">
        <v>33</v>
      </c>
      <c r="AF314" s="110">
        <v>35</v>
      </c>
      <c r="AG314" s="110">
        <v>86</v>
      </c>
      <c r="AH314" s="110">
        <v>62</v>
      </c>
      <c r="AI314" s="110">
        <v>220</v>
      </c>
      <c r="AJ314" s="110">
        <v>12</v>
      </c>
      <c r="AK314" s="110">
        <v>12340</v>
      </c>
      <c r="AL314" s="110">
        <v>113714</v>
      </c>
      <c r="AM314" s="110">
        <v>3029</v>
      </c>
      <c r="AN314" s="110">
        <v>21610</v>
      </c>
      <c r="AO314" s="110">
        <v>20</v>
      </c>
      <c r="AP314" s="110">
        <v>2</v>
      </c>
      <c r="AQ314" s="110">
        <v>11424</v>
      </c>
      <c r="AR314" s="110">
        <v>0</v>
      </c>
      <c r="AS314" s="110">
        <v>2191</v>
      </c>
      <c r="AT314" s="110">
        <v>55</v>
      </c>
      <c r="AU314" s="110">
        <v>7034</v>
      </c>
      <c r="AV314" s="110">
        <v>2472</v>
      </c>
      <c r="AW314" s="110">
        <v>4812</v>
      </c>
      <c r="AX314" s="110">
        <v>16350</v>
      </c>
      <c r="AY314" s="160"/>
      <c r="AZ314" s="160"/>
      <c r="BA314" s="160">
        <v>922</v>
      </c>
      <c r="BB314" s="160"/>
      <c r="BC314" s="110">
        <v>285</v>
      </c>
      <c r="BD314" s="110"/>
      <c r="BE314" s="110">
        <v>0</v>
      </c>
      <c r="BF314" s="110">
        <v>0</v>
      </c>
      <c r="BG314" s="110">
        <v>7299</v>
      </c>
      <c r="BH314" s="110">
        <v>0</v>
      </c>
      <c r="BI314" s="110">
        <v>0</v>
      </c>
      <c r="BJ314" s="110">
        <v>0</v>
      </c>
      <c r="BK314" s="110">
        <v>16</v>
      </c>
      <c r="BL314" s="110">
        <v>5320</v>
      </c>
      <c r="BM314" s="110"/>
      <c r="BN314" s="110">
        <v>425</v>
      </c>
      <c r="BO314" s="110">
        <v>4</v>
      </c>
      <c r="BP314" s="130">
        <v>40512</v>
      </c>
      <c r="BQ314" s="110">
        <v>86185</v>
      </c>
      <c r="BR314" s="110">
        <v>416</v>
      </c>
      <c r="BS314" s="110">
        <v>106</v>
      </c>
      <c r="BT314" s="110">
        <v>6231</v>
      </c>
      <c r="BU314" s="110">
        <v>62</v>
      </c>
      <c r="BV314" s="110"/>
      <c r="BW314" s="110">
        <v>2</v>
      </c>
      <c r="BX314" s="110">
        <v>18</v>
      </c>
      <c r="BY314" s="110"/>
      <c r="BZ314" s="110">
        <v>12</v>
      </c>
      <c r="CA314" s="110">
        <v>0</v>
      </c>
      <c r="CB314" s="110">
        <v>23410</v>
      </c>
      <c r="CC314" s="110">
        <v>16118</v>
      </c>
      <c r="CD314" s="110">
        <v>150188</v>
      </c>
      <c r="CE314" s="110">
        <v>260359</v>
      </c>
      <c r="CF314" s="110">
        <v>24912</v>
      </c>
      <c r="CG314" s="110">
        <v>49823</v>
      </c>
      <c r="CH314" s="110">
        <v>0</v>
      </c>
      <c r="CI314" s="110">
        <v>5</v>
      </c>
      <c r="CJ314" s="110">
        <v>4</v>
      </c>
      <c r="CK314" s="110">
        <v>51</v>
      </c>
      <c r="CL314" s="110"/>
      <c r="CM314" s="110"/>
      <c r="CN314" s="110"/>
      <c r="CO314" s="110"/>
      <c r="CP314" s="110"/>
      <c r="CQ314" s="110"/>
      <c r="CR314" s="110"/>
      <c r="CS314" s="110"/>
      <c r="CT314" s="110">
        <v>0</v>
      </c>
      <c r="CU314" s="110">
        <v>0</v>
      </c>
      <c r="CV314" s="110">
        <v>0</v>
      </c>
      <c r="CW314" s="110">
        <v>17</v>
      </c>
      <c r="CX314" s="110">
        <v>0</v>
      </c>
      <c r="CY314" s="110">
        <v>31</v>
      </c>
      <c r="CZ314" s="133"/>
      <c r="DA314" s="6"/>
      <c r="DC314" s="6"/>
      <c r="DD314" s="6">
        <f t="shared" ref="DD314:DD315" si="231">SUM(BE314:CK314)</f>
        <v>671478</v>
      </c>
      <c r="DE314" s="6">
        <f t="shared" si="102"/>
        <v>265612</v>
      </c>
      <c r="DF314" s="8">
        <f t="shared" ref="DF314:DF315" si="232">SUM(DD314:DE314)</f>
        <v>937090</v>
      </c>
      <c r="DH314" s="191"/>
      <c r="DI314" s="191"/>
      <c r="DJ314" s="191"/>
      <c r="DK314" s="6">
        <f t="shared" si="103"/>
        <v>57496</v>
      </c>
      <c r="DL314" s="6">
        <f t="shared" si="215"/>
        <v>147892</v>
      </c>
      <c r="DM314" s="6">
        <f t="shared" ref="DM314:DM315" si="233">T314</f>
        <v>11674</v>
      </c>
      <c r="DN314" s="6">
        <f t="shared" ref="DN314:DN315" si="234">AG314+AX314+AN314+AP314+AQ314+AR314</f>
        <v>49472</v>
      </c>
      <c r="DO314" s="6">
        <f t="shared" ref="DO314:DO315" si="235">SUM(BF314,BI314,BK314,BO314,BR314:BS314,BU314:BW314,BZ314:CB314,CD314:CF314,CJ314:CK314)</f>
        <v>459542</v>
      </c>
      <c r="DP314" s="6">
        <f t="shared" si="219"/>
        <v>92841</v>
      </c>
      <c r="DQ314" s="6"/>
      <c r="DR314" s="6">
        <f t="shared" ref="DR314:DR315" si="236">CC314+CI314</f>
        <v>16123</v>
      </c>
      <c r="DS314" s="6">
        <f t="shared" ref="DS314:DS315" si="237">BP314</f>
        <v>40512</v>
      </c>
      <c r="DT314" s="6">
        <f t="shared" ref="DT314:DT315" si="238">BG314+BJ314+BL314+BX314</f>
        <v>12637</v>
      </c>
      <c r="DU314" s="6"/>
      <c r="DV314" s="6"/>
      <c r="DW314" s="6">
        <f t="shared" ref="DW314:DW315" si="239">SUM(DK314:DT314)</f>
        <v>888189</v>
      </c>
      <c r="DY314" s="6">
        <f t="shared" ref="DY314:DY315" si="240">DO314+DT314+H314+I314+J314+K314+CG314</f>
        <v>585399</v>
      </c>
      <c r="DZ314" s="6">
        <f t="shared" si="106"/>
        <v>64946</v>
      </c>
      <c r="EB314" s="6">
        <f t="shared" ref="EB314:EB315" si="241">DZ314+DF314</f>
        <v>1002036</v>
      </c>
      <c r="EC314" s="6"/>
      <c r="ED314" s="6"/>
      <c r="EF314" s="6">
        <f t="shared" ref="EF314:EF315" si="242">SUM(BE314:CK314)-CG314-BP314</f>
        <v>581143</v>
      </c>
      <c r="EG314" s="6">
        <f t="shared" ref="EG314:EG315" si="243">SUM(M314:BC314)-AQ314</f>
        <v>255110</v>
      </c>
      <c r="EH314" s="6">
        <f t="shared" ref="EH314:EH315" si="244">SUM(EF314:EG314)</f>
        <v>836253</v>
      </c>
      <c r="EI314" s="36">
        <f t="shared" ref="EI314:EI315" si="245">(EF314-EF313)/EF313</f>
        <v>-2.8243498075632861E-3</v>
      </c>
      <c r="EJ314" s="36">
        <f t="shared" ref="EJ314:EJ315" si="246">(EG314-EG313)/EG313</f>
        <v>9.1809350429228331E-4</v>
      </c>
      <c r="EM314" s="104"/>
      <c r="EN314" s="104"/>
      <c r="FE314" s="32"/>
      <c r="FF314" s="34"/>
      <c r="FG314" s="31"/>
      <c r="FU314" s="192">
        <f t="shared" si="149"/>
        <v>0</v>
      </c>
    </row>
    <row r="315" spans="1:177" s="137" customFormat="1">
      <c r="A315" s="150">
        <f t="shared" si="212"/>
        <v>9201</v>
      </c>
      <c r="B315" s="9">
        <v>41548</v>
      </c>
      <c r="C315" s="110">
        <v>0</v>
      </c>
      <c r="D315" s="110">
        <v>0</v>
      </c>
      <c r="E315" s="110">
        <v>0</v>
      </c>
      <c r="F315" s="110">
        <v>0</v>
      </c>
      <c r="G315" s="110">
        <v>1564</v>
      </c>
      <c r="H315" s="110">
        <v>16968</v>
      </c>
      <c r="I315" s="110">
        <v>32132</v>
      </c>
      <c r="J315" s="110">
        <v>4970</v>
      </c>
      <c r="K315" s="110">
        <v>9380</v>
      </c>
      <c r="L315" s="110">
        <v>0</v>
      </c>
      <c r="M315" s="110">
        <v>24586</v>
      </c>
      <c r="N315" s="110">
        <v>1475</v>
      </c>
      <c r="O315" s="110">
        <v>0</v>
      </c>
      <c r="P315" s="110">
        <v>1626</v>
      </c>
      <c r="Q315" s="110">
        <v>11891</v>
      </c>
      <c r="R315" s="110">
        <v>303</v>
      </c>
      <c r="S315" s="110">
        <v>7725</v>
      </c>
      <c r="T315" s="110">
        <v>11659</v>
      </c>
      <c r="U315" s="110">
        <v>35</v>
      </c>
      <c r="V315" s="110">
        <v>576</v>
      </c>
      <c r="W315" s="110">
        <v>369</v>
      </c>
      <c r="X315" s="110">
        <v>9069</v>
      </c>
      <c r="Y315" s="110">
        <v>327</v>
      </c>
      <c r="Z315" s="110">
        <v>5</v>
      </c>
      <c r="AA315" s="160"/>
      <c r="AB315" s="110">
        <v>8</v>
      </c>
      <c r="AC315" s="110">
        <v>286</v>
      </c>
      <c r="AD315" s="110">
        <v>27</v>
      </c>
      <c r="AE315" s="110">
        <v>33</v>
      </c>
      <c r="AF315" s="110">
        <v>35</v>
      </c>
      <c r="AG315" s="110">
        <v>87</v>
      </c>
      <c r="AH315" s="110">
        <v>60</v>
      </c>
      <c r="AI315" s="110">
        <v>252</v>
      </c>
      <c r="AJ315" s="110">
        <v>11</v>
      </c>
      <c r="AK315" s="110">
        <v>12425</v>
      </c>
      <c r="AL315" s="110">
        <v>113918</v>
      </c>
      <c r="AM315" s="110">
        <v>3024</v>
      </c>
      <c r="AN315" s="110">
        <v>21564</v>
      </c>
      <c r="AO315" s="110">
        <v>20</v>
      </c>
      <c r="AP315" s="110">
        <v>3</v>
      </c>
      <c r="AQ315" s="110">
        <v>11641</v>
      </c>
      <c r="AR315" s="110">
        <v>0</v>
      </c>
      <c r="AS315" s="110">
        <v>2160</v>
      </c>
      <c r="AT315" s="110">
        <v>57</v>
      </c>
      <c r="AU315" s="110">
        <v>7006</v>
      </c>
      <c r="AV315" s="110">
        <v>2481</v>
      </c>
      <c r="AW315" s="110">
        <v>4817</v>
      </c>
      <c r="AX315" s="110">
        <v>16320</v>
      </c>
      <c r="AY315" s="160"/>
      <c r="AZ315" s="160"/>
      <c r="BA315" s="160">
        <v>941</v>
      </c>
      <c r="BB315" s="160"/>
      <c r="BC315" s="110">
        <v>267</v>
      </c>
      <c r="BD315" s="110"/>
      <c r="BE315" s="110">
        <v>0</v>
      </c>
      <c r="BF315" s="110">
        <v>0</v>
      </c>
      <c r="BG315" s="110">
        <v>7397</v>
      </c>
      <c r="BH315" s="110">
        <v>0</v>
      </c>
      <c r="BI315" s="110">
        <v>0</v>
      </c>
      <c r="BJ315" s="110">
        <v>0</v>
      </c>
      <c r="BK315" s="110">
        <v>21</v>
      </c>
      <c r="BL315" s="110">
        <v>5172</v>
      </c>
      <c r="BM315" s="110"/>
      <c r="BN315" s="110">
        <v>442</v>
      </c>
      <c r="BO315" s="110">
        <v>4</v>
      </c>
      <c r="BP315" s="130">
        <v>40859</v>
      </c>
      <c r="BQ315" s="110">
        <v>86546</v>
      </c>
      <c r="BR315" s="110">
        <v>399</v>
      </c>
      <c r="BS315" s="110">
        <v>99</v>
      </c>
      <c r="BT315" s="110">
        <v>6184</v>
      </c>
      <c r="BU315" s="110">
        <v>69</v>
      </c>
      <c r="BV315" s="110"/>
      <c r="BW315" s="110">
        <v>3</v>
      </c>
      <c r="BX315" s="110">
        <v>18</v>
      </c>
      <c r="BY315" s="110"/>
      <c r="BZ315" s="110">
        <v>9</v>
      </c>
      <c r="CA315" s="110">
        <v>0</v>
      </c>
      <c r="CB315" s="110">
        <v>23450</v>
      </c>
      <c r="CC315" s="110">
        <v>15924</v>
      </c>
      <c r="CD315" s="110">
        <v>149610</v>
      </c>
      <c r="CE315" s="110">
        <v>261047</v>
      </c>
      <c r="CF315" s="110">
        <v>24881</v>
      </c>
      <c r="CG315" s="110">
        <v>50017</v>
      </c>
      <c r="CH315" s="110">
        <v>0</v>
      </c>
      <c r="CI315" s="110">
        <v>4</v>
      </c>
      <c r="CJ315" s="110">
        <v>3</v>
      </c>
      <c r="CK315" s="110">
        <v>47</v>
      </c>
      <c r="CL315" s="110"/>
      <c r="CM315" s="110"/>
      <c r="CN315" s="110"/>
      <c r="CO315" s="110"/>
      <c r="CP315" s="110"/>
      <c r="CQ315" s="110"/>
      <c r="CR315" s="110"/>
      <c r="CS315" s="110"/>
      <c r="CT315" s="110">
        <v>0</v>
      </c>
      <c r="CU315" s="110">
        <v>0</v>
      </c>
      <c r="CV315" s="110">
        <v>0</v>
      </c>
      <c r="CW315" s="110">
        <v>17</v>
      </c>
      <c r="CX315" s="110">
        <v>0</v>
      </c>
      <c r="CY315" s="110">
        <v>31</v>
      </c>
      <c r="CZ315" s="133"/>
      <c r="DA315" s="6"/>
      <c r="DC315" s="6"/>
      <c r="DD315" s="6">
        <f t="shared" si="231"/>
        <v>672205</v>
      </c>
      <c r="DE315" s="6">
        <f t="shared" si="102"/>
        <v>266148</v>
      </c>
      <c r="DF315" s="8">
        <f t="shared" si="232"/>
        <v>938353</v>
      </c>
      <c r="DH315" s="191"/>
      <c r="DI315" s="191"/>
      <c r="DJ315" s="191"/>
      <c r="DK315" s="6">
        <f t="shared" si="103"/>
        <v>57655</v>
      </c>
      <c r="DL315" s="6">
        <f t="shared" si="215"/>
        <v>148160</v>
      </c>
      <c r="DM315" s="6">
        <f t="shared" si="233"/>
        <v>11659</v>
      </c>
      <c r="DN315" s="6">
        <f t="shared" si="234"/>
        <v>49615</v>
      </c>
      <c r="DO315" s="6">
        <f t="shared" si="235"/>
        <v>459642</v>
      </c>
      <c r="DP315" s="6">
        <f t="shared" si="219"/>
        <v>93172</v>
      </c>
      <c r="DQ315" s="6"/>
      <c r="DR315" s="6">
        <f t="shared" si="236"/>
        <v>15928</v>
      </c>
      <c r="DS315" s="6">
        <f t="shared" si="237"/>
        <v>40859</v>
      </c>
      <c r="DT315" s="6">
        <f t="shared" si="238"/>
        <v>12587</v>
      </c>
      <c r="DU315" s="6"/>
      <c r="DV315" s="6"/>
      <c r="DW315" s="6">
        <f t="shared" si="239"/>
        <v>889277</v>
      </c>
      <c r="DY315" s="6">
        <f t="shared" si="240"/>
        <v>585696</v>
      </c>
      <c r="DZ315" s="6">
        <f t="shared" si="106"/>
        <v>65014</v>
      </c>
      <c r="EB315" s="6">
        <f t="shared" si="241"/>
        <v>1003367</v>
      </c>
      <c r="EC315" s="6"/>
      <c r="ED315" s="6"/>
      <c r="EF315" s="6">
        <f t="shared" si="242"/>
        <v>581329</v>
      </c>
      <c r="EG315" s="6">
        <f t="shared" si="243"/>
        <v>255448</v>
      </c>
      <c r="EH315" s="6">
        <f t="shared" si="244"/>
        <v>836777</v>
      </c>
      <c r="EI315" s="36">
        <f t="shared" si="245"/>
        <v>3.2005891837293056E-4</v>
      </c>
      <c r="EJ315" s="36">
        <f t="shared" si="246"/>
        <v>1.3249186625377289E-3</v>
      </c>
      <c r="EM315" s="104"/>
      <c r="EN315" s="104"/>
      <c r="FE315" s="32"/>
      <c r="FF315" s="34"/>
      <c r="FG315" s="31"/>
      <c r="FU315" s="192">
        <f t="shared" si="149"/>
        <v>0</v>
      </c>
    </row>
    <row r="316" spans="1:177" s="138" customFormat="1">
      <c r="A316" s="150">
        <f t="shared" si="212"/>
        <v>9207</v>
      </c>
      <c r="B316" s="9">
        <v>41579</v>
      </c>
      <c r="C316" s="110">
        <v>0</v>
      </c>
      <c r="D316" s="110">
        <v>0</v>
      </c>
      <c r="E316" s="110">
        <v>0</v>
      </c>
      <c r="F316" s="110">
        <v>0</v>
      </c>
      <c r="G316" s="110">
        <v>1508</v>
      </c>
      <c r="H316" s="110">
        <v>16759</v>
      </c>
      <c r="I316" s="110">
        <v>32244</v>
      </c>
      <c r="J316" s="110">
        <v>4931</v>
      </c>
      <c r="K316" s="110">
        <v>9410</v>
      </c>
      <c r="L316" s="165">
        <v>57</v>
      </c>
      <c r="M316" s="110">
        <v>24597</v>
      </c>
      <c r="N316" s="110">
        <v>1459</v>
      </c>
      <c r="O316" s="110">
        <v>0</v>
      </c>
      <c r="P316" s="110">
        <v>1645</v>
      </c>
      <c r="Q316" s="110">
        <v>11982</v>
      </c>
      <c r="R316" s="110">
        <v>303</v>
      </c>
      <c r="S316" s="110">
        <v>7698</v>
      </c>
      <c r="T316" s="110">
        <v>11735</v>
      </c>
      <c r="U316" s="110">
        <v>36</v>
      </c>
      <c r="V316" s="110">
        <v>639</v>
      </c>
      <c r="W316" s="110">
        <v>371</v>
      </c>
      <c r="X316" s="110">
        <v>9171</v>
      </c>
      <c r="Y316" s="110">
        <v>328</v>
      </c>
      <c r="Z316" s="110">
        <v>6</v>
      </c>
      <c r="AA316" s="160"/>
      <c r="AB316" s="110">
        <v>8</v>
      </c>
      <c r="AC316" s="110">
        <v>286</v>
      </c>
      <c r="AD316" s="110">
        <v>28</v>
      </c>
      <c r="AE316" s="110">
        <v>33</v>
      </c>
      <c r="AF316" s="110">
        <v>37</v>
      </c>
      <c r="AG316" s="110">
        <v>84</v>
      </c>
      <c r="AH316" s="110">
        <v>60</v>
      </c>
      <c r="AI316" s="110">
        <v>285</v>
      </c>
      <c r="AJ316" s="110">
        <v>10</v>
      </c>
      <c r="AK316" s="110">
        <v>12546</v>
      </c>
      <c r="AL316" s="110">
        <v>114080</v>
      </c>
      <c r="AM316" s="110">
        <v>3018</v>
      </c>
      <c r="AN316" s="110">
        <v>21551</v>
      </c>
      <c r="AO316" s="110">
        <v>19</v>
      </c>
      <c r="AP316" s="110">
        <v>3</v>
      </c>
      <c r="AQ316" s="110">
        <v>11849</v>
      </c>
      <c r="AR316" s="110">
        <v>0</v>
      </c>
      <c r="AS316" s="110">
        <v>2137</v>
      </c>
      <c r="AT316" s="110">
        <v>59</v>
      </c>
      <c r="AU316" s="110">
        <v>7034</v>
      </c>
      <c r="AV316" s="110">
        <v>2488</v>
      </c>
      <c r="AW316" s="110">
        <v>4844</v>
      </c>
      <c r="AX316" s="110">
        <v>16442</v>
      </c>
      <c r="AY316" s="160"/>
      <c r="AZ316" s="160"/>
      <c r="BA316" s="160">
        <v>945</v>
      </c>
      <c r="BB316" s="160"/>
      <c r="BC316" s="110">
        <v>266</v>
      </c>
      <c r="BD316" s="110"/>
      <c r="BE316" s="110">
        <v>0</v>
      </c>
      <c r="BF316" s="110">
        <v>0</v>
      </c>
      <c r="BG316" s="110">
        <v>7423</v>
      </c>
      <c r="BH316" s="110">
        <v>0</v>
      </c>
      <c r="BI316" s="110">
        <v>0</v>
      </c>
      <c r="BJ316" s="110">
        <v>0</v>
      </c>
      <c r="BK316" s="110">
        <v>22</v>
      </c>
      <c r="BL316" s="110">
        <v>5130</v>
      </c>
      <c r="BM316" s="110"/>
      <c r="BN316" s="110">
        <v>443</v>
      </c>
      <c r="BO316" s="110">
        <v>4</v>
      </c>
      <c r="BP316" s="130">
        <v>41665</v>
      </c>
      <c r="BQ316" s="110">
        <v>86400</v>
      </c>
      <c r="BR316" s="110">
        <v>403</v>
      </c>
      <c r="BS316" s="110">
        <v>102</v>
      </c>
      <c r="BT316" s="110">
        <v>6139</v>
      </c>
      <c r="BU316" s="110">
        <v>59</v>
      </c>
      <c r="BV316" s="110"/>
      <c r="BW316" s="110">
        <v>3</v>
      </c>
      <c r="BX316" s="110">
        <v>17</v>
      </c>
      <c r="BY316" s="110"/>
      <c r="BZ316" s="110">
        <v>6</v>
      </c>
      <c r="CA316" s="110">
        <v>0</v>
      </c>
      <c r="CB316" s="110">
        <v>23688</v>
      </c>
      <c r="CC316" s="110">
        <v>15516</v>
      </c>
      <c r="CD316" s="110">
        <v>149496</v>
      </c>
      <c r="CE316" s="110">
        <v>262332</v>
      </c>
      <c r="CF316" s="110">
        <v>24883</v>
      </c>
      <c r="CG316" s="110">
        <v>50755</v>
      </c>
      <c r="CH316" s="110">
        <v>0</v>
      </c>
      <c r="CI316" s="110">
        <v>5</v>
      </c>
      <c r="CJ316" s="110">
        <v>3</v>
      </c>
      <c r="CK316" s="110">
        <v>44</v>
      </c>
      <c r="CL316" s="110"/>
      <c r="CM316" s="110"/>
      <c r="CN316" s="110"/>
      <c r="CO316" s="110"/>
      <c r="CP316" s="110"/>
      <c r="CQ316" s="110"/>
      <c r="CR316" s="110"/>
      <c r="CS316" s="110"/>
      <c r="CT316" s="110">
        <v>0</v>
      </c>
      <c r="CU316" s="110">
        <v>0</v>
      </c>
      <c r="CV316" s="110">
        <v>0</v>
      </c>
      <c r="CW316" s="110">
        <v>17</v>
      </c>
      <c r="CX316" s="110">
        <v>0</v>
      </c>
      <c r="CY316" s="110">
        <v>31</v>
      </c>
      <c r="CZ316" s="133"/>
      <c r="DA316" s="6"/>
      <c r="DC316" s="6"/>
      <c r="DD316" s="6">
        <f t="shared" ref="DD316" si="247">SUM(BE316:CK316)</f>
        <v>674538</v>
      </c>
      <c r="DE316" s="6">
        <f t="shared" si="102"/>
        <v>267137</v>
      </c>
      <c r="DF316" s="8">
        <f t="shared" ref="DF316" si="248">SUM(DD316:DE316)</f>
        <v>941675</v>
      </c>
      <c r="DH316" s="191"/>
      <c r="DI316" s="191"/>
      <c r="DJ316" s="191"/>
      <c r="DK316" s="6">
        <f t="shared" si="103"/>
        <v>57901</v>
      </c>
      <c r="DL316" s="6">
        <f t="shared" si="215"/>
        <v>148517</v>
      </c>
      <c r="DM316" s="6">
        <f t="shared" ref="DM316" si="249">T316</f>
        <v>11735</v>
      </c>
      <c r="DN316" s="6">
        <f t="shared" ref="DN316" si="250">AG316+AX316+AN316+AP316+AQ316+AR316</f>
        <v>49929</v>
      </c>
      <c r="DO316" s="6">
        <f t="shared" ref="DO316" si="251">SUM(BF316,BI316,BK316,BO316,BR316:BS316,BU316:BW316,BZ316:CB316,CD316:CF316,CJ316:CK316)</f>
        <v>461045</v>
      </c>
      <c r="DP316" s="6">
        <f t="shared" si="219"/>
        <v>92982</v>
      </c>
      <c r="DQ316" s="6"/>
      <c r="DR316" s="6">
        <f>CC316+CI316</f>
        <v>15521</v>
      </c>
      <c r="DS316" s="6">
        <f t="shared" ref="DS316" si="252">BP316</f>
        <v>41665</v>
      </c>
      <c r="DT316" s="6">
        <f t="shared" ref="DT316" si="253">BG316+BJ316+BL316+BX316</f>
        <v>12570</v>
      </c>
      <c r="DU316" s="6"/>
      <c r="DV316" s="6"/>
      <c r="DW316" s="6">
        <f t="shared" ref="DW316" si="254">SUM(DK316:DT316)</f>
        <v>891865</v>
      </c>
      <c r="DY316" s="6">
        <f t="shared" ref="DY316:DY317" si="255">DO316+DT316+H316+I316+J316+K316+CG316</f>
        <v>587714</v>
      </c>
      <c r="DZ316" s="6">
        <f t="shared" si="106"/>
        <v>64909</v>
      </c>
      <c r="EB316" s="6">
        <f t="shared" ref="EB316" si="256">DZ316+DF316</f>
        <v>1006584</v>
      </c>
      <c r="EC316" s="6"/>
      <c r="ED316" s="6"/>
      <c r="EF316" s="6">
        <f t="shared" ref="EF316" si="257">SUM(BE316:CK316)-CG316-BP316</f>
        <v>582118</v>
      </c>
      <c r="EG316" s="6">
        <f t="shared" ref="EG316" si="258">SUM(M316:BC316)-AQ316</f>
        <v>256233</v>
      </c>
      <c r="EH316" s="6">
        <f t="shared" ref="EH316" si="259">SUM(EF316:EG316)</f>
        <v>838351</v>
      </c>
      <c r="EI316" s="36">
        <f t="shared" ref="EI316" si="260">(EF316-EF315)/EF315</f>
        <v>1.3572348876453781E-3</v>
      </c>
      <c r="EJ316" s="36">
        <f t="shared" ref="EJ316" si="261">(EG316-EG315)/EG315</f>
        <v>3.0730324762769721E-3</v>
      </c>
      <c r="EM316" s="104"/>
      <c r="EN316" s="104"/>
      <c r="FC316" s="6">
        <f t="shared" ref="FC316:FC353" si="262">SUM(DK316,DM316)</f>
        <v>69636</v>
      </c>
      <c r="FD316" s="6">
        <f t="shared" ref="FD316:FD353" si="263">SUM(DL316,DN316)</f>
        <v>198446</v>
      </c>
      <c r="FE316" s="32">
        <f t="shared" ref="FE316:FE353" si="264">SUM(DO316)</f>
        <v>461045</v>
      </c>
      <c r="FF316" s="34">
        <f t="shared" ref="FF316:FF353" si="265">SUM(DT316)</f>
        <v>12570</v>
      </c>
      <c r="FG316" s="31">
        <f t="shared" ref="FG316:FG353" si="266">SUM(DP316,DS316,DQ316)</f>
        <v>134647</v>
      </c>
      <c r="FH316" s="6">
        <f t="shared" ref="FH316:FH353" si="267">SUM(DR316)</f>
        <v>15521</v>
      </c>
      <c r="FI316" s="6">
        <f t="shared" ref="FI316:FI353" si="268">SUM(FC316:FH316)-DW316</f>
        <v>0</v>
      </c>
      <c r="FU316" s="192">
        <f t="shared" si="149"/>
        <v>0</v>
      </c>
    </row>
    <row r="317" spans="1:177" s="136" customFormat="1">
      <c r="A317" s="150">
        <f t="shared" si="212"/>
        <v>9219</v>
      </c>
      <c r="B317" s="9">
        <v>41609</v>
      </c>
      <c r="C317" s="110">
        <v>0</v>
      </c>
      <c r="D317" s="110">
        <v>0</v>
      </c>
      <c r="E317" s="110">
        <v>0</v>
      </c>
      <c r="F317" s="110">
        <v>0</v>
      </c>
      <c r="G317" s="110">
        <v>1421</v>
      </c>
      <c r="H317" s="110">
        <v>16451</v>
      </c>
      <c r="I317" s="110">
        <v>31952</v>
      </c>
      <c r="J317" s="110">
        <v>4830</v>
      </c>
      <c r="K317" s="110">
        <v>9319</v>
      </c>
      <c r="L317" s="165">
        <v>163</v>
      </c>
      <c r="M317" s="110">
        <v>24544</v>
      </c>
      <c r="N317" s="110">
        <v>1469</v>
      </c>
      <c r="O317" s="110">
        <v>0</v>
      </c>
      <c r="P317" s="110">
        <v>1619</v>
      </c>
      <c r="Q317" s="110">
        <v>11962</v>
      </c>
      <c r="R317" s="110">
        <v>307</v>
      </c>
      <c r="S317" s="110">
        <v>7675</v>
      </c>
      <c r="T317" s="110">
        <v>11755</v>
      </c>
      <c r="U317" s="110">
        <v>36</v>
      </c>
      <c r="V317" s="110">
        <v>693</v>
      </c>
      <c r="W317" s="110">
        <v>360</v>
      </c>
      <c r="X317" s="110">
        <v>9194</v>
      </c>
      <c r="Y317" s="110">
        <v>329</v>
      </c>
      <c r="Z317" s="110">
        <v>6</v>
      </c>
      <c r="AA317" s="160"/>
      <c r="AB317" s="110">
        <v>7</v>
      </c>
      <c r="AC317" s="110">
        <v>291</v>
      </c>
      <c r="AD317" s="110">
        <v>27</v>
      </c>
      <c r="AE317" s="110">
        <v>33</v>
      </c>
      <c r="AF317" s="110">
        <v>36</v>
      </c>
      <c r="AG317" s="110">
        <v>79</v>
      </c>
      <c r="AH317" s="110">
        <v>60</v>
      </c>
      <c r="AI317" s="110">
        <v>315</v>
      </c>
      <c r="AJ317" s="110">
        <v>11</v>
      </c>
      <c r="AK317" s="110">
        <v>12560</v>
      </c>
      <c r="AL317" s="110">
        <v>114303</v>
      </c>
      <c r="AM317" s="110">
        <v>3011</v>
      </c>
      <c r="AN317" s="110">
        <v>21507</v>
      </c>
      <c r="AO317" s="110">
        <v>18</v>
      </c>
      <c r="AP317" s="110">
        <v>1</v>
      </c>
      <c r="AQ317" s="110">
        <v>12033</v>
      </c>
      <c r="AR317" s="110">
        <v>0</v>
      </c>
      <c r="AS317" s="110">
        <v>2078</v>
      </c>
      <c r="AT317" s="110">
        <v>58</v>
      </c>
      <c r="AU317" s="110">
        <v>7107</v>
      </c>
      <c r="AV317" s="110">
        <v>2488</v>
      </c>
      <c r="AW317" s="110">
        <v>4839</v>
      </c>
      <c r="AX317" s="110">
        <v>16431</v>
      </c>
      <c r="AY317" s="160"/>
      <c r="AZ317" s="160"/>
      <c r="BA317" s="160">
        <v>950</v>
      </c>
      <c r="BB317" s="160"/>
      <c r="BC317" s="110">
        <v>266</v>
      </c>
      <c r="BD317" s="110"/>
      <c r="BE317" s="110">
        <v>0</v>
      </c>
      <c r="BF317" s="110">
        <v>0</v>
      </c>
      <c r="BG317" s="110">
        <v>7399</v>
      </c>
      <c r="BH317" s="110">
        <v>0</v>
      </c>
      <c r="BI317" s="110">
        <v>0</v>
      </c>
      <c r="BJ317" s="110">
        <v>0</v>
      </c>
      <c r="BK317" s="110">
        <v>21</v>
      </c>
      <c r="BL317" s="110">
        <v>5183</v>
      </c>
      <c r="BM317" s="110"/>
      <c r="BN317" s="110">
        <v>439</v>
      </c>
      <c r="BO317" s="110">
        <v>3</v>
      </c>
      <c r="BP317" s="130">
        <v>43020</v>
      </c>
      <c r="BQ317" s="110">
        <v>84932</v>
      </c>
      <c r="BR317" s="110">
        <v>395</v>
      </c>
      <c r="BS317" s="110">
        <v>99</v>
      </c>
      <c r="BT317" s="110">
        <v>6191</v>
      </c>
      <c r="BU317" s="110">
        <v>60</v>
      </c>
      <c r="BV317" s="110"/>
      <c r="BW317" s="110">
        <v>3</v>
      </c>
      <c r="BX317" s="110">
        <v>16</v>
      </c>
      <c r="BY317" s="110"/>
      <c r="BZ317" s="110">
        <v>8</v>
      </c>
      <c r="CA317" s="110">
        <v>0</v>
      </c>
      <c r="CB317" s="110">
        <v>23432</v>
      </c>
      <c r="CC317" s="110">
        <v>14799</v>
      </c>
      <c r="CD317" s="110">
        <v>146726</v>
      </c>
      <c r="CE317" s="110">
        <v>260363</v>
      </c>
      <c r="CF317" s="110">
        <v>24412</v>
      </c>
      <c r="CG317" s="110">
        <v>50663</v>
      </c>
      <c r="CH317" s="110">
        <v>0</v>
      </c>
      <c r="CI317" s="110">
        <v>16</v>
      </c>
      <c r="CJ317" s="110">
        <v>4</v>
      </c>
      <c r="CK317" s="110">
        <v>48</v>
      </c>
      <c r="CL317" s="110"/>
      <c r="CM317" s="110"/>
      <c r="CN317" s="110"/>
      <c r="CO317" s="110"/>
      <c r="CP317" s="110"/>
      <c r="CQ317" s="110"/>
      <c r="CR317" s="110"/>
      <c r="CS317" s="110"/>
      <c r="CT317" s="110">
        <v>0</v>
      </c>
      <c r="CU317" s="110">
        <v>0</v>
      </c>
      <c r="CV317" s="110">
        <v>0</v>
      </c>
      <c r="CW317" s="110">
        <v>17</v>
      </c>
      <c r="CX317" s="110">
        <v>0</v>
      </c>
      <c r="CY317" s="110">
        <v>31</v>
      </c>
      <c r="CZ317" s="133"/>
      <c r="DA317" s="6"/>
      <c r="DC317" s="6"/>
      <c r="DD317" s="6">
        <f>SUM(BE317:CK317)</f>
        <v>668232</v>
      </c>
      <c r="DE317" s="6">
        <f t="shared" si="102"/>
        <v>267508</v>
      </c>
      <c r="DF317" s="8">
        <f t="shared" ref="DF317" si="269">SUM(DD317:DE317)</f>
        <v>935740</v>
      </c>
      <c r="DH317" s="191"/>
      <c r="DI317" s="191"/>
      <c r="DJ317" s="191"/>
      <c r="DK317" s="6">
        <f t="shared" si="103"/>
        <v>57859</v>
      </c>
      <c r="DL317" s="6">
        <f t="shared" si="215"/>
        <v>148793</v>
      </c>
      <c r="DM317" s="6">
        <f t="shared" ref="DM317:DM322" si="270">T317</f>
        <v>11755</v>
      </c>
      <c r="DN317" s="6">
        <f t="shared" ref="DN317:DN322" si="271">AG317+AX317+AN317+AP317+AQ317+AR317</f>
        <v>50051</v>
      </c>
      <c r="DO317" s="6">
        <f>SUM(BF317,BI317,BK317,BO317,BR317:BS317,BU317:BW317,BZ317:CB317,CD317:CF317,CJ317:CK317)</f>
        <v>455574</v>
      </c>
      <c r="DP317" s="6">
        <f t="shared" si="219"/>
        <v>91562</v>
      </c>
      <c r="DQ317" s="6"/>
      <c r="DR317" s="6">
        <f>CC317+CI317</f>
        <v>14815</v>
      </c>
      <c r="DS317" s="6">
        <f>BP317</f>
        <v>43020</v>
      </c>
      <c r="DT317" s="6">
        <f t="shared" ref="DT317:DT322" si="272">BG317+BJ317+BL317+BM317+BX317</f>
        <v>12598</v>
      </c>
      <c r="DU317" s="6"/>
      <c r="DV317" s="6"/>
      <c r="DW317" s="6">
        <f t="shared" ref="DW317" si="273">SUM(DK317:DT317)</f>
        <v>886027</v>
      </c>
      <c r="DY317" s="6">
        <f t="shared" si="255"/>
        <v>581387</v>
      </c>
      <c r="DZ317" s="6">
        <f t="shared" si="106"/>
        <v>64136</v>
      </c>
      <c r="EB317" s="6">
        <f t="shared" ref="EB317:EB322" si="274">DZ317+DF317</f>
        <v>999876</v>
      </c>
      <c r="EC317" s="6"/>
      <c r="ED317" s="6"/>
      <c r="EF317" s="6">
        <f t="shared" ref="EF317" si="275">SUM(BE317:CK317)-CG317-BP317</f>
        <v>574549</v>
      </c>
      <c r="EG317" s="6">
        <f t="shared" ref="EG317" si="276">SUM(M317:BC317)-AQ317</f>
        <v>256425</v>
      </c>
      <c r="EH317" s="6">
        <f t="shared" ref="EH317" si="277">SUM(EF317:EG317)</f>
        <v>830974</v>
      </c>
      <c r="EI317" s="36">
        <f t="shared" ref="EI317" si="278">(EF317-EF316)/EF316</f>
        <v>-1.3002518389742286E-2</v>
      </c>
      <c r="EJ317" s="36">
        <f t="shared" ref="EJ317" si="279">(EG317-EG316)/EG316</f>
        <v>7.4931800353584437E-4</v>
      </c>
      <c r="EM317" s="104"/>
      <c r="EN317" s="104"/>
      <c r="FC317" s="6">
        <f t="shared" si="262"/>
        <v>69614</v>
      </c>
      <c r="FD317" s="6">
        <f t="shared" si="263"/>
        <v>198844</v>
      </c>
      <c r="FE317" s="32">
        <f t="shared" si="264"/>
        <v>455574</v>
      </c>
      <c r="FF317" s="34">
        <f t="shared" si="265"/>
        <v>12598</v>
      </c>
      <c r="FG317" s="31">
        <f t="shared" si="266"/>
        <v>134582</v>
      </c>
      <c r="FH317" s="6">
        <f t="shared" si="267"/>
        <v>14815</v>
      </c>
      <c r="FI317" s="6">
        <f t="shared" si="268"/>
        <v>0</v>
      </c>
      <c r="FU317" s="192">
        <f t="shared" si="149"/>
        <v>0</v>
      </c>
    </row>
    <row r="318" spans="1:177" s="136" customFormat="1">
      <c r="A318" s="150">
        <f t="shared" si="212"/>
        <v>9216</v>
      </c>
      <c r="B318" s="9">
        <v>41640</v>
      </c>
      <c r="C318" s="110">
        <v>0</v>
      </c>
      <c r="D318" s="110">
        <v>0</v>
      </c>
      <c r="E318" s="110">
        <v>0</v>
      </c>
      <c r="F318" s="110">
        <v>0</v>
      </c>
      <c r="G318" s="110">
        <v>1351</v>
      </c>
      <c r="H318" s="110">
        <v>16618</v>
      </c>
      <c r="I318" s="110">
        <v>32810</v>
      </c>
      <c r="J318" s="110">
        <v>4858</v>
      </c>
      <c r="K318" s="110">
        <v>9538</v>
      </c>
      <c r="L318" s="165">
        <v>333</v>
      </c>
      <c r="M318" s="110">
        <v>24436</v>
      </c>
      <c r="N318" s="110">
        <v>1456</v>
      </c>
      <c r="O318" s="110">
        <v>0</v>
      </c>
      <c r="P318" s="110">
        <v>1590</v>
      </c>
      <c r="Q318" s="110">
        <v>11720</v>
      </c>
      <c r="R318" s="110">
        <v>300</v>
      </c>
      <c r="S318" s="110">
        <v>7586</v>
      </c>
      <c r="T318" s="110">
        <v>11755</v>
      </c>
      <c r="U318" s="110">
        <v>44</v>
      </c>
      <c r="V318" s="110">
        <v>734</v>
      </c>
      <c r="W318" s="110">
        <v>352</v>
      </c>
      <c r="X318" s="110">
        <v>9212</v>
      </c>
      <c r="Y318" s="110">
        <v>330</v>
      </c>
      <c r="Z318" s="110">
        <v>6</v>
      </c>
      <c r="AA318" s="160"/>
      <c r="AB318" s="110">
        <v>5</v>
      </c>
      <c r="AC318" s="110">
        <v>287</v>
      </c>
      <c r="AD318" s="110">
        <v>28</v>
      </c>
      <c r="AE318" s="110">
        <v>34</v>
      </c>
      <c r="AF318" s="110">
        <v>35</v>
      </c>
      <c r="AG318" s="110">
        <v>80</v>
      </c>
      <c r="AH318" s="110">
        <v>58</v>
      </c>
      <c r="AI318" s="110">
        <v>333</v>
      </c>
      <c r="AJ318" s="110">
        <v>11</v>
      </c>
      <c r="AK318" s="110">
        <v>12614</v>
      </c>
      <c r="AL318" s="110">
        <v>114207</v>
      </c>
      <c r="AM318" s="110">
        <v>2983</v>
      </c>
      <c r="AN318" s="110">
        <v>21487</v>
      </c>
      <c r="AO318" s="110">
        <v>16</v>
      </c>
      <c r="AP318" s="110">
        <v>0</v>
      </c>
      <c r="AQ318" s="110">
        <v>1</v>
      </c>
      <c r="AR318" s="110">
        <v>0</v>
      </c>
      <c r="AS318" s="110">
        <v>1953</v>
      </c>
      <c r="AT318" s="110">
        <v>56</v>
      </c>
      <c r="AU318" s="110">
        <v>7230</v>
      </c>
      <c r="AV318" s="110">
        <v>2492</v>
      </c>
      <c r="AW318" s="110">
        <v>4851</v>
      </c>
      <c r="AX318" s="110">
        <v>16424</v>
      </c>
      <c r="AY318" s="160"/>
      <c r="AZ318" s="160"/>
      <c r="BA318" s="160">
        <v>942</v>
      </c>
      <c r="BB318" s="160"/>
      <c r="BC318" s="110">
        <v>235</v>
      </c>
      <c r="BD318" s="110"/>
      <c r="BE318" s="110">
        <v>0</v>
      </c>
      <c r="BF318" s="110">
        <v>0</v>
      </c>
      <c r="BG318" s="110">
        <v>7373</v>
      </c>
      <c r="BH318" s="110">
        <v>0</v>
      </c>
      <c r="BI318" s="110">
        <v>0</v>
      </c>
      <c r="BJ318" s="110">
        <v>0</v>
      </c>
      <c r="BK318" s="110">
        <v>22</v>
      </c>
      <c r="BL318" s="110">
        <v>5238</v>
      </c>
      <c r="BM318" s="110"/>
      <c r="BN318" s="110">
        <v>461</v>
      </c>
      <c r="BO318" s="110">
        <v>6</v>
      </c>
      <c r="BP318" s="130">
        <v>44633</v>
      </c>
      <c r="BQ318" s="110">
        <v>83967</v>
      </c>
      <c r="BR318" s="110">
        <v>395</v>
      </c>
      <c r="BS318" s="110">
        <v>98</v>
      </c>
      <c r="BT318" s="110">
        <v>6352</v>
      </c>
      <c r="BU318" s="110">
        <v>61</v>
      </c>
      <c r="BV318" s="110"/>
      <c r="BW318" s="110">
        <v>3</v>
      </c>
      <c r="BX318" s="110">
        <v>16</v>
      </c>
      <c r="BY318" s="110"/>
      <c r="BZ318" s="110">
        <v>8</v>
      </c>
      <c r="CA318" s="110">
        <v>0</v>
      </c>
      <c r="CB318" s="110">
        <v>23244</v>
      </c>
      <c r="CC318" s="110">
        <v>14451</v>
      </c>
      <c r="CD318" s="110">
        <v>144901</v>
      </c>
      <c r="CE318" s="110">
        <v>259278</v>
      </c>
      <c r="CF318" s="110">
        <v>24267</v>
      </c>
      <c r="CG318" s="110">
        <v>50743</v>
      </c>
      <c r="CH318" s="110">
        <v>0</v>
      </c>
      <c r="CI318" s="110">
        <v>23</v>
      </c>
      <c r="CJ318" s="110">
        <v>4</v>
      </c>
      <c r="CK318" s="110">
        <v>45</v>
      </c>
      <c r="CL318" s="110"/>
      <c r="CM318" s="110"/>
      <c r="CN318" s="110"/>
      <c r="CO318" s="110"/>
      <c r="CP318" s="110"/>
      <c r="CQ318" s="110"/>
      <c r="CR318" s="110"/>
      <c r="CS318" s="110"/>
      <c r="CT318" s="110">
        <v>0</v>
      </c>
      <c r="CU318" s="110">
        <v>0</v>
      </c>
      <c r="CV318" s="110">
        <v>0</v>
      </c>
      <c r="CW318" s="110">
        <v>17</v>
      </c>
      <c r="CX318" s="110">
        <v>0</v>
      </c>
      <c r="CY318" s="110">
        <v>31</v>
      </c>
      <c r="DA318" s="6"/>
      <c r="DC318" s="6"/>
      <c r="DD318" s="6">
        <f>SUM(BE318:CK318)</f>
        <v>665589</v>
      </c>
      <c r="DE318" s="6">
        <f t="shared" si="102"/>
        <v>254941</v>
      </c>
      <c r="DF318" s="8">
        <f t="shared" ref="DF318" si="280">SUM(DD318:DE318)</f>
        <v>920530</v>
      </c>
      <c r="DH318" s="191"/>
      <c r="DI318" s="191"/>
      <c r="DJ318" s="191"/>
      <c r="DK318" s="6">
        <f t="shared" si="103"/>
        <v>57430</v>
      </c>
      <c r="DL318" s="6">
        <f t="shared" ref="DL318:DL320" si="281">SUM(Y318:Z318,AB318:AF318,AH318:AM318,AO318,AS318:AW318,BA318:BC318)</f>
        <v>148706</v>
      </c>
      <c r="DM318" s="6">
        <f t="shared" si="270"/>
        <v>11755</v>
      </c>
      <c r="DN318" s="6">
        <f t="shared" si="271"/>
        <v>37992</v>
      </c>
      <c r="DO318" s="6">
        <f>SUM(BF318,BI318,BK318,BO318,BR318:BS318,BU318:BW318,BZ318:CB318,CD318:CF318,CJ318:CK318)</f>
        <v>452332</v>
      </c>
      <c r="DP318" s="6">
        <f t="shared" si="219"/>
        <v>90780</v>
      </c>
      <c r="DQ318" s="6"/>
      <c r="DR318" s="6">
        <f>CC318+CI318</f>
        <v>14474</v>
      </c>
      <c r="DS318" s="6">
        <f>BP318</f>
        <v>44633</v>
      </c>
      <c r="DT318" s="6">
        <f t="shared" si="272"/>
        <v>12627</v>
      </c>
      <c r="DU318" s="6"/>
      <c r="DV318" s="6"/>
      <c r="DW318" s="6">
        <f t="shared" ref="DW318" si="282">SUM(DK318:DT318)</f>
        <v>870729</v>
      </c>
      <c r="DY318" s="6">
        <f t="shared" ref="DY318" si="283">DO318+DT318+H318+I318+J318+K318+CG318</f>
        <v>579526</v>
      </c>
      <c r="DZ318" s="6">
        <f t="shared" si="106"/>
        <v>65508</v>
      </c>
      <c r="EB318" s="6">
        <f t="shared" si="274"/>
        <v>986038</v>
      </c>
      <c r="EC318" s="6"/>
      <c r="ED318" s="6"/>
      <c r="EF318" s="6">
        <f t="shared" ref="EF318" si="284">SUM(BE318:CK318)-CG318-BP318</f>
        <v>570213</v>
      </c>
      <c r="EG318" s="6">
        <f t="shared" ref="EG318" si="285">SUM(M318:BC318)-AQ318</f>
        <v>255882</v>
      </c>
      <c r="EH318" s="6">
        <f t="shared" ref="EH318" si="286">SUM(EF318:EG318)</f>
        <v>826095</v>
      </c>
      <c r="EI318" s="36">
        <f t="shared" ref="EI318" si="287">(EF318-EF317)/EF317</f>
        <v>-7.5467888726636024E-3</v>
      </c>
      <c r="EJ318" s="36">
        <f t="shared" ref="EJ318" si="288">(EG318-EG317)/EG317</f>
        <v>-2.1175782392512431E-3</v>
      </c>
      <c r="EM318" s="104"/>
      <c r="EN318" s="104"/>
      <c r="FC318" s="6">
        <f t="shared" si="262"/>
        <v>69185</v>
      </c>
      <c r="FD318" s="6">
        <f t="shared" si="263"/>
        <v>186698</v>
      </c>
      <c r="FE318" s="32">
        <f t="shared" si="264"/>
        <v>452332</v>
      </c>
      <c r="FF318" s="34">
        <f t="shared" si="265"/>
        <v>12627</v>
      </c>
      <c r="FG318" s="31">
        <f t="shared" si="266"/>
        <v>135413</v>
      </c>
      <c r="FH318" s="6">
        <f t="shared" si="267"/>
        <v>14474</v>
      </c>
      <c r="FI318" s="6">
        <f t="shared" si="268"/>
        <v>0</v>
      </c>
      <c r="FU318" s="192">
        <f t="shared" si="149"/>
        <v>0</v>
      </c>
    </row>
    <row r="319" spans="1:177" s="139" customFormat="1">
      <c r="A319" s="150">
        <f t="shared" si="212"/>
        <v>9695</v>
      </c>
      <c r="B319" s="50">
        <v>41671</v>
      </c>
      <c r="C319" s="145">
        <v>0</v>
      </c>
      <c r="D319" s="145">
        <v>0</v>
      </c>
      <c r="E319" s="145">
        <v>0</v>
      </c>
      <c r="F319" s="145">
        <v>0</v>
      </c>
      <c r="G319" s="145">
        <v>1236</v>
      </c>
      <c r="H319" s="145">
        <v>16513</v>
      </c>
      <c r="I319" s="145">
        <v>33080</v>
      </c>
      <c r="J319" s="145">
        <v>4788</v>
      </c>
      <c r="K319" s="145">
        <v>9556</v>
      </c>
      <c r="L319" s="145">
        <v>546</v>
      </c>
      <c r="M319" s="145">
        <v>24372</v>
      </c>
      <c r="N319" s="145">
        <v>1445</v>
      </c>
      <c r="O319" s="110">
        <v>0</v>
      </c>
      <c r="P319" s="145">
        <v>1584</v>
      </c>
      <c r="Q319" s="145">
        <v>11732</v>
      </c>
      <c r="R319" s="145">
        <v>305</v>
      </c>
      <c r="S319" s="145">
        <v>7534</v>
      </c>
      <c r="T319" s="145">
        <v>11719</v>
      </c>
      <c r="U319" s="145">
        <v>47</v>
      </c>
      <c r="V319" s="145">
        <v>791</v>
      </c>
      <c r="W319" s="145">
        <v>357</v>
      </c>
      <c r="X319" s="145">
        <v>9282</v>
      </c>
      <c r="Y319" s="145">
        <v>335</v>
      </c>
      <c r="Z319" s="145">
        <v>7</v>
      </c>
      <c r="AA319" s="152">
        <v>24</v>
      </c>
      <c r="AB319" s="145">
        <v>5</v>
      </c>
      <c r="AC319" s="145">
        <v>284</v>
      </c>
      <c r="AD319" s="145">
        <v>29</v>
      </c>
      <c r="AE319" s="145">
        <v>34</v>
      </c>
      <c r="AF319" s="145">
        <v>37</v>
      </c>
      <c r="AG319" s="145">
        <v>80</v>
      </c>
      <c r="AH319" s="145">
        <v>54</v>
      </c>
      <c r="AI319" s="145">
        <v>357</v>
      </c>
      <c r="AJ319" s="145">
        <v>13</v>
      </c>
      <c r="AK319" s="145">
        <v>12673</v>
      </c>
      <c r="AL319" s="145">
        <v>114324</v>
      </c>
      <c r="AM319" s="145">
        <v>2967</v>
      </c>
      <c r="AN319" s="145">
        <v>21721</v>
      </c>
      <c r="AO319" s="145">
        <v>19</v>
      </c>
      <c r="AP319" s="145">
        <v>2</v>
      </c>
      <c r="AQ319" s="145">
        <v>8428</v>
      </c>
      <c r="AR319" s="145">
        <v>0</v>
      </c>
      <c r="AS319" s="145">
        <v>1920</v>
      </c>
      <c r="AT319" s="145">
        <v>55</v>
      </c>
      <c r="AU319" s="145">
        <v>7741</v>
      </c>
      <c r="AV319" s="145">
        <v>2500</v>
      </c>
      <c r="AW319" s="145">
        <v>4891</v>
      </c>
      <c r="AX319" s="145">
        <v>16542</v>
      </c>
      <c r="AY319" s="152">
        <v>53</v>
      </c>
      <c r="AZ319" s="152">
        <v>5</v>
      </c>
      <c r="BA319" s="152">
        <v>949</v>
      </c>
      <c r="BB319" s="152">
        <v>1</v>
      </c>
      <c r="BC319" s="145">
        <v>249</v>
      </c>
      <c r="BD319" s="145">
        <v>24</v>
      </c>
      <c r="BE319" s="145">
        <v>0</v>
      </c>
      <c r="BF319" s="145">
        <v>0</v>
      </c>
      <c r="BG319" s="145">
        <v>7401</v>
      </c>
      <c r="BH319" s="145">
        <v>0</v>
      </c>
      <c r="BI319" s="145">
        <v>0</v>
      </c>
      <c r="BJ319" s="145">
        <v>0</v>
      </c>
      <c r="BK319" s="145">
        <v>26</v>
      </c>
      <c r="BL319" s="145">
        <v>5270</v>
      </c>
      <c r="BM319" s="145">
        <v>1</v>
      </c>
      <c r="BN319" s="145">
        <v>528</v>
      </c>
      <c r="BO319" s="145">
        <v>6</v>
      </c>
      <c r="BP319" s="145">
        <v>45644</v>
      </c>
      <c r="BQ319" s="145">
        <v>84033</v>
      </c>
      <c r="BR319" s="145">
        <v>385</v>
      </c>
      <c r="BS319" s="145">
        <v>94</v>
      </c>
      <c r="BT319" s="145">
        <v>6752</v>
      </c>
      <c r="BU319" s="145">
        <v>65</v>
      </c>
      <c r="BV319" s="151"/>
      <c r="BW319" s="145">
        <v>3</v>
      </c>
      <c r="BX319" s="145">
        <v>16</v>
      </c>
      <c r="BY319" s="181"/>
      <c r="BZ319" s="145">
        <v>9</v>
      </c>
      <c r="CA319" s="145">
        <v>0</v>
      </c>
      <c r="CB319" s="145">
        <v>23133</v>
      </c>
      <c r="CC319" s="145">
        <v>14687</v>
      </c>
      <c r="CD319" s="145">
        <v>144154</v>
      </c>
      <c r="CE319" s="145">
        <v>259603</v>
      </c>
      <c r="CF319" s="145">
        <v>25109</v>
      </c>
      <c r="CG319" s="145">
        <v>50917</v>
      </c>
      <c r="CH319" s="145">
        <v>0</v>
      </c>
      <c r="CI319" s="145">
        <v>21</v>
      </c>
      <c r="CJ319" s="145">
        <v>4</v>
      </c>
      <c r="CK319" s="145">
        <v>44</v>
      </c>
      <c r="CL319" s="289"/>
      <c r="CM319" s="289"/>
      <c r="CN319" s="289"/>
      <c r="CO319" s="289"/>
      <c r="CP319" s="289"/>
      <c r="CQ319" s="289"/>
      <c r="CR319" s="177"/>
      <c r="CS319" s="186"/>
      <c r="CT319" s="145">
        <v>0</v>
      </c>
      <c r="CU319" s="145">
        <v>0</v>
      </c>
      <c r="CV319" s="145">
        <v>0</v>
      </c>
      <c r="CW319" s="145">
        <v>17</v>
      </c>
      <c r="CX319" s="145">
        <v>0</v>
      </c>
      <c r="CY319" s="145">
        <v>31</v>
      </c>
      <c r="DA319" s="6"/>
      <c r="DC319" s="6"/>
      <c r="DD319" s="6">
        <f t="shared" ref="DD319:DD324" si="289">SUM(AY319:AZ319,BE319:CK319)</f>
        <v>667963</v>
      </c>
      <c r="DE319" s="6">
        <f t="shared" si="102"/>
        <v>264460</v>
      </c>
      <c r="DF319" s="8">
        <f t="shared" ref="DF319" si="290">SUM(DD319:DE319)</f>
        <v>932423</v>
      </c>
      <c r="DH319" s="191"/>
      <c r="DI319" s="191"/>
      <c r="DJ319" s="191"/>
      <c r="DK319" s="6">
        <f t="shared" si="103"/>
        <v>57449</v>
      </c>
      <c r="DL319" s="6">
        <f t="shared" si="281"/>
        <v>149444</v>
      </c>
      <c r="DM319" s="6">
        <f t="shared" si="270"/>
        <v>11719</v>
      </c>
      <c r="DN319" s="6">
        <f t="shared" si="271"/>
        <v>46773</v>
      </c>
      <c r="DO319" s="6">
        <f t="shared" ref="DO319:DO321" si="291">SUM(AY319,BF319,BI319,BK319,BO319,BR319:BS319,BU319,BW319,BZ319:CB319,CD319:CF319,CJ319:CK319)</f>
        <v>452688</v>
      </c>
      <c r="DP319" s="6">
        <f t="shared" si="219"/>
        <v>91342</v>
      </c>
      <c r="DQ319" s="6"/>
      <c r="DR319" s="6">
        <f t="shared" ref="DR319:DR324" si="292">CC319+CI319+AA319</f>
        <v>14732</v>
      </c>
      <c r="DS319" s="6">
        <f>BP319</f>
        <v>45644</v>
      </c>
      <c r="DT319" s="6">
        <f t="shared" si="272"/>
        <v>12688</v>
      </c>
      <c r="DU319" s="6"/>
      <c r="DV319" s="6"/>
      <c r="DW319" s="6">
        <f t="shared" ref="DW319" si="293">SUM(DK319:DT319)</f>
        <v>882479</v>
      </c>
      <c r="DY319" s="6">
        <f t="shared" ref="DY319" si="294">DO319+DT319+H319+I319+J319+K319+CG319</f>
        <v>580230</v>
      </c>
      <c r="DZ319" s="6">
        <f t="shared" si="106"/>
        <v>65719</v>
      </c>
      <c r="EA319" s="145"/>
      <c r="EB319" s="6">
        <f t="shared" si="274"/>
        <v>998142</v>
      </c>
      <c r="EC319" s="6"/>
      <c r="ED319" s="6"/>
      <c r="EF319" s="6">
        <f t="shared" ref="EF319" si="295">SUM(BE319:CK319)-CG319-BP319</f>
        <v>571344</v>
      </c>
      <c r="EG319" s="6">
        <f t="shared" ref="EG319" si="296">SUM(M319:BC319)-AQ319</f>
        <v>257039</v>
      </c>
      <c r="EH319" s="6">
        <f t="shared" ref="EH319" si="297">SUM(EF319:EG319)</f>
        <v>828383</v>
      </c>
      <c r="EI319" s="36">
        <f t="shared" ref="EI319" si="298">(EF319-EF318)/EF318</f>
        <v>1.9834693351431835E-3</v>
      </c>
      <c r="EJ319" s="36">
        <f t="shared" ref="EJ319" si="299">(EG319-EG318)/EG318</f>
        <v>4.5216154321132398E-3</v>
      </c>
      <c r="EM319" s="104"/>
      <c r="EN319" s="104"/>
      <c r="FC319" s="6">
        <f t="shared" si="262"/>
        <v>69168</v>
      </c>
      <c r="FD319" s="6">
        <f t="shared" si="263"/>
        <v>196217</v>
      </c>
      <c r="FE319" s="32">
        <f t="shared" si="264"/>
        <v>452688</v>
      </c>
      <c r="FF319" s="34">
        <f t="shared" si="265"/>
        <v>12688</v>
      </c>
      <c r="FG319" s="31">
        <f t="shared" si="266"/>
        <v>136986</v>
      </c>
      <c r="FH319" s="6">
        <f t="shared" si="267"/>
        <v>14732</v>
      </c>
      <c r="FI319" s="6">
        <f t="shared" si="268"/>
        <v>0</v>
      </c>
      <c r="FU319" s="192">
        <f t="shared" si="149"/>
        <v>84</v>
      </c>
    </row>
    <row r="320" spans="1:177" s="145" customFormat="1">
      <c r="A320" s="150">
        <f>AB320+AS320+AD320+AU320</f>
        <v>10244</v>
      </c>
      <c r="B320" s="50">
        <v>41699</v>
      </c>
      <c r="C320" s="145">
        <v>0</v>
      </c>
      <c r="D320" s="145">
        <v>0</v>
      </c>
      <c r="E320" s="145">
        <v>0</v>
      </c>
      <c r="F320" s="145">
        <v>0</v>
      </c>
      <c r="G320" s="145">
        <v>1014</v>
      </c>
      <c r="H320" s="145">
        <v>15836</v>
      </c>
      <c r="I320" s="145">
        <v>32011</v>
      </c>
      <c r="J320" s="145">
        <v>4549</v>
      </c>
      <c r="K320" s="145">
        <v>9103</v>
      </c>
      <c r="L320" s="145">
        <v>699</v>
      </c>
      <c r="M320" s="145">
        <v>24281</v>
      </c>
      <c r="N320" s="145">
        <v>1439</v>
      </c>
      <c r="O320" s="110">
        <v>0</v>
      </c>
      <c r="P320" s="145">
        <v>1572</v>
      </c>
      <c r="Q320" s="145">
        <v>11622</v>
      </c>
      <c r="R320" s="145">
        <v>306</v>
      </c>
      <c r="S320" s="145">
        <v>7515</v>
      </c>
      <c r="T320" s="145">
        <v>11637</v>
      </c>
      <c r="U320" s="145">
        <v>49</v>
      </c>
      <c r="V320" s="145">
        <v>855</v>
      </c>
      <c r="W320" s="145">
        <v>355</v>
      </c>
      <c r="X320" s="145">
        <v>9334</v>
      </c>
      <c r="Y320" s="145">
        <v>339</v>
      </c>
      <c r="Z320" s="145">
        <v>7</v>
      </c>
      <c r="AA320" s="152">
        <v>10</v>
      </c>
      <c r="AB320" s="145">
        <v>5</v>
      </c>
      <c r="AC320" s="145">
        <v>287</v>
      </c>
      <c r="AD320" s="145">
        <v>28</v>
      </c>
      <c r="AE320" s="145">
        <v>35</v>
      </c>
      <c r="AF320" s="145">
        <v>37</v>
      </c>
      <c r="AG320" s="145">
        <v>80</v>
      </c>
      <c r="AH320" s="145">
        <v>55</v>
      </c>
      <c r="AI320" s="145">
        <v>384</v>
      </c>
      <c r="AJ320" s="145">
        <v>15</v>
      </c>
      <c r="AK320" s="145">
        <v>12697</v>
      </c>
      <c r="AL320" s="145">
        <v>114438</v>
      </c>
      <c r="AM320" s="145">
        <v>2964</v>
      </c>
      <c r="AN320" s="145">
        <v>21770</v>
      </c>
      <c r="AO320" s="145">
        <v>16</v>
      </c>
      <c r="AP320" s="145">
        <v>1</v>
      </c>
      <c r="AQ320" s="145">
        <v>9306</v>
      </c>
      <c r="AR320" s="145">
        <v>0</v>
      </c>
      <c r="AS320" s="145">
        <v>1893</v>
      </c>
      <c r="AT320" s="145">
        <v>52</v>
      </c>
      <c r="AU320" s="145">
        <v>8318</v>
      </c>
      <c r="AV320" s="145">
        <v>2501</v>
      </c>
      <c r="AW320" s="145">
        <v>4907</v>
      </c>
      <c r="AX320" s="145">
        <v>16554</v>
      </c>
      <c r="AY320" s="152">
        <v>63</v>
      </c>
      <c r="AZ320" s="152">
        <v>12</v>
      </c>
      <c r="BA320" s="152">
        <v>930</v>
      </c>
      <c r="BB320" s="152">
        <v>1</v>
      </c>
      <c r="BC320" s="145">
        <v>252</v>
      </c>
      <c r="BD320" s="145">
        <v>56</v>
      </c>
      <c r="BE320" s="145">
        <v>0</v>
      </c>
      <c r="BF320" s="145">
        <v>0</v>
      </c>
      <c r="BG320" s="145">
        <v>7488</v>
      </c>
      <c r="BH320" s="145">
        <v>0</v>
      </c>
      <c r="BI320" s="145">
        <v>0</v>
      </c>
      <c r="BJ320" s="145">
        <v>0</v>
      </c>
      <c r="BK320" s="145">
        <v>28</v>
      </c>
      <c r="BL320" s="145">
        <v>5218</v>
      </c>
      <c r="BM320" s="145">
        <v>1</v>
      </c>
      <c r="BN320" s="145">
        <v>560</v>
      </c>
      <c r="BO320" s="145">
        <v>6</v>
      </c>
      <c r="BP320" s="145">
        <v>47229</v>
      </c>
      <c r="BQ320" s="145">
        <v>84350</v>
      </c>
      <c r="BR320" s="145">
        <v>397</v>
      </c>
      <c r="BS320" s="145">
        <v>95</v>
      </c>
      <c r="BT320" s="145">
        <v>7192</v>
      </c>
      <c r="BU320" s="145">
        <v>61</v>
      </c>
      <c r="BV320" s="151"/>
      <c r="BW320" s="145">
        <v>3</v>
      </c>
      <c r="BX320" s="145">
        <v>16</v>
      </c>
      <c r="BY320" s="181"/>
      <c r="BZ320" s="145">
        <v>11</v>
      </c>
      <c r="CA320" s="145">
        <v>0</v>
      </c>
      <c r="CB320" s="145">
        <v>23139</v>
      </c>
      <c r="CC320" s="145">
        <v>14729</v>
      </c>
      <c r="CD320" s="145">
        <v>143913</v>
      </c>
      <c r="CE320" s="145">
        <v>260376</v>
      </c>
      <c r="CF320" s="145">
        <v>25511</v>
      </c>
      <c r="CG320" s="145">
        <v>50888</v>
      </c>
      <c r="CH320" s="145">
        <v>0</v>
      </c>
      <c r="CI320" s="145">
        <v>33</v>
      </c>
      <c r="CJ320" s="145">
        <v>4</v>
      </c>
      <c r="CK320" s="145">
        <v>41</v>
      </c>
      <c r="CL320" s="289"/>
      <c r="CM320" s="289"/>
      <c r="CN320" s="289"/>
      <c r="CO320" s="289"/>
      <c r="CP320" s="289"/>
      <c r="CQ320" s="289"/>
      <c r="CR320" s="177"/>
      <c r="CS320" s="186"/>
      <c r="CT320" s="145">
        <v>0</v>
      </c>
      <c r="CU320" s="145">
        <v>0</v>
      </c>
      <c r="CV320" s="145">
        <v>0</v>
      </c>
      <c r="CW320" s="145">
        <v>17</v>
      </c>
      <c r="CX320" s="110">
        <v>0</v>
      </c>
      <c r="CY320" s="110">
        <v>30</v>
      </c>
      <c r="DA320" s="6"/>
      <c r="DC320" s="6"/>
      <c r="DD320" s="6">
        <f t="shared" si="289"/>
        <v>671364</v>
      </c>
      <c r="DE320" s="6">
        <f t="shared" si="102"/>
        <v>265917</v>
      </c>
      <c r="DF320" s="8">
        <f t="shared" ref="DF320" si="300">SUM(DD320:DE320)</f>
        <v>937281</v>
      </c>
      <c r="DG320" s="148"/>
      <c r="DH320" s="191"/>
      <c r="DI320" s="191"/>
      <c r="DJ320" s="191"/>
      <c r="DK320" s="6">
        <f t="shared" si="103"/>
        <v>57328</v>
      </c>
      <c r="DL320" s="6">
        <f t="shared" si="281"/>
        <v>150161</v>
      </c>
      <c r="DM320" s="6">
        <f t="shared" si="270"/>
        <v>11637</v>
      </c>
      <c r="DN320" s="6">
        <f t="shared" si="271"/>
        <v>47711</v>
      </c>
      <c r="DO320" s="6">
        <f t="shared" si="291"/>
        <v>453648</v>
      </c>
      <c r="DP320" s="6">
        <f t="shared" si="219"/>
        <v>92170</v>
      </c>
      <c r="DQ320" s="6"/>
      <c r="DR320" s="6">
        <f t="shared" si="292"/>
        <v>14772</v>
      </c>
      <c r="DS320" s="6">
        <f>BP320</f>
        <v>47229</v>
      </c>
      <c r="DT320" s="6">
        <f t="shared" si="272"/>
        <v>12723</v>
      </c>
      <c r="DU320" s="6"/>
      <c r="DV320" s="6"/>
      <c r="DW320" s="6">
        <f t="shared" ref="DW320" si="301">SUM(DK320:DT320)</f>
        <v>887379</v>
      </c>
      <c r="DX320" s="148"/>
      <c r="DY320" s="6">
        <f t="shared" ref="DY320" si="302">DO320+DT320+H320+I320+J320+K320+CG320</f>
        <v>578758</v>
      </c>
      <c r="DZ320" s="6">
        <f t="shared" si="106"/>
        <v>63212</v>
      </c>
      <c r="EA320" s="148"/>
      <c r="EB320" s="6">
        <f t="shared" si="274"/>
        <v>1000493</v>
      </c>
      <c r="EC320" s="6"/>
      <c r="ED320" s="6"/>
      <c r="EE320" s="148"/>
      <c r="EF320" s="6">
        <f t="shared" ref="EF320" si="303">SUM(BE320:CK320)-CG320-BP320</f>
        <v>573172</v>
      </c>
      <c r="EG320" s="6">
        <f t="shared" ref="EG320" si="304">SUM(M320:BC320)-AQ320</f>
        <v>257616</v>
      </c>
      <c r="EH320" s="6">
        <f t="shared" ref="EH320" si="305">SUM(EF320:EG320)</f>
        <v>830788</v>
      </c>
      <c r="EI320" s="36">
        <f t="shared" ref="EI320" si="306">(EF320-EF319)/EF319</f>
        <v>3.199473522081268E-3</v>
      </c>
      <c r="EJ320" s="36">
        <f t="shared" ref="EJ320" si="307">(EG320-EG319)/EG319</f>
        <v>2.2447955368640558E-3</v>
      </c>
      <c r="EM320" s="104"/>
      <c r="EN320" s="104"/>
      <c r="FC320" s="6">
        <f t="shared" si="262"/>
        <v>68965</v>
      </c>
      <c r="FD320" s="6">
        <f t="shared" si="263"/>
        <v>197872</v>
      </c>
      <c r="FE320" s="32">
        <f t="shared" si="264"/>
        <v>453648</v>
      </c>
      <c r="FF320" s="34">
        <f t="shared" si="265"/>
        <v>12723</v>
      </c>
      <c r="FG320" s="31">
        <f t="shared" si="266"/>
        <v>139399</v>
      </c>
      <c r="FH320" s="6">
        <f t="shared" si="267"/>
        <v>14772</v>
      </c>
      <c r="FI320" s="6">
        <f t="shared" si="268"/>
        <v>0</v>
      </c>
      <c r="FU320" s="192">
        <f t="shared" si="149"/>
        <v>87</v>
      </c>
    </row>
    <row r="321" spans="1:177" s="139" customFormat="1">
      <c r="A321" s="171">
        <f t="shared" ref="A321:A322" si="308">AB321+AS321+AD321+AU321</f>
        <v>10525</v>
      </c>
      <c r="B321" s="50">
        <v>41730</v>
      </c>
      <c r="C321" s="139">
        <v>0</v>
      </c>
      <c r="D321" s="139">
        <v>0</v>
      </c>
      <c r="E321" s="139">
        <v>0</v>
      </c>
      <c r="F321" s="139">
        <v>0</v>
      </c>
      <c r="G321" s="139">
        <v>814</v>
      </c>
      <c r="H321" s="139">
        <v>15629</v>
      </c>
      <c r="I321" s="139">
        <v>31969</v>
      </c>
      <c r="J321" s="139">
        <v>4309</v>
      </c>
      <c r="K321" s="139">
        <v>8868</v>
      </c>
      <c r="L321" s="139">
        <v>807</v>
      </c>
      <c r="M321" s="139">
        <v>24177</v>
      </c>
      <c r="N321" s="139">
        <v>1400</v>
      </c>
      <c r="O321" s="110">
        <v>0</v>
      </c>
      <c r="P321" s="139">
        <v>1576</v>
      </c>
      <c r="Q321" s="139">
        <v>11571</v>
      </c>
      <c r="R321" s="139">
        <v>302</v>
      </c>
      <c r="S321" s="139">
        <v>7467</v>
      </c>
      <c r="T321" s="139">
        <v>11617</v>
      </c>
      <c r="U321" s="139">
        <v>50</v>
      </c>
      <c r="V321" s="139">
        <v>891</v>
      </c>
      <c r="W321" s="139">
        <v>351</v>
      </c>
      <c r="X321" s="139">
        <v>9357</v>
      </c>
      <c r="Y321" s="139">
        <v>339</v>
      </c>
      <c r="Z321" s="139">
        <v>7</v>
      </c>
      <c r="AA321" s="152">
        <v>15</v>
      </c>
      <c r="AB321" s="139">
        <v>6</v>
      </c>
      <c r="AC321" s="139">
        <v>283</v>
      </c>
      <c r="AD321" s="139">
        <v>27</v>
      </c>
      <c r="AE321" s="139">
        <v>34</v>
      </c>
      <c r="AF321" s="139">
        <v>39</v>
      </c>
      <c r="AG321" s="139">
        <v>77</v>
      </c>
      <c r="AH321" s="139">
        <v>54</v>
      </c>
      <c r="AI321" s="139">
        <v>410</v>
      </c>
      <c r="AJ321" s="139">
        <v>15</v>
      </c>
      <c r="AK321" s="139">
        <v>12793</v>
      </c>
      <c r="AL321" s="139">
        <v>114060</v>
      </c>
      <c r="AM321" s="139">
        <v>2958</v>
      </c>
      <c r="AN321" s="139">
        <v>21804</v>
      </c>
      <c r="AO321" s="139">
        <v>16</v>
      </c>
      <c r="AP321" s="139">
        <v>1</v>
      </c>
      <c r="AQ321" s="139">
        <v>9828</v>
      </c>
      <c r="AR321" s="139">
        <v>0</v>
      </c>
      <c r="AS321" s="139">
        <v>1887</v>
      </c>
      <c r="AT321" s="139">
        <v>49</v>
      </c>
      <c r="AU321" s="139">
        <v>8605</v>
      </c>
      <c r="AV321" s="139">
        <v>2494</v>
      </c>
      <c r="AW321" s="139">
        <v>4958</v>
      </c>
      <c r="AX321" s="139">
        <v>16584</v>
      </c>
      <c r="AY321" s="152">
        <v>76</v>
      </c>
      <c r="AZ321" s="152">
        <v>40</v>
      </c>
      <c r="BA321" s="152">
        <v>945</v>
      </c>
      <c r="BB321" s="152">
        <v>0</v>
      </c>
      <c r="BC321" s="139">
        <v>259</v>
      </c>
      <c r="BD321" s="145">
        <v>91</v>
      </c>
      <c r="BE321" s="139">
        <v>0</v>
      </c>
      <c r="BF321" s="139">
        <v>0</v>
      </c>
      <c r="BG321" s="139">
        <v>7568</v>
      </c>
      <c r="BH321" s="139">
        <v>0</v>
      </c>
      <c r="BI321" s="139">
        <v>0</v>
      </c>
      <c r="BJ321" s="139">
        <v>0</v>
      </c>
      <c r="BK321" s="139">
        <v>31</v>
      </c>
      <c r="BL321" s="139">
        <v>5199</v>
      </c>
      <c r="BM321" s="145">
        <v>0</v>
      </c>
      <c r="BN321" s="139">
        <v>602</v>
      </c>
      <c r="BO321" s="139">
        <v>5</v>
      </c>
      <c r="BP321" s="139">
        <v>49389</v>
      </c>
      <c r="BQ321" s="139">
        <v>84397</v>
      </c>
      <c r="BR321" s="139">
        <v>366</v>
      </c>
      <c r="BS321" s="139">
        <v>86</v>
      </c>
      <c r="BT321" s="139">
        <v>7839</v>
      </c>
      <c r="BU321" s="139">
        <v>56</v>
      </c>
      <c r="BV321" s="151"/>
      <c r="BW321" s="139">
        <v>4</v>
      </c>
      <c r="BX321" s="139">
        <v>17</v>
      </c>
      <c r="BY321" s="181"/>
      <c r="BZ321" s="139">
        <v>9</v>
      </c>
      <c r="CA321" s="139">
        <v>0</v>
      </c>
      <c r="CB321" s="139">
        <v>23105</v>
      </c>
      <c r="CC321" s="139">
        <v>15068</v>
      </c>
      <c r="CD321" s="139">
        <v>143511</v>
      </c>
      <c r="CE321" s="139">
        <v>260926</v>
      </c>
      <c r="CF321" s="139">
        <v>25682</v>
      </c>
      <c r="CG321" s="139">
        <v>51150</v>
      </c>
      <c r="CH321" s="139">
        <v>0</v>
      </c>
      <c r="CI321" s="139">
        <v>37</v>
      </c>
      <c r="CJ321" s="139">
        <v>3</v>
      </c>
      <c r="CK321" s="139">
        <v>40</v>
      </c>
      <c r="CL321" s="289"/>
      <c r="CM321" s="289"/>
      <c r="CN321" s="289"/>
      <c r="CO321" s="289"/>
      <c r="CP321" s="289"/>
      <c r="CQ321" s="289"/>
      <c r="CR321" s="177"/>
      <c r="CS321" s="186"/>
      <c r="CT321" s="139">
        <v>0</v>
      </c>
      <c r="CU321" s="139">
        <v>0</v>
      </c>
      <c r="CV321" s="139">
        <v>0</v>
      </c>
      <c r="CW321" s="139">
        <v>17</v>
      </c>
      <c r="CX321" s="139">
        <v>0</v>
      </c>
      <c r="CY321" s="139">
        <v>30</v>
      </c>
      <c r="DA321" s="6"/>
      <c r="DC321" s="6"/>
      <c r="DD321" s="6">
        <f t="shared" si="289"/>
        <v>675206</v>
      </c>
      <c r="DE321" s="6">
        <f t="shared" si="102"/>
        <v>266361</v>
      </c>
      <c r="DF321" s="8">
        <f t="shared" ref="DF321" si="309">SUM(DD321:DE321)</f>
        <v>941567</v>
      </c>
      <c r="DG321" s="149"/>
      <c r="DH321" s="191"/>
      <c r="DI321" s="191"/>
      <c r="DJ321" s="191"/>
      <c r="DK321" s="6">
        <f t="shared" si="103"/>
        <v>57142</v>
      </c>
      <c r="DL321" s="6">
        <f t="shared" ref="DL321:DL326" si="310">SUM(Y321:Z321,AB321:AF321,AH321:AM321,AO321,AS321:AW321,BA321:BC321)</f>
        <v>150238</v>
      </c>
      <c r="DM321" s="6">
        <f t="shared" si="270"/>
        <v>11617</v>
      </c>
      <c r="DN321" s="6">
        <f t="shared" si="271"/>
        <v>48294</v>
      </c>
      <c r="DO321" s="6">
        <f t="shared" si="291"/>
        <v>453900</v>
      </c>
      <c r="DP321" s="6">
        <f t="shared" si="219"/>
        <v>92969</v>
      </c>
      <c r="DQ321" s="6"/>
      <c r="DR321" s="6">
        <f t="shared" si="292"/>
        <v>15120</v>
      </c>
      <c r="DS321" s="6">
        <f>BP321</f>
        <v>49389</v>
      </c>
      <c r="DT321" s="6">
        <f t="shared" si="272"/>
        <v>12784</v>
      </c>
      <c r="DU321" s="6"/>
      <c r="DV321" s="6"/>
      <c r="DW321" s="6">
        <f t="shared" ref="DW321" si="311">SUM(DK321:DT321)</f>
        <v>891453</v>
      </c>
      <c r="DX321" s="149"/>
      <c r="DY321" s="6">
        <f t="shared" ref="DY321" si="312">DO321+DT321+H321+I321+J321+K321+CG321</f>
        <v>578609</v>
      </c>
      <c r="DZ321" s="6">
        <f t="shared" si="106"/>
        <v>62396</v>
      </c>
      <c r="EA321" s="149"/>
      <c r="EB321" s="6">
        <f t="shared" si="274"/>
        <v>1003963</v>
      </c>
      <c r="EC321" s="6"/>
      <c r="ED321" s="6"/>
      <c r="EE321" s="149"/>
      <c r="EF321" s="6">
        <f t="shared" ref="EF321" si="313">SUM(BE321:CK321)-CG321-BP321</f>
        <v>574551</v>
      </c>
      <c r="EG321" s="6">
        <f t="shared" ref="EG321" si="314">SUM(M321:BC321)-AQ321</f>
        <v>257594</v>
      </c>
      <c r="EH321" s="6">
        <f t="shared" ref="EH321" si="315">SUM(EF321:EG321)</f>
        <v>832145</v>
      </c>
      <c r="EI321" s="36">
        <f t="shared" ref="EI321" si="316">(EF321-EF320)/EF320</f>
        <v>2.4059095699022282E-3</v>
      </c>
      <c r="EJ321" s="36">
        <f t="shared" ref="EJ321" si="317">(EG321-EG320)/EG320</f>
        <v>-8.5398422458232403E-5</v>
      </c>
      <c r="EM321" s="104"/>
      <c r="EN321" s="104"/>
      <c r="FC321" s="6">
        <f t="shared" si="262"/>
        <v>68759</v>
      </c>
      <c r="FD321" s="6">
        <f t="shared" si="263"/>
        <v>198532</v>
      </c>
      <c r="FE321" s="32">
        <f t="shared" si="264"/>
        <v>453900</v>
      </c>
      <c r="FF321" s="34">
        <f t="shared" si="265"/>
        <v>12784</v>
      </c>
      <c r="FG321" s="31">
        <f t="shared" si="266"/>
        <v>142358</v>
      </c>
      <c r="FH321" s="6">
        <f t="shared" si="267"/>
        <v>15120</v>
      </c>
      <c r="FI321" s="6">
        <f t="shared" si="268"/>
        <v>0</v>
      </c>
      <c r="FU321" s="192">
        <f t="shared" si="149"/>
        <v>131</v>
      </c>
    </row>
    <row r="322" spans="1:177" s="148" customFormat="1">
      <c r="A322" s="171">
        <f t="shared" si="308"/>
        <v>10778</v>
      </c>
      <c r="B322" s="50">
        <v>41760</v>
      </c>
      <c r="C322" s="148">
        <v>0</v>
      </c>
      <c r="D322" s="148">
        <v>0</v>
      </c>
      <c r="E322" s="148">
        <v>0</v>
      </c>
      <c r="F322" s="148">
        <v>0</v>
      </c>
      <c r="G322" s="148">
        <v>634</v>
      </c>
      <c r="H322" s="148">
        <v>16062</v>
      </c>
      <c r="I322" s="148">
        <v>33452</v>
      </c>
      <c r="J322" s="148">
        <v>4254</v>
      </c>
      <c r="K322" s="148">
        <v>8977</v>
      </c>
      <c r="L322" s="148">
        <v>915</v>
      </c>
      <c r="M322" s="148">
        <v>24129</v>
      </c>
      <c r="N322" s="148">
        <v>1408</v>
      </c>
      <c r="O322" s="110">
        <v>0</v>
      </c>
      <c r="P322" s="148">
        <v>1549</v>
      </c>
      <c r="Q322" s="148">
        <v>11561</v>
      </c>
      <c r="R322" s="148">
        <v>300</v>
      </c>
      <c r="S322" s="148">
        <v>7453</v>
      </c>
      <c r="T322" s="148">
        <v>11642</v>
      </c>
      <c r="U322" s="148">
        <v>47</v>
      </c>
      <c r="V322" s="148">
        <v>946</v>
      </c>
      <c r="W322" s="148">
        <v>341</v>
      </c>
      <c r="X322" s="148">
        <v>9415</v>
      </c>
      <c r="Y322" s="148">
        <v>339</v>
      </c>
      <c r="Z322" s="148">
        <v>8</v>
      </c>
      <c r="AA322" s="152">
        <v>25</v>
      </c>
      <c r="AB322" s="148">
        <v>6</v>
      </c>
      <c r="AC322" s="148">
        <v>287</v>
      </c>
      <c r="AD322" s="148">
        <v>26</v>
      </c>
      <c r="AE322" s="148">
        <v>34</v>
      </c>
      <c r="AF322" s="148">
        <v>39</v>
      </c>
      <c r="AG322" s="148">
        <v>77</v>
      </c>
      <c r="AH322" s="148">
        <v>56</v>
      </c>
      <c r="AI322" s="148">
        <v>441</v>
      </c>
      <c r="AJ322" s="148">
        <v>15</v>
      </c>
      <c r="AK322" s="148">
        <v>12885</v>
      </c>
      <c r="AL322" s="148">
        <v>113987</v>
      </c>
      <c r="AM322" s="148">
        <v>2957</v>
      </c>
      <c r="AN322" s="148">
        <v>21809</v>
      </c>
      <c r="AO322" s="148">
        <v>14</v>
      </c>
      <c r="AP322" s="148">
        <v>2</v>
      </c>
      <c r="AQ322" s="148">
        <v>10210</v>
      </c>
      <c r="AR322" s="148">
        <v>0</v>
      </c>
      <c r="AS322" s="148">
        <v>1756</v>
      </c>
      <c r="AT322" s="148">
        <v>48</v>
      </c>
      <c r="AU322" s="148">
        <v>8990</v>
      </c>
      <c r="AV322" s="148">
        <v>2508</v>
      </c>
      <c r="AW322" s="148">
        <v>4998</v>
      </c>
      <c r="AX322" s="148">
        <v>16596</v>
      </c>
      <c r="AY322" s="152">
        <v>48</v>
      </c>
      <c r="AZ322" s="152">
        <v>62</v>
      </c>
      <c r="BA322" s="152">
        <v>945</v>
      </c>
      <c r="BB322" s="152">
        <v>0</v>
      </c>
      <c r="BC322" s="148">
        <v>251</v>
      </c>
      <c r="BD322" s="148">
        <v>132</v>
      </c>
      <c r="BE322" s="148">
        <v>0</v>
      </c>
      <c r="BF322" s="148">
        <v>0</v>
      </c>
      <c r="BG322" s="148">
        <v>7645</v>
      </c>
      <c r="BH322" s="148">
        <v>0</v>
      </c>
      <c r="BI322" s="148">
        <v>0</v>
      </c>
      <c r="BJ322" s="148">
        <v>0</v>
      </c>
      <c r="BK322" s="148">
        <v>40</v>
      </c>
      <c r="BL322" s="148">
        <v>5159</v>
      </c>
      <c r="BM322" s="148">
        <v>3</v>
      </c>
      <c r="BN322" s="148">
        <v>565</v>
      </c>
      <c r="BO322" s="148">
        <v>5</v>
      </c>
      <c r="BP322" s="148">
        <v>53626</v>
      </c>
      <c r="BQ322" s="148">
        <v>84110</v>
      </c>
      <c r="BR322" s="148">
        <v>340</v>
      </c>
      <c r="BS322" s="148">
        <v>85</v>
      </c>
      <c r="BT322" s="148">
        <v>8975</v>
      </c>
      <c r="BU322" s="148">
        <v>56</v>
      </c>
      <c r="BV322" s="151">
        <v>1</v>
      </c>
      <c r="BW322" s="148">
        <v>5</v>
      </c>
      <c r="BX322" s="148">
        <v>15</v>
      </c>
      <c r="BY322" s="181"/>
      <c r="BZ322" s="148">
        <v>13</v>
      </c>
      <c r="CA322" s="148">
        <v>0</v>
      </c>
      <c r="CB322" s="148">
        <v>23074</v>
      </c>
      <c r="CC322" s="148">
        <v>15620</v>
      </c>
      <c r="CD322" s="148">
        <v>143720</v>
      </c>
      <c r="CE322" s="148">
        <v>262926</v>
      </c>
      <c r="CF322" s="148">
        <v>25830</v>
      </c>
      <c r="CG322" s="148">
        <v>51105</v>
      </c>
      <c r="CH322" s="148">
        <v>0</v>
      </c>
      <c r="CI322" s="148">
        <v>42</v>
      </c>
      <c r="CJ322" s="148">
        <v>3</v>
      </c>
      <c r="CK322" s="148">
        <v>40</v>
      </c>
      <c r="CL322" s="289"/>
      <c r="CM322" s="289"/>
      <c r="CN322" s="289"/>
      <c r="CO322" s="289"/>
      <c r="CP322" s="289"/>
      <c r="CQ322" s="289"/>
      <c r="CR322" s="177"/>
      <c r="CS322" s="186"/>
      <c r="CT322" s="148">
        <v>0</v>
      </c>
      <c r="CU322" s="148">
        <v>0</v>
      </c>
      <c r="CV322" s="148">
        <v>0</v>
      </c>
      <c r="CW322" s="148">
        <v>16</v>
      </c>
      <c r="CX322" s="148">
        <v>0</v>
      </c>
      <c r="CY322" s="148">
        <v>30</v>
      </c>
      <c r="DA322" s="6"/>
      <c r="DC322" s="6"/>
      <c r="DD322" s="6">
        <f t="shared" si="289"/>
        <v>683113</v>
      </c>
      <c r="DE322" s="6">
        <f t="shared" si="102"/>
        <v>267155</v>
      </c>
      <c r="DF322" s="8">
        <f t="shared" ref="DF322:DF327" si="318">SUM(DD322:DE322)</f>
        <v>950268</v>
      </c>
      <c r="DG322" s="151"/>
      <c r="DH322" s="191"/>
      <c r="DI322" s="191"/>
      <c r="DJ322" s="191"/>
      <c r="DK322" s="6">
        <f t="shared" si="103"/>
        <v>57149</v>
      </c>
      <c r="DL322" s="6">
        <f t="shared" si="310"/>
        <v>150590</v>
      </c>
      <c r="DM322" s="6">
        <f t="shared" si="270"/>
        <v>11642</v>
      </c>
      <c r="DN322" s="6">
        <f t="shared" si="271"/>
        <v>48694</v>
      </c>
      <c r="DO322" s="6">
        <f t="shared" ref="DO322:DO327" si="319">SUM(AY322,BF322,BI322,BK322,BO322,BR322:BS322,BU322,BW322,BZ322:CB322,CD322:CF322,CJ322:CK322)</f>
        <v>456185</v>
      </c>
      <c r="DP322" s="6">
        <f t="shared" ref="DP322:DP327" si="320">SUM(AZ322,BD322:BE322,BH322,BN322,BQ322,BT322)</f>
        <v>93844</v>
      </c>
      <c r="DQ322" s="6"/>
      <c r="DR322" s="6">
        <f t="shared" si="292"/>
        <v>15687</v>
      </c>
      <c r="DS322" s="6">
        <f t="shared" ref="DS322:DS327" si="321">BP322+BV322</f>
        <v>53627</v>
      </c>
      <c r="DT322" s="6">
        <f t="shared" si="272"/>
        <v>12822</v>
      </c>
      <c r="DU322" s="6"/>
      <c r="DV322" s="6"/>
      <c r="DW322" s="6">
        <f t="shared" ref="DW322" si="322">SUM(DK322:DT322)</f>
        <v>900240</v>
      </c>
      <c r="DX322" s="151"/>
      <c r="DY322" s="6">
        <f t="shared" ref="DY322" si="323">DO322+DT322+H322+I322+J322+K322+CG322</f>
        <v>582857</v>
      </c>
      <c r="DZ322" s="6">
        <f t="shared" si="106"/>
        <v>64294</v>
      </c>
      <c r="EA322" s="151"/>
      <c r="EB322" s="6">
        <f t="shared" si="274"/>
        <v>1014562</v>
      </c>
      <c r="EC322" s="6"/>
      <c r="ED322" s="6"/>
      <c r="EE322" s="151"/>
      <c r="EF322" s="6">
        <f t="shared" ref="EF322" si="324">SUM(BE322:CK322)-CG322-BP322</f>
        <v>578272</v>
      </c>
      <c r="EG322" s="6">
        <f t="shared" ref="EG322" si="325">SUM(M322:BC322)-AQ322</f>
        <v>258000</v>
      </c>
      <c r="EH322" s="6">
        <f t="shared" ref="EH322" si="326">SUM(EF322:EG322)</f>
        <v>836272</v>
      </c>
      <c r="EI322" s="36">
        <f t="shared" ref="EI322" si="327">(EF322-EF321)/EF321</f>
        <v>6.4763615414471475E-3</v>
      </c>
      <c r="EJ322" s="36">
        <f t="shared" ref="EJ322" si="328">(EG322-EG321)/EG321</f>
        <v>1.5761236674767269E-3</v>
      </c>
      <c r="EM322" s="104"/>
      <c r="EN322" s="104"/>
      <c r="FC322" s="6">
        <f t="shared" si="262"/>
        <v>68791</v>
      </c>
      <c r="FD322" s="6">
        <f t="shared" si="263"/>
        <v>199284</v>
      </c>
      <c r="FE322" s="32">
        <f t="shared" si="264"/>
        <v>456185</v>
      </c>
      <c r="FF322" s="34">
        <f t="shared" si="265"/>
        <v>12822</v>
      </c>
      <c r="FG322" s="31">
        <f t="shared" si="266"/>
        <v>147471</v>
      </c>
      <c r="FH322" s="6">
        <f t="shared" si="267"/>
        <v>15687</v>
      </c>
      <c r="FI322" s="6">
        <f t="shared" si="268"/>
        <v>0</v>
      </c>
      <c r="FU322" s="192">
        <f t="shared" si="149"/>
        <v>139</v>
      </c>
    </row>
    <row r="323" spans="1:177" s="149" customFormat="1">
      <c r="A323" s="171">
        <f>AB323+AS323+AD323+AU323</f>
        <v>10788</v>
      </c>
      <c r="B323" s="50">
        <v>41791</v>
      </c>
      <c r="C323" s="149">
        <v>0</v>
      </c>
      <c r="D323" s="149">
        <v>0</v>
      </c>
      <c r="E323" s="149">
        <v>0</v>
      </c>
      <c r="F323" s="149">
        <v>0</v>
      </c>
      <c r="G323" s="149">
        <v>452</v>
      </c>
      <c r="H323" s="149">
        <v>16179</v>
      </c>
      <c r="I323" s="149">
        <v>34383</v>
      </c>
      <c r="J323" s="149">
        <v>4092</v>
      </c>
      <c r="K323" s="149">
        <v>8788</v>
      </c>
      <c r="L323" s="149">
        <v>990</v>
      </c>
      <c r="M323" s="149">
        <v>24096</v>
      </c>
      <c r="N323" s="149">
        <v>1400</v>
      </c>
      <c r="O323" s="110">
        <v>0</v>
      </c>
      <c r="P323" s="149">
        <v>1513</v>
      </c>
      <c r="Q323" s="149">
        <v>11596</v>
      </c>
      <c r="R323" s="149">
        <v>307</v>
      </c>
      <c r="S323" s="149">
        <v>7457</v>
      </c>
      <c r="T323" s="149">
        <v>11631</v>
      </c>
      <c r="U323" s="149">
        <v>45</v>
      </c>
      <c r="V323" s="149">
        <v>995</v>
      </c>
      <c r="W323" s="149">
        <v>323</v>
      </c>
      <c r="X323" s="149">
        <v>9563</v>
      </c>
      <c r="Y323" s="149">
        <v>341</v>
      </c>
      <c r="Z323" s="149">
        <v>9</v>
      </c>
      <c r="AA323" s="152">
        <v>18</v>
      </c>
      <c r="AB323" s="149">
        <v>6</v>
      </c>
      <c r="AC323" s="149">
        <v>290</v>
      </c>
      <c r="AD323" s="149">
        <v>25</v>
      </c>
      <c r="AE323" s="149">
        <v>33</v>
      </c>
      <c r="AF323" s="149">
        <v>37</v>
      </c>
      <c r="AG323" s="149">
        <v>81</v>
      </c>
      <c r="AH323" s="149">
        <v>62</v>
      </c>
      <c r="AI323" s="149">
        <v>471</v>
      </c>
      <c r="AJ323" s="149">
        <v>15</v>
      </c>
      <c r="AK323" s="149">
        <v>13223</v>
      </c>
      <c r="AL323" s="149">
        <v>114103</v>
      </c>
      <c r="AM323" s="149">
        <v>2936</v>
      </c>
      <c r="AN323" s="149">
        <v>21779</v>
      </c>
      <c r="AO323" s="149">
        <v>15</v>
      </c>
      <c r="AP323" s="149">
        <v>0</v>
      </c>
      <c r="AQ323" s="149">
        <v>10477</v>
      </c>
      <c r="AR323" s="149">
        <v>0</v>
      </c>
      <c r="AS323" s="149">
        <v>1534</v>
      </c>
      <c r="AT323" s="149">
        <v>49</v>
      </c>
      <c r="AU323" s="149">
        <v>9223</v>
      </c>
      <c r="AV323" s="149">
        <v>2526</v>
      </c>
      <c r="AW323" s="149">
        <v>5010</v>
      </c>
      <c r="AX323" s="149">
        <v>16624</v>
      </c>
      <c r="AY323" s="152">
        <v>54</v>
      </c>
      <c r="AZ323" s="152">
        <v>87</v>
      </c>
      <c r="BA323" s="152">
        <v>941</v>
      </c>
      <c r="BB323" s="152">
        <v>0</v>
      </c>
      <c r="BC323" s="149">
        <v>272</v>
      </c>
      <c r="BD323" s="149">
        <v>184</v>
      </c>
      <c r="BE323" s="149">
        <v>0</v>
      </c>
      <c r="BF323" s="149">
        <v>0</v>
      </c>
      <c r="BG323" s="149">
        <v>7634</v>
      </c>
      <c r="BH323" s="149">
        <v>0</v>
      </c>
      <c r="BI323" s="149">
        <v>0</v>
      </c>
      <c r="BJ323" s="149">
        <v>0</v>
      </c>
      <c r="BK323" s="149">
        <v>45</v>
      </c>
      <c r="BL323" s="149">
        <v>5207</v>
      </c>
      <c r="BM323" s="149">
        <v>3</v>
      </c>
      <c r="BN323" s="149">
        <v>582</v>
      </c>
      <c r="BO323" s="149">
        <v>5</v>
      </c>
      <c r="BP323" s="149">
        <v>57280</v>
      </c>
      <c r="BQ323" s="149">
        <v>83366</v>
      </c>
      <c r="BR323" s="149">
        <v>346</v>
      </c>
      <c r="BS323" s="149">
        <v>88</v>
      </c>
      <c r="BT323" s="149">
        <v>10177</v>
      </c>
      <c r="BU323" s="149">
        <v>58</v>
      </c>
      <c r="BV323" s="151">
        <v>33</v>
      </c>
      <c r="BW323" s="149">
        <v>5</v>
      </c>
      <c r="BX323" s="149">
        <v>14</v>
      </c>
      <c r="BY323" s="181"/>
      <c r="BZ323" s="149">
        <v>16</v>
      </c>
      <c r="CA323" s="149">
        <v>0</v>
      </c>
      <c r="CB323" s="149">
        <v>23092</v>
      </c>
      <c r="CC323" s="149">
        <v>15931</v>
      </c>
      <c r="CD323" s="149">
        <v>143429</v>
      </c>
      <c r="CE323" s="149">
        <v>263975</v>
      </c>
      <c r="CF323" s="149">
        <v>25846</v>
      </c>
      <c r="CG323" s="149">
        <v>51131</v>
      </c>
      <c r="CH323" s="149">
        <v>0</v>
      </c>
      <c r="CI323" s="149">
        <v>44</v>
      </c>
      <c r="CJ323" s="149">
        <v>5</v>
      </c>
      <c r="CK323" s="149">
        <v>42</v>
      </c>
      <c r="CL323" s="289"/>
      <c r="CM323" s="289"/>
      <c r="CN323" s="289"/>
      <c r="CO323" s="289"/>
      <c r="CP323" s="289"/>
      <c r="CQ323" s="289"/>
      <c r="CR323" s="177"/>
      <c r="CS323" s="186"/>
      <c r="CT323" s="149">
        <v>0</v>
      </c>
      <c r="CU323" s="149">
        <v>0</v>
      </c>
      <c r="CV323" s="149">
        <v>0</v>
      </c>
      <c r="CW323" s="149">
        <v>16</v>
      </c>
      <c r="CX323" s="149">
        <v>0</v>
      </c>
      <c r="CY323" s="149">
        <v>30</v>
      </c>
      <c r="DA323" s="6"/>
      <c r="DC323" s="6"/>
      <c r="DD323" s="6">
        <f t="shared" si="289"/>
        <v>688495</v>
      </c>
      <c r="DE323" s="6">
        <f t="shared" si="102"/>
        <v>268085</v>
      </c>
      <c r="DF323" s="8">
        <f t="shared" si="318"/>
        <v>956580</v>
      </c>
      <c r="DG323" s="171"/>
      <c r="DH323" s="191"/>
      <c r="DI323" s="191"/>
      <c r="DJ323" s="191"/>
      <c r="DK323" s="6">
        <f t="shared" si="103"/>
        <v>57295</v>
      </c>
      <c r="DL323" s="6">
        <f t="shared" si="310"/>
        <v>151121</v>
      </c>
      <c r="DM323" s="6">
        <f t="shared" ref="DM323" si="329">T323</f>
        <v>11631</v>
      </c>
      <c r="DN323" s="6">
        <f t="shared" ref="DN323" si="330">AG323+AX323+AN323+AP323+AQ323+AR323</f>
        <v>48961</v>
      </c>
      <c r="DO323" s="6">
        <f t="shared" si="319"/>
        <v>457006</v>
      </c>
      <c r="DP323" s="6">
        <f t="shared" si="320"/>
        <v>94396</v>
      </c>
      <c r="DQ323" s="6">
        <f t="shared" ref="DQ323:DQ329" si="331">BY323</f>
        <v>0</v>
      </c>
      <c r="DR323" s="6">
        <f t="shared" si="292"/>
        <v>15993</v>
      </c>
      <c r="DS323" s="6">
        <f t="shared" si="321"/>
        <v>57313</v>
      </c>
      <c r="DT323" s="6">
        <f t="shared" ref="DT323" si="332">BG323+BJ323+BL323+BM323+BX323</f>
        <v>12858</v>
      </c>
      <c r="DU323" s="6"/>
      <c r="DV323" s="6"/>
      <c r="DW323" s="6">
        <f t="shared" ref="DW323" si="333">SUM(DK323:DT323)</f>
        <v>906574</v>
      </c>
      <c r="DX323" s="171"/>
      <c r="DY323" s="6">
        <f t="shared" ref="DY323" si="334">DO323+DT323+H323+I323+J323+K323+CG323</f>
        <v>584437</v>
      </c>
      <c r="DZ323" s="6">
        <f t="shared" si="106"/>
        <v>64884</v>
      </c>
      <c r="EA323" s="171"/>
      <c r="EB323" s="6">
        <f t="shared" ref="EB323" si="335">DZ323+DF323</f>
        <v>1021464</v>
      </c>
      <c r="EC323" s="6"/>
      <c r="ED323" s="6"/>
      <c r="EF323" s="6">
        <f t="shared" ref="EF323" si="336">SUM(BE323:CK323)-CG323-BP323</f>
        <v>579943</v>
      </c>
      <c r="EG323" s="6">
        <f t="shared" ref="EG323" si="337">SUM(M323:BC323)-AQ323</f>
        <v>258690</v>
      </c>
      <c r="EH323" s="6">
        <f t="shared" ref="EH323" si="338">SUM(EF323:EG323)</f>
        <v>838633</v>
      </c>
      <c r="EI323" s="36">
        <f t="shared" ref="EI323" si="339">(EF323-EF322)/EF322</f>
        <v>2.8896436279121245E-3</v>
      </c>
      <c r="EJ323" s="36">
        <f t="shared" ref="EJ323" si="340">(EG323-EG322)/EG322</f>
        <v>2.6744186046511629E-3</v>
      </c>
      <c r="EM323" s="104"/>
      <c r="EN323" s="104"/>
      <c r="FC323" s="6">
        <f t="shared" si="262"/>
        <v>68926</v>
      </c>
      <c r="FD323" s="6">
        <f t="shared" si="263"/>
        <v>200082</v>
      </c>
      <c r="FE323" s="32">
        <f t="shared" si="264"/>
        <v>457006</v>
      </c>
      <c r="FF323" s="34">
        <f t="shared" si="265"/>
        <v>12858</v>
      </c>
      <c r="FG323" s="31">
        <f t="shared" si="266"/>
        <v>151709</v>
      </c>
      <c r="FH323" s="6">
        <f t="shared" si="267"/>
        <v>15993</v>
      </c>
      <c r="FI323" s="6">
        <f t="shared" si="268"/>
        <v>0</v>
      </c>
      <c r="FU323" s="192">
        <f t="shared" si="149"/>
        <v>195</v>
      </c>
    </row>
    <row r="324" spans="1:177" s="172" customFormat="1">
      <c r="A324" s="173">
        <f>AB324+AS324+AD324+AU324</f>
        <v>10710</v>
      </c>
      <c r="B324" s="50">
        <v>41821</v>
      </c>
      <c r="C324" s="173">
        <v>0</v>
      </c>
      <c r="D324" s="173">
        <v>0</v>
      </c>
      <c r="E324" s="173">
        <v>0</v>
      </c>
      <c r="F324" s="173">
        <v>0</v>
      </c>
      <c r="G324" s="173">
        <v>287</v>
      </c>
      <c r="H324" s="173">
        <v>16107</v>
      </c>
      <c r="I324" s="173">
        <v>35006</v>
      </c>
      <c r="J324" s="173">
        <v>3879</v>
      </c>
      <c r="K324" s="173">
        <v>8418</v>
      </c>
      <c r="L324" s="184">
        <v>1037</v>
      </c>
      <c r="M324" s="173">
        <v>24084</v>
      </c>
      <c r="N324" s="173">
        <v>1384</v>
      </c>
      <c r="O324" s="110">
        <v>0</v>
      </c>
      <c r="P324" s="173">
        <v>1504</v>
      </c>
      <c r="Q324" s="173">
        <v>11633</v>
      </c>
      <c r="R324" s="173">
        <v>308</v>
      </c>
      <c r="S324" s="173">
        <v>7456</v>
      </c>
      <c r="T324" s="173">
        <v>11644</v>
      </c>
      <c r="U324" s="184">
        <v>45</v>
      </c>
      <c r="V324" s="184">
        <v>1079</v>
      </c>
      <c r="W324" s="173">
        <v>318</v>
      </c>
      <c r="X324" s="173">
        <v>9722</v>
      </c>
      <c r="Y324" s="173">
        <v>341</v>
      </c>
      <c r="Z324" s="173">
        <v>9</v>
      </c>
      <c r="AA324" s="183">
        <v>13</v>
      </c>
      <c r="AB324" s="173">
        <v>6</v>
      </c>
      <c r="AC324" s="173">
        <v>298</v>
      </c>
      <c r="AD324" s="173">
        <v>26</v>
      </c>
      <c r="AE324" s="173">
        <v>33</v>
      </c>
      <c r="AF324" s="173">
        <v>39</v>
      </c>
      <c r="AG324" s="173">
        <v>77</v>
      </c>
      <c r="AH324" s="173">
        <v>68</v>
      </c>
      <c r="AI324" s="173">
        <v>509</v>
      </c>
      <c r="AJ324" s="173">
        <v>16</v>
      </c>
      <c r="AK324" s="173">
        <v>13450</v>
      </c>
      <c r="AL324" s="173">
        <v>113753</v>
      </c>
      <c r="AM324" s="173">
        <v>2934</v>
      </c>
      <c r="AN324" s="173">
        <v>21884</v>
      </c>
      <c r="AO324" s="173">
        <v>17</v>
      </c>
      <c r="AP324" s="173">
        <v>1</v>
      </c>
      <c r="AQ324" s="173">
        <v>10764</v>
      </c>
      <c r="AR324" s="173">
        <v>0</v>
      </c>
      <c r="AS324" s="173">
        <v>1273</v>
      </c>
      <c r="AT324" s="173">
        <v>47</v>
      </c>
      <c r="AU324" s="173">
        <v>9405</v>
      </c>
      <c r="AV324" s="173">
        <v>2560</v>
      </c>
      <c r="AW324" s="173">
        <v>5054</v>
      </c>
      <c r="AX324" s="173">
        <v>16741</v>
      </c>
      <c r="AY324" s="152">
        <v>76</v>
      </c>
      <c r="AZ324" s="152">
        <v>90</v>
      </c>
      <c r="BA324" s="152">
        <v>955</v>
      </c>
      <c r="BB324" s="152">
        <v>0</v>
      </c>
      <c r="BC324" s="173">
        <v>252</v>
      </c>
      <c r="BD324" s="173">
        <v>238</v>
      </c>
      <c r="BE324" s="173">
        <v>0</v>
      </c>
      <c r="BF324" s="173">
        <v>0</v>
      </c>
      <c r="BG324" s="173">
        <v>7590</v>
      </c>
      <c r="BH324" s="173">
        <v>0</v>
      </c>
      <c r="BI324" s="173">
        <v>0</v>
      </c>
      <c r="BJ324" s="173">
        <v>0</v>
      </c>
      <c r="BK324" s="173">
        <v>49</v>
      </c>
      <c r="BL324" s="173">
        <v>5247</v>
      </c>
      <c r="BM324" s="173">
        <v>0</v>
      </c>
      <c r="BN324" s="173">
        <v>578</v>
      </c>
      <c r="BO324" s="173">
        <v>5</v>
      </c>
      <c r="BP324" s="173">
        <v>60462</v>
      </c>
      <c r="BQ324" s="173">
        <v>82309</v>
      </c>
      <c r="BR324" s="173">
        <v>334</v>
      </c>
      <c r="BS324" s="173">
        <v>94</v>
      </c>
      <c r="BT324" s="173">
        <v>11477</v>
      </c>
      <c r="BU324" s="173">
        <v>69</v>
      </c>
      <c r="BV324" s="173">
        <v>21</v>
      </c>
      <c r="BW324" s="173">
        <v>4</v>
      </c>
      <c r="BX324" s="173">
        <v>17</v>
      </c>
      <c r="BY324" s="181"/>
      <c r="BZ324" s="173">
        <v>15</v>
      </c>
      <c r="CA324" s="173">
        <v>0</v>
      </c>
      <c r="CB324" s="173">
        <v>23013</v>
      </c>
      <c r="CC324" s="173">
        <v>16353</v>
      </c>
      <c r="CD324" s="173">
        <v>142535</v>
      </c>
      <c r="CE324" s="173">
        <v>264229</v>
      </c>
      <c r="CF324" s="173">
        <v>26222</v>
      </c>
      <c r="CG324" s="173">
        <v>51046</v>
      </c>
      <c r="CH324" s="173">
        <v>0</v>
      </c>
      <c r="CI324" s="173">
        <v>45</v>
      </c>
      <c r="CJ324" s="173">
        <v>5</v>
      </c>
      <c r="CK324" s="173">
        <v>40</v>
      </c>
      <c r="CL324" s="289"/>
      <c r="CM324" s="289"/>
      <c r="CN324" s="289"/>
      <c r="CO324" s="289"/>
      <c r="CP324" s="289"/>
      <c r="CQ324" s="289"/>
      <c r="CR324" s="177"/>
      <c r="CS324" s="186"/>
      <c r="CT324" s="173">
        <v>0</v>
      </c>
      <c r="CU324" s="173">
        <v>0</v>
      </c>
      <c r="CV324" s="173">
        <v>0</v>
      </c>
      <c r="CW324" s="173">
        <v>16</v>
      </c>
      <c r="CX324" s="173">
        <v>0</v>
      </c>
      <c r="CY324" s="172">
        <v>30</v>
      </c>
      <c r="DA324" s="6"/>
      <c r="DC324" s="6"/>
      <c r="DD324" s="6">
        <f t="shared" si="289"/>
        <v>691925</v>
      </c>
      <c r="DE324" s="6">
        <f t="shared" si="102"/>
        <v>268747</v>
      </c>
      <c r="DF324" s="8">
        <f t="shared" si="318"/>
        <v>960672</v>
      </c>
      <c r="DG324" s="173"/>
      <c r="DH324" s="191"/>
      <c r="DI324" s="191"/>
      <c r="DJ324" s="191"/>
      <c r="DK324" s="6">
        <f t="shared" si="103"/>
        <v>57533</v>
      </c>
      <c r="DL324" s="6">
        <f t="shared" si="310"/>
        <v>151045</v>
      </c>
      <c r="DM324" s="6">
        <f t="shared" ref="DM324" si="341">T324</f>
        <v>11644</v>
      </c>
      <c r="DN324" s="6">
        <f t="shared" ref="DN324" si="342">AG324+AX324+AN324+AP324+AQ324+AR324</f>
        <v>49467</v>
      </c>
      <c r="DO324" s="6">
        <f t="shared" si="319"/>
        <v>456690</v>
      </c>
      <c r="DP324" s="6">
        <f t="shared" si="320"/>
        <v>94692</v>
      </c>
      <c r="DQ324" s="6">
        <f t="shared" si="331"/>
        <v>0</v>
      </c>
      <c r="DR324" s="6">
        <f t="shared" si="292"/>
        <v>16411</v>
      </c>
      <c r="DS324" s="6">
        <f t="shared" si="321"/>
        <v>60483</v>
      </c>
      <c r="DT324" s="6">
        <f t="shared" ref="DT324" si="343">BG324+BJ324+BL324+BM324+BX324</f>
        <v>12854</v>
      </c>
      <c r="DU324" s="6"/>
      <c r="DV324" s="6"/>
      <c r="DW324" s="6">
        <f t="shared" ref="DW324" si="344">SUM(DK324:DT324)</f>
        <v>910819</v>
      </c>
      <c r="DX324" s="173"/>
      <c r="DY324" s="6">
        <f t="shared" ref="DY324" si="345">DO324+DT324+H324+I324+J324+K324+CG324</f>
        <v>584000</v>
      </c>
      <c r="DZ324" s="6">
        <f t="shared" si="106"/>
        <v>64734</v>
      </c>
      <c r="EA324" s="173"/>
      <c r="EB324" s="6">
        <f t="shared" ref="EB324" si="346">DZ324+DF324</f>
        <v>1025406</v>
      </c>
      <c r="EC324" s="6"/>
      <c r="ED324" s="6"/>
      <c r="EE324" s="173"/>
      <c r="EF324" s="6">
        <f t="shared" ref="EF324" si="347">SUM(BE324:CK324)-CG324-BP324</f>
        <v>580251</v>
      </c>
      <c r="EG324" s="6">
        <f t="shared" ref="EG324" si="348">SUM(M324:BC324)-AQ324</f>
        <v>259104</v>
      </c>
      <c r="EH324" s="6">
        <f t="shared" ref="EH324" si="349">SUM(EF324:EG324)</f>
        <v>839355</v>
      </c>
      <c r="EI324" s="36">
        <f t="shared" ref="EI324" si="350">(EF324-EF323)/EF323</f>
        <v>5.3108667575951427E-4</v>
      </c>
      <c r="EJ324" s="36">
        <f t="shared" ref="EJ324" si="351">(EG324-EG323)/EG323</f>
        <v>1.600371100545054E-3</v>
      </c>
      <c r="EM324" s="104"/>
      <c r="EN324" s="104"/>
      <c r="FC324" s="6">
        <f t="shared" si="262"/>
        <v>69177</v>
      </c>
      <c r="FD324" s="6">
        <f t="shared" si="263"/>
        <v>200512</v>
      </c>
      <c r="FE324" s="32">
        <f t="shared" si="264"/>
        <v>456690</v>
      </c>
      <c r="FF324" s="34">
        <f t="shared" si="265"/>
        <v>12854</v>
      </c>
      <c r="FG324" s="31">
        <f t="shared" si="266"/>
        <v>155175</v>
      </c>
      <c r="FH324" s="6">
        <f t="shared" si="267"/>
        <v>16411</v>
      </c>
      <c r="FI324" s="6">
        <f t="shared" si="268"/>
        <v>0</v>
      </c>
      <c r="FU324" s="192">
        <f t="shared" si="149"/>
        <v>200</v>
      </c>
    </row>
    <row r="325" spans="1:177" s="172" customFormat="1">
      <c r="A325" s="173"/>
      <c r="B325" s="50">
        <v>41852</v>
      </c>
      <c r="C325" s="173">
        <v>0</v>
      </c>
      <c r="D325" s="173">
        <v>0</v>
      </c>
      <c r="E325" s="173">
        <v>0</v>
      </c>
      <c r="F325" s="173">
        <v>0</v>
      </c>
      <c r="G325" s="173">
        <v>170</v>
      </c>
      <c r="H325" s="173">
        <v>16274</v>
      </c>
      <c r="I325" s="173">
        <v>35439</v>
      </c>
      <c r="J325" s="173">
        <v>3640</v>
      </c>
      <c r="K325" s="173">
        <v>7969</v>
      </c>
      <c r="L325" s="173">
        <v>1070</v>
      </c>
      <c r="M325" s="173">
        <v>24046</v>
      </c>
      <c r="N325" s="173">
        <v>1389</v>
      </c>
      <c r="O325" s="110">
        <v>0</v>
      </c>
      <c r="P325" s="173">
        <v>1463</v>
      </c>
      <c r="Q325" s="173">
        <v>11563</v>
      </c>
      <c r="R325" s="173">
        <v>308</v>
      </c>
      <c r="S325" s="173">
        <v>7390</v>
      </c>
      <c r="T325" s="173">
        <v>11627</v>
      </c>
      <c r="U325" s="173">
        <v>44</v>
      </c>
      <c r="V325" s="173">
        <v>1127</v>
      </c>
      <c r="W325" s="173">
        <v>298</v>
      </c>
      <c r="X325" s="173">
        <v>9670</v>
      </c>
      <c r="Y325" s="173">
        <v>345</v>
      </c>
      <c r="Z325" s="173">
        <v>10</v>
      </c>
      <c r="AA325" s="152">
        <v>25</v>
      </c>
      <c r="AB325" s="173">
        <v>5</v>
      </c>
      <c r="AC325" s="173">
        <v>286</v>
      </c>
      <c r="AD325" s="173">
        <v>27</v>
      </c>
      <c r="AE325" s="173">
        <v>32</v>
      </c>
      <c r="AF325" s="173">
        <v>40</v>
      </c>
      <c r="AG325" s="173">
        <v>73</v>
      </c>
      <c r="AH325" s="173">
        <v>71</v>
      </c>
      <c r="AI325" s="173">
        <v>522</v>
      </c>
      <c r="AJ325" s="173">
        <v>14</v>
      </c>
      <c r="AK325" s="173">
        <v>13589</v>
      </c>
      <c r="AL325" s="173">
        <v>113806</v>
      </c>
      <c r="AM325" s="173">
        <v>2925</v>
      </c>
      <c r="AN325" s="173">
        <v>21930</v>
      </c>
      <c r="AO325" s="173">
        <v>20</v>
      </c>
      <c r="AP325" s="173">
        <v>0</v>
      </c>
      <c r="AQ325" s="173">
        <v>10947</v>
      </c>
      <c r="AR325" s="173">
        <v>0</v>
      </c>
      <c r="AS325" s="173">
        <v>1090</v>
      </c>
      <c r="AT325" s="173">
        <v>45</v>
      </c>
      <c r="AU325" s="173">
        <v>9601</v>
      </c>
      <c r="AV325" s="173">
        <v>2566</v>
      </c>
      <c r="AW325" s="173">
        <v>5079</v>
      </c>
      <c r="AX325" s="173">
        <v>16828</v>
      </c>
      <c r="AY325" s="152">
        <v>46</v>
      </c>
      <c r="AZ325" s="152">
        <v>77</v>
      </c>
      <c r="BA325" s="152">
        <v>967</v>
      </c>
      <c r="BB325" s="152">
        <v>0</v>
      </c>
      <c r="BC325" s="173">
        <v>257</v>
      </c>
      <c r="BD325" s="173">
        <v>258</v>
      </c>
      <c r="BE325" s="173">
        <v>0</v>
      </c>
      <c r="BF325" s="173">
        <v>0</v>
      </c>
      <c r="BG325" s="173">
        <v>7614</v>
      </c>
      <c r="BH325" s="173">
        <v>0</v>
      </c>
      <c r="BI325" s="173">
        <v>0</v>
      </c>
      <c r="BJ325" s="173">
        <v>0</v>
      </c>
      <c r="BK325" s="173">
        <v>49</v>
      </c>
      <c r="BL325" s="173">
        <v>5253</v>
      </c>
      <c r="BM325" s="173">
        <v>2</v>
      </c>
      <c r="BN325" s="173">
        <v>568</v>
      </c>
      <c r="BO325" s="173">
        <v>5</v>
      </c>
      <c r="BP325" s="173">
        <v>63292</v>
      </c>
      <c r="BQ325" s="173">
        <v>81420</v>
      </c>
      <c r="BR325" s="173">
        <v>338</v>
      </c>
      <c r="BS325" s="173">
        <v>88</v>
      </c>
      <c r="BT325" s="173">
        <v>12811</v>
      </c>
      <c r="BU325" s="173">
        <v>64</v>
      </c>
      <c r="BV325" s="173">
        <v>2</v>
      </c>
      <c r="BW325" s="173">
        <v>4</v>
      </c>
      <c r="BX325" s="173">
        <v>18</v>
      </c>
      <c r="BY325" s="181"/>
      <c r="BZ325" s="173">
        <v>19</v>
      </c>
      <c r="CA325" s="173">
        <v>0</v>
      </c>
      <c r="CB325" s="173">
        <v>22757</v>
      </c>
      <c r="CC325" s="173">
        <v>16677</v>
      </c>
      <c r="CD325" s="173">
        <v>141915</v>
      </c>
      <c r="CE325" s="173">
        <v>264335</v>
      </c>
      <c r="CF325" s="173">
        <v>26504</v>
      </c>
      <c r="CG325" s="173">
        <v>50421</v>
      </c>
      <c r="CH325" s="173">
        <v>0</v>
      </c>
      <c r="CI325" s="173">
        <v>38</v>
      </c>
      <c r="CJ325" s="173">
        <v>4</v>
      </c>
      <c r="CK325" s="173">
        <v>23</v>
      </c>
      <c r="CL325" s="289"/>
      <c r="CM325" s="289"/>
      <c r="CN325" s="289"/>
      <c r="CO325" s="289"/>
      <c r="CP325" s="289"/>
      <c r="CQ325" s="289"/>
      <c r="CR325" s="177"/>
      <c r="CS325" s="186"/>
      <c r="CT325" s="173">
        <v>0</v>
      </c>
      <c r="CU325" s="173">
        <v>0</v>
      </c>
      <c r="CV325" s="173">
        <v>0</v>
      </c>
      <c r="CW325" s="173">
        <v>16</v>
      </c>
      <c r="CX325" s="173">
        <v>0</v>
      </c>
      <c r="CY325" s="172">
        <v>29</v>
      </c>
      <c r="DA325" s="6"/>
      <c r="DC325" s="6"/>
      <c r="DD325" s="6">
        <f t="shared" ref="DD325" si="352">SUM(AY325:AZ325,BE325:CK325)</f>
        <v>694344</v>
      </c>
      <c r="DE325" s="6">
        <f t="shared" si="102"/>
        <v>269058</v>
      </c>
      <c r="DF325" s="8">
        <f t="shared" si="318"/>
        <v>963402</v>
      </c>
      <c r="DG325" s="175"/>
      <c r="DH325" s="191"/>
      <c r="DI325" s="191"/>
      <c r="DJ325" s="191"/>
      <c r="DK325" s="6">
        <f t="shared" si="103"/>
        <v>57298</v>
      </c>
      <c r="DL325" s="6">
        <f t="shared" si="310"/>
        <v>151297</v>
      </c>
      <c r="DM325" s="6">
        <f t="shared" ref="DM325" si="353">T325</f>
        <v>11627</v>
      </c>
      <c r="DN325" s="6">
        <f t="shared" ref="DN325" si="354">AG325+AX325+AN325+AP325+AQ325+AR325</f>
        <v>49778</v>
      </c>
      <c r="DO325" s="6">
        <f t="shared" si="319"/>
        <v>456151</v>
      </c>
      <c r="DP325" s="6">
        <f t="shared" si="320"/>
        <v>95134</v>
      </c>
      <c r="DQ325" s="6">
        <f t="shared" si="331"/>
        <v>0</v>
      </c>
      <c r="DR325" s="6">
        <f t="shared" ref="DR325" si="355">CC325+CI325+AA325</f>
        <v>16740</v>
      </c>
      <c r="DS325" s="6">
        <f t="shared" si="321"/>
        <v>63294</v>
      </c>
      <c r="DT325" s="6">
        <f t="shared" ref="DT325" si="356">BG325+BJ325+BL325+BM325+BX325</f>
        <v>12887</v>
      </c>
      <c r="DU325" s="6"/>
      <c r="DV325" s="6"/>
      <c r="DW325" s="6">
        <f t="shared" ref="DW325" si="357">SUM(DK325:DT325)</f>
        <v>914206</v>
      </c>
      <c r="DX325" s="175"/>
      <c r="DY325" s="6">
        <f t="shared" ref="DY325" si="358">DO325+DT325+H325+I325+J325+K325+CG325</f>
        <v>582781</v>
      </c>
      <c r="DZ325" s="6">
        <f t="shared" si="106"/>
        <v>64562</v>
      </c>
      <c r="EA325" s="175"/>
      <c r="EB325" s="6">
        <f t="shared" ref="EB325" si="359">DZ325+DF325</f>
        <v>1027964</v>
      </c>
      <c r="EC325" s="6"/>
      <c r="ED325" s="6"/>
      <c r="EE325" s="175"/>
      <c r="EF325" s="6">
        <f t="shared" ref="EF325" si="360">SUM(BE325:CK325)-CG325-BP325</f>
        <v>580508</v>
      </c>
      <c r="EG325" s="6">
        <f t="shared" ref="EG325" si="361">SUM(M325:BC325)-AQ325</f>
        <v>259201</v>
      </c>
      <c r="EH325" s="6">
        <f t="shared" ref="EH325" si="362">SUM(EF325:EG325)</f>
        <v>839709</v>
      </c>
      <c r="EI325" s="36">
        <f t="shared" ref="EI325" si="363">(EF325-EF324)/EF324</f>
        <v>4.4291177438729104E-4</v>
      </c>
      <c r="EJ325" s="36">
        <f t="shared" ref="EJ325" si="364">(EG325-EG324)/EG324</f>
        <v>3.7436704952451526E-4</v>
      </c>
      <c r="EM325" s="104"/>
      <c r="EN325" s="104"/>
      <c r="FC325" s="6">
        <f t="shared" si="262"/>
        <v>68925</v>
      </c>
      <c r="FD325" s="6">
        <f t="shared" si="263"/>
        <v>201075</v>
      </c>
      <c r="FE325" s="32">
        <f t="shared" si="264"/>
        <v>456151</v>
      </c>
      <c r="FF325" s="34">
        <f t="shared" si="265"/>
        <v>12887</v>
      </c>
      <c r="FG325" s="31">
        <f t="shared" si="266"/>
        <v>158428</v>
      </c>
      <c r="FH325" s="6">
        <f t="shared" si="267"/>
        <v>16740</v>
      </c>
      <c r="FI325" s="6">
        <f t="shared" si="268"/>
        <v>0</v>
      </c>
      <c r="FU325" s="192">
        <f t="shared" si="149"/>
        <v>152</v>
      </c>
    </row>
    <row r="326" spans="1:177" s="172" customFormat="1">
      <c r="B326" s="50">
        <v>41883</v>
      </c>
      <c r="C326" s="172">
        <v>0</v>
      </c>
      <c r="D326" s="172">
        <v>0</v>
      </c>
      <c r="E326" s="172">
        <v>0</v>
      </c>
      <c r="F326" s="172">
        <v>0</v>
      </c>
      <c r="G326" s="172">
        <v>83</v>
      </c>
      <c r="H326" s="172">
        <v>15995</v>
      </c>
      <c r="I326" s="172">
        <v>35707</v>
      </c>
      <c r="J326" s="172">
        <v>3295</v>
      </c>
      <c r="K326" s="172">
        <v>7475</v>
      </c>
      <c r="L326" s="172">
        <v>1087</v>
      </c>
      <c r="M326" s="172">
        <v>23985</v>
      </c>
      <c r="N326" s="172">
        <v>1370</v>
      </c>
      <c r="O326" s="110">
        <v>0</v>
      </c>
      <c r="P326" s="172">
        <v>1407</v>
      </c>
      <c r="Q326" s="172">
        <v>11656</v>
      </c>
      <c r="R326" s="172">
        <v>304</v>
      </c>
      <c r="S326" s="172">
        <v>7417</v>
      </c>
      <c r="T326" s="172">
        <v>11570</v>
      </c>
      <c r="U326" s="172">
        <v>38</v>
      </c>
      <c r="V326" s="172">
        <v>1171</v>
      </c>
      <c r="W326" s="172">
        <v>263</v>
      </c>
      <c r="X326" s="172">
        <v>9715</v>
      </c>
      <c r="Y326" s="172">
        <v>350</v>
      </c>
      <c r="Z326" s="172">
        <v>10</v>
      </c>
      <c r="AA326" s="152">
        <v>13</v>
      </c>
      <c r="AB326" s="172">
        <v>6</v>
      </c>
      <c r="AC326" s="172">
        <v>291</v>
      </c>
      <c r="AD326" s="172">
        <v>25</v>
      </c>
      <c r="AE326" s="172">
        <v>33</v>
      </c>
      <c r="AF326" s="172">
        <v>41</v>
      </c>
      <c r="AG326" s="172">
        <v>73</v>
      </c>
      <c r="AH326" s="172">
        <v>64</v>
      </c>
      <c r="AI326" s="172">
        <v>543</v>
      </c>
      <c r="AJ326" s="172">
        <v>14</v>
      </c>
      <c r="AK326" s="172">
        <v>13667</v>
      </c>
      <c r="AL326" s="172">
        <v>113578</v>
      </c>
      <c r="AM326" s="172">
        <v>2874</v>
      </c>
      <c r="AN326" s="172">
        <v>21884</v>
      </c>
      <c r="AO326" s="172">
        <v>20</v>
      </c>
      <c r="AP326" s="172">
        <v>2</v>
      </c>
      <c r="AQ326" s="172">
        <v>11140</v>
      </c>
      <c r="AR326" s="172">
        <v>0</v>
      </c>
      <c r="AS326" s="172">
        <v>1044</v>
      </c>
      <c r="AT326" s="172">
        <v>43</v>
      </c>
      <c r="AU326" s="172">
        <v>9743</v>
      </c>
      <c r="AV326" s="172">
        <v>2555</v>
      </c>
      <c r="AW326" s="172">
        <v>5087</v>
      </c>
      <c r="AX326" s="172">
        <v>16800</v>
      </c>
      <c r="AY326" s="152">
        <v>45</v>
      </c>
      <c r="AZ326" s="152">
        <v>78</v>
      </c>
      <c r="BA326" s="152">
        <v>976</v>
      </c>
      <c r="BB326" s="152">
        <v>0</v>
      </c>
      <c r="BC326" s="172">
        <v>250</v>
      </c>
      <c r="BD326" s="172">
        <v>300</v>
      </c>
      <c r="BE326" s="172">
        <v>0</v>
      </c>
      <c r="BF326" s="172">
        <v>0</v>
      </c>
      <c r="BG326" s="172">
        <v>7606</v>
      </c>
      <c r="BH326" s="172">
        <v>0</v>
      </c>
      <c r="BI326" s="172">
        <v>0</v>
      </c>
      <c r="BJ326" s="172">
        <v>0</v>
      </c>
      <c r="BK326" s="172">
        <v>54</v>
      </c>
      <c r="BL326" s="172">
        <v>5254</v>
      </c>
      <c r="BM326" s="172">
        <v>2</v>
      </c>
      <c r="BN326" s="172">
        <v>561</v>
      </c>
      <c r="BO326" s="172">
        <v>5</v>
      </c>
      <c r="BP326" s="172">
        <v>65610</v>
      </c>
      <c r="BQ326" s="172">
        <v>79541</v>
      </c>
      <c r="BR326" s="172">
        <v>344</v>
      </c>
      <c r="BS326" s="172">
        <v>90</v>
      </c>
      <c r="BT326" s="172">
        <v>13969</v>
      </c>
      <c r="BU326" s="172">
        <v>67</v>
      </c>
      <c r="BV326" s="172">
        <v>2</v>
      </c>
      <c r="BW326" s="172">
        <v>4</v>
      </c>
      <c r="BX326" s="172">
        <v>16</v>
      </c>
      <c r="BY326" s="181"/>
      <c r="BZ326" s="172">
        <v>18</v>
      </c>
      <c r="CA326" s="172">
        <v>0</v>
      </c>
      <c r="CB326" s="172">
        <v>22275</v>
      </c>
      <c r="CC326" s="172">
        <v>16685</v>
      </c>
      <c r="CD326" s="172">
        <v>139508</v>
      </c>
      <c r="CE326" s="172">
        <v>261587</v>
      </c>
      <c r="CF326" s="172">
        <v>26361</v>
      </c>
      <c r="CG326" s="172">
        <v>48922</v>
      </c>
      <c r="CH326" s="172">
        <v>0</v>
      </c>
      <c r="CI326" s="172">
        <v>28</v>
      </c>
      <c r="CJ326" s="172">
        <v>5</v>
      </c>
      <c r="CK326" s="172">
        <v>13</v>
      </c>
      <c r="CL326" s="289"/>
      <c r="CM326" s="289"/>
      <c r="CN326" s="289"/>
      <c r="CO326" s="289"/>
      <c r="CP326" s="289"/>
      <c r="CQ326" s="289"/>
      <c r="CR326" s="177"/>
      <c r="CS326" s="186"/>
      <c r="CT326" s="172">
        <v>0</v>
      </c>
      <c r="CU326" s="172">
        <v>0</v>
      </c>
      <c r="CV326" s="172">
        <v>0</v>
      </c>
      <c r="CW326" s="172">
        <v>16</v>
      </c>
      <c r="CX326" s="172">
        <v>0</v>
      </c>
      <c r="CY326" s="172">
        <v>29</v>
      </c>
      <c r="DA326" s="6"/>
      <c r="DC326" s="6"/>
      <c r="DD326" s="6">
        <f t="shared" ref="DD326" si="365">SUM(AY326:AZ326,BE326:CK326)</f>
        <v>688650</v>
      </c>
      <c r="DE326" s="6">
        <f t="shared" si="102"/>
        <v>269046</v>
      </c>
      <c r="DF326" s="8">
        <f t="shared" si="318"/>
        <v>957696</v>
      </c>
      <c r="DG326" s="176"/>
      <c r="DH326" s="191"/>
      <c r="DI326" s="191"/>
      <c r="DJ326" s="191"/>
      <c r="DK326" s="6">
        <f t="shared" si="103"/>
        <v>57326</v>
      </c>
      <c r="DL326" s="6">
        <f t="shared" si="310"/>
        <v>151214</v>
      </c>
      <c r="DM326" s="6">
        <f t="shared" ref="DM326" si="366">T326</f>
        <v>11570</v>
      </c>
      <c r="DN326" s="6">
        <f t="shared" ref="DN326" si="367">AG326+AX326+AN326+AP326+AQ326+AR326</f>
        <v>49899</v>
      </c>
      <c r="DO326" s="6">
        <f t="shared" si="319"/>
        <v>450376</v>
      </c>
      <c r="DP326" s="6">
        <f t="shared" si="320"/>
        <v>94449</v>
      </c>
      <c r="DQ326" s="6">
        <f t="shared" si="331"/>
        <v>0</v>
      </c>
      <c r="DR326" s="6">
        <f t="shared" ref="DR326" si="368">CC326+CI326+AA326</f>
        <v>16726</v>
      </c>
      <c r="DS326" s="6">
        <f t="shared" si="321"/>
        <v>65612</v>
      </c>
      <c r="DT326" s="6">
        <f t="shared" ref="DT326" si="369">BG326+BJ326+BL326+BM326+BX326</f>
        <v>12878</v>
      </c>
      <c r="DU326" s="6"/>
      <c r="DV326" s="6"/>
      <c r="DW326" s="6">
        <f t="shared" ref="DW326" si="370">SUM(DK326:DT326)</f>
        <v>910050</v>
      </c>
      <c r="DX326" s="176"/>
      <c r="DY326" s="6">
        <f t="shared" ref="DY326" si="371">DO326+DT326+H326+I326+J326+K326+CG326</f>
        <v>574648</v>
      </c>
      <c r="DZ326" s="6">
        <f t="shared" si="106"/>
        <v>63642</v>
      </c>
      <c r="EA326" s="176"/>
      <c r="EB326" s="6">
        <f t="shared" ref="EB326" si="372">DZ326+DF326</f>
        <v>1021338</v>
      </c>
      <c r="EC326" s="6"/>
      <c r="ED326" s="6"/>
      <c r="EE326" s="176"/>
      <c r="EF326" s="6">
        <f t="shared" ref="EF326" si="373">SUM(BE326:CK326)-CG326-BP326</f>
        <v>573995</v>
      </c>
      <c r="EG326" s="6">
        <f t="shared" ref="EG326" si="374">SUM(M326:BC326)-AQ326</f>
        <v>259005</v>
      </c>
      <c r="EH326" s="6">
        <f t="shared" ref="EH326" si="375">SUM(EF326:EG326)</f>
        <v>833000</v>
      </c>
      <c r="EI326" s="36">
        <f t="shared" ref="EI326" si="376">(EF326-EF325)/EF325</f>
        <v>-1.1219483624687342E-2</v>
      </c>
      <c r="EJ326" s="36">
        <f t="shared" ref="EJ326" si="377">(EG326-EG325)/EG325</f>
        <v>-7.5616992218394217E-4</v>
      </c>
      <c r="EM326" s="104"/>
      <c r="EN326" s="104"/>
      <c r="FC326" s="6">
        <f t="shared" si="262"/>
        <v>68896</v>
      </c>
      <c r="FD326" s="6">
        <f t="shared" si="263"/>
        <v>201113</v>
      </c>
      <c r="FE326" s="32">
        <f t="shared" si="264"/>
        <v>450376</v>
      </c>
      <c r="FF326" s="34">
        <f t="shared" si="265"/>
        <v>12878</v>
      </c>
      <c r="FG326" s="31">
        <f t="shared" si="266"/>
        <v>160061</v>
      </c>
      <c r="FH326" s="6">
        <f t="shared" si="267"/>
        <v>16726</v>
      </c>
      <c r="FI326" s="6">
        <f t="shared" si="268"/>
        <v>0</v>
      </c>
      <c r="FU326" s="192">
        <f t="shared" si="149"/>
        <v>140</v>
      </c>
    </row>
    <row r="327" spans="1:177" s="172" customFormat="1">
      <c r="B327" s="50">
        <v>41913</v>
      </c>
      <c r="C327" s="172">
        <v>0</v>
      </c>
      <c r="D327" s="172">
        <v>0</v>
      </c>
      <c r="E327" s="172">
        <v>0</v>
      </c>
      <c r="F327" s="172">
        <v>0</v>
      </c>
      <c r="G327" s="172">
        <v>23</v>
      </c>
      <c r="H327" s="172">
        <v>15983</v>
      </c>
      <c r="I327" s="172">
        <v>36138</v>
      </c>
      <c r="J327" s="172">
        <v>3059</v>
      </c>
      <c r="K327" s="172">
        <v>7049</v>
      </c>
      <c r="L327" s="172">
        <v>1080</v>
      </c>
      <c r="M327" s="172">
        <v>23960</v>
      </c>
      <c r="N327" s="172">
        <v>1375</v>
      </c>
      <c r="O327" s="110">
        <v>0</v>
      </c>
      <c r="P327" s="172">
        <v>1359</v>
      </c>
      <c r="Q327" s="172">
        <v>11767</v>
      </c>
      <c r="R327" s="172">
        <v>301</v>
      </c>
      <c r="S327" s="172">
        <v>7392</v>
      </c>
      <c r="T327" s="172">
        <v>11579</v>
      </c>
      <c r="U327" s="172">
        <v>31</v>
      </c>
      <c r="V327" s="172">
        <v>1215</v>
      </c>
      <c r="W327" s="172">
        <v>248</v>
      </c>
      <c r="X327" s="172">
        <v>9885</v>
      </c>
      <c r="Y327" s="172">
        <v>356</v>
      </c>
      <c r="Z327" s="172">
        <v>11</v>
      </c>
      <c r="AA327" s="152">
        <v>17</v>
      </c>
      <c r="AB327" s="172">
        <v>8</v>
      </c>
      <c r="AC327" s="172">
        <v>303</v>
      </c>
      <c r="AD327" s="172">
        <v>23</v>
      </c>
      <c r="AE327" s="172">
        <v>33</v>
      </c>
      <c r="AF327" s="172">
        <v>43</v>
      </c>
      <c r="AG327" s="172">
        <v>77</v>
      </c>
      <c r="AH327" s="172">
        <v>58</v>
      </c>
      <c r="AI327" s="172">
        <v>578</v>
      </c>
      <c r="AJ327" s="172">
        <v>14</v>
      </c>
      <c r="AK327" s="172">
        <v>13768</v>
      </c>
      <c r="AL327" s="172">
        <v>113772</v>
      </c>
      <c r="AM327" s="172">
        <v>2862</v>
      </c>
      <c r="AN327" s="172">
        <v>21815</v>
      </c>
      <c r="AO327" s="172">
        <v>21</v>
      </c>
      <c r="AP327" s="172">
        <v>3</v>
      </c>
      <c r="AQ327" s="172">
        <v>11283</v>
      </c>
      <c r="AR327" s="172">
        <v>0</v>
      </c>
      <c r="AS327" s="172">
        <v>1023</v>
      </c>
      <c r="AT327" s="172">
        <v>43</v>
      </c>
      <c r="AU327" s="172">
        <v>9882</v>
      </c>
      <c r="AV327" s="172">
        <v>2567</v>
      </c>
      <c r="AW327" s="172">
        <v>5127</v>
      </c>
      <c r="AX327" s="172">
        <v>16804</v>
      </c>
      <c r="AY327" s="152">
        <v>50</v>
      </c>
      <c r="AZ327" s="152">
        <v>71</v>
      </c>
      <c r="BA327" s="152">
        <v>958</v>
      </c>
      <c r="BB327" s="152">
        <v>0</v>
      </c>
      <c r="BC327" s="172">
        <v>244</v>
      </c>
      <c r="BD327" s="172">
        <v>331</v>
      </c>
      <c r="BE327" s="172">
        <v>0</v>
      </c>
      <c r="BF327" s="172">
        <v>0</v>
      </c>
      <c r="BG327" s="172">
        <v>7644</v>
      </c>
      <c r="BH327" s="172">
        <v>0</v>
      </c>
      <c r="BI327" s="172">
        <v>0</v>
      </c>
      <c r="BJ327" s="172">
        <v>0</v>
      </c>
      <c r="BK327" s="172">
        <v>59</v>
      </c>
      <c r="BL327" s="172">
        <v>5302</v>
      </c>
      <c r="BM327" s="172">
        <v>3</v>
      </c>
      <c r="BN327" s="172">
        <v>528</v>
      </c>
      <c r="BO327" s="172">
        <v>5</v>
      </c>
      <c r="BP327" s="172">
        <v>69148</v>
      </c>
      <c r="BQ327" s="172">
        <v>79323</v>
      </c>
      <c r="BR327" s="172">
        <v>326</v>
      </c>
      <c r="BS327" s="172">
        <v>100</v>
      </c>
      <c r="BT327" s="172">
        <v>15294</v>
      </c>
      <c r="BU327" s="172">
        <v>66</v>
      </c>
      <c r="BV327" s="172">
        <v>0</v>
      </c>
      <c r="BW327" s="172">
        <v>4</v>
      </c>
      <c r="BX327" s="172">
        <v>13</v>
      </c>
      <c r="BY327" s="181"/>
      <c r="BZ327" s="172">
        <v>20</v>
      </c>
      <c r="CA327" s="172">
        <v>0</v>
      </c>
      <c r="CB327" s="172">
        <v>22238</v>
      </c>
      <c r="CC327" s="172">
        <v>16528</v>
      </c>
      <c r="CD327" s="172">
        <v>139855</v>
      </c>
      <c r="CE327" s="172">
        <v>264884</v>
      </c>
      <c r="CF327" s="172">
        <v>27166</v>
      </c>
      <c r="CG327" s="172">
        <v>48799</v>
      </c>
      <c r="CH327" s="172">
        <v>0</v>
      </c>
      <c r="CI327" s="172">
        <v>28</v>
      </c>
      <c r="CJ327" s="172">
        <v>5</v>
      </c>
      <c r="CK327" s="172">
        <v>15</v>
      </c>
      <c r="CL327" s="289"/>
      <c r="CM327" s="289"/>
      <c r="CN327" s="289"/>
      <c r="CO327" s="289"/>
      <c r="CP327" s="289"/>
      <c r="CQ327" s="289"/>
      <c r="CR327" s="177">
        <v>4</v>
      </c>
      <c r="CS327" s="186"/>
      <c r="CT327" s="172">
        <v>0</v>
      </c>
      <c r="CU327" s="172">
        <v>0</v>
      </c>
      <c r="CV327" s="172">
        <v>0</v>
      </c>
      <c r="CW327" s="172">
        <v>16</v>
      </c>
      <c r="CX327" s="172">
        <v>0</v>
      </c>
      <c r="CY327" s="172">
        <v>29</v>
      </c>
      <c r="DA327" s="6"/>
      <c r="DC327" s="6"/>
      <c r="DD327" s="6">
        <f t="shared" ref="DD327" si="378">SUM(AY327:AZ327,BE327:CK327)</f>
        <v>697474</v>
      </c>
      <c r="DE327" s="6">
        <f t="shared" si="102"/>
        <v>269851</v>
      </c>
      <c r="DF327" s="8">
        <f t="shared" si="318"/>
        <v>967325</v>
      </c>
      <c r="DG327" s="177"/>
      <c r="DH327" s="191"/>
      <c r="DI327" s="191"/>
      <c r="DJ327" s="191"/>
      <c r="DK327" s="6">
        <f t="shared" si="103"/>
        <v>57533</v>
      </c>
      <c r="DL327" s="6">
        <f t="shared" ref="DL327:DL332" si="379">SUM(Y327:Z327,AB327:AF327,AH327:AM327,AO327,AS327:AW327,BA327:BC327)+CR327</f>
        <v>151698</v>
      </c>
      <c r="DM327" s="6">
        <f t="shared" ref="DM327" si="380">T327</f>
        <v>11579</v>
      </c>
      <c r="DN327" s="6">
        <f t="shared" ref="DN327" si="381">AG327+AX327+AN327+AP327+AQ327+AR327</f>
        <v>49982</v>
      </c>
      <c r="DO327" s="6">
        <f t="shared" si="319"/>
        <v>454793</v>
      </c>
      <c r="DP327" s="6">
        <f t="shared" si="320"/>
        <v>95547</v>
      </c>
      <c r="DQ327" s="6">
        <f t="shared" si="331"/>
        <v>0</v>
      </c>
      <c r="DR327" s="6">
        <f t="shared" ref="DR327" si="382">CC327+CI327+AA327</f>
        <v>16573</v>
      </c>
      <c r="DS327" s="6">
        <f t="shared" si="321"/>
        <v>69148</v>
      </c>
      <c r="DT327" s="6">
        <f t="shared" ref="DT327" si="383">BG327+BJ327+BL327+BM327+BX327</f>
        <v>12962</v>
      </c>
      <c r="DU327" s="6"/>
      <c r="DV327" s="6"/>
      <c r="DW327" s="6">
        <f t="shared" ref="DW327" si="384">SUM(DK327:DT327)</f>
        <v>919815</v>
      </c>
      <c r="DX327" s="177"/>
      <c r="DY327" s="6">
        <f t="shared" ref="DY327" si="385">DO327+DT327+H327+I327+J327+K327+CG327</f>
        <v>578783</v>
      </c>
      <c r="DZ327" s="6">
        <f t="shared" si="106"/>
        <v>63332</v>
      </c>
      <c r="EA327" s="177"/>
      <c r="EB327" s="6">
        <f t="shared" ref="EB327" si="386">DZ327+DF327</f>
        <v>1030657</v>
      </c>
      <c r="EC327" s="6"/>
      <c r="ED327" s="6"/>
      <c r="EE327" s="177"/>
      <c r="EF327" s="6">
        <f t="shared" ref="EF327" si="387">SUM(BE327:CK327)-CG327-BP327</f>
        <v>579406</v>
      </c>
      <c r="EG327" s="6">
        <f t="shared" ref="EG327" si="388">SUM(M327:BC327)-AQ327</f>
        <v>259643</v>
      </c>
      <c r="EH327" s="6">
        <f t="shared" ref="EH327" si="389">SUM(EF327:EG327)</f>
        <v>839049</v>
      </c>
      <c r="EI327" s="36">
        <f t="shared" ref="EI327" si="390">(EF327-EF326)/EF326</f>
        <v>9.4269113842455066E-3</v>
      </c>
      <c r="EJ327" s="36">
        <f t="shared" ref="EJ327" si="391">(EG327-EG326)/EG326</f>
        <v>2.4632729097893865E-3</v>
      </c>
      <c r="EM327" s="104"/>
      <c r="EN327" s="104"/>
      <c r="FC327" s="6">
        <f t="shared" si="262"/>
        <v>69112</v>
      </c>
      <c r="FD327" s="6">
        <f t="shared" si="263"/>
        <v>201680</v>
      </c>
      <c r="FE327" s="32">
        <f t="shared" si="264"/>
        <v>454793</v>
      </c>
      <c r="FF327" s="34">
        <f t="shared" si="265"/>
        <v>12962</v>
      </c>
      <c r="FG327" s="31">
        <f t="shared" si="266"/>
        <v>164695</v>
      </c>
      <c r="FH327" s="6">
        <f t="shared" si="267"/>
        <v>16573</v>
      </c>
      <c r="FI327" s="6">
        <f t="shared" si="268"/>
        <v>0</v>
      </c>
      <c r="FU327" s="192">
        <f t="shared" si="149"/>
        <v>141</v>
      </c>
    </row>
    <row r="328" spans="1:177" s="172" customFormat="1">
      <c r="B328" s="50">
        <v>41944</v>
      </c>
      <c r="C328" s="172">
        <v>0</v>
      </c>
      <c r="D328" s="172">
        <v>0</v>
      </c>
      <c r="E328" s="172">
        <v>0</v>
      </c>
      <c r="F328" s="172">
        <v>0</v>
      </c>
      <c r="G328" s="172">
        <v>7</v>
      </c>
      <c r="H328" s="172">
        <v>15973</v>
      </c>
      <c r="I328" s="172">
        <v>36626</v>
      </c>
      <c r="J328" s="172">
        <v>2779</v>
      </c>
      <c r="K328" s="172">
        <v>6506</v>
      </c>
      <c r="L328" s="172">
        <v>944</v>
      </c>
      <c r="M328" s="172">
        <v>23956</v>
      </c>
      <c r="N328" s="172">
        <v>1389</v>
      </c>
      <c r="O328" s="110">
        <v>0</v>
      </c>
      <c r="P328" s="172">
        <v>1294</v>
      </c>
      <c r="Q328" s="172">
        <v>11830</v>
      </c>
      <c r="R328" s="172">
        <v>297</v>
      </c>
      <c r="S328" s="172">
        <v>7398</v>
      </c>
      <c r="T328" s="172">
        <v>11558</v>
      </c>
      <c r="U328" s="172">
        <v>33</v>
      </c>
      <c r="V328" s="172">
        <v>1250</v>
      </c>
      <c r="W328" s="172">
        <v>220</v>
      </c>
      <c r="X328" s="172">
        <v>9995</v>
      </c>
      <c r="Y328" s="172">
        <v>357</v>
      </c>
      <c r="Z328" s="172">
        <v>10</v>
      </c>
      <c r="AA328" s="152">
        <v>15</v>
      </c>
      <c r="AB328" s="172">
        <v>7</v>
      </c>
      <c r="AC328" s="172">
        <v>304</v>
      </c>
      <c r="AD328" s="172">
        <v>24</v>
      </c>
      <c r="AE328" s="172">
        <v>34</v>
      </c>
      <c r="AF328" s="172">
        <v>42</v>
      </c>
      <c r="AG328" s="172">
        <v>78</v>
      </c>
      <c r="AH328" s="172">
        <v>55</v>
      </c>
      <c r="AI328" s="172">
        <v>618</v>
      </c>
      <c r="AJ328" s="172">
        <v>14</v>
      </c>
      <c r="AK328" s="172">
        <v>13913</v>
      </c>
      <c r="AL328" s="172">
        <v>113893</v>
      </c>
      <c r="AM328" s="172">
        <v>2859</v>
      </c>
      <c r="AN328" s="172">
        <v>21849</v>
      </c>
      <c r="AO328" s="172">
        <v>20</v>
      </c>
      <c r="AP328" s="172">
        <v>4</v>
      </c>
      <c r="AQ328" s="172">
        <v>11476</v>
      </c>
      <c r="AR328" s="172">
        <v>0</v>
      </c>
      <c r="AS328" s="172">
        <v>1067</v>
      </c>
      <c r="AT328" s="172">
        <v>43</v>
      </c>
      <c r="AU328" s="172">
        <v>10090</v>
      </c>
      <c r="AV328" s="172">
        <v>2579</v>
      </c>
      <c r="AW328" s="172">
        <v>5165</v>
      </c>
      <c r="AX328" s="172">
        <v>16794</v>
      </c>
      <c r="AY328" s="152">
        <v>50</v>
      </c>
      <c r="AZ328" s="152">
        <v>62</v>
      </c>
      <c r="BA328" s="152">
        <v>971</v>
      </c>
      <c r="BB328" s="152">
        <v>0</v>
      </c>
      <c r="BC328" s="172">
        <v>251</v>
      </c>
      <c r="BD328" s="172">
        <v>369</v>
      </c>
      <c r="BE328" s="172">
        <v>0</v>
      </c>
      <c r="BF328" s="172">
        <v>0</v>
      </c>
      <c r="BG328" s="172">
        <v>7671</v>
      </c>
      <c r="BH328" s="172">
        <v>0</v>
      </c>
      <c r="BI328" s="172">
        <v>0</v>
      </c>
      <c r="BJ328" s="172">
        <v>0</v>
      </c>
      <c r="BK328" s="172">
        <v>63</v>
      </c>
      <c r="BL328" s="172">
        <v>5340</v>
      </c>
      <c r="BM328" s="172">
        <v>2</v>
      </c>
      <c r="BN328" s="172">
        <v>535</v>
      </c>
      <c r="BO328" s="172">
        <v>5</v>
      </c>
      <c r="BP328" s="172">
        <v>73679</v>
      </c>
      <c r="BQ328" s="172">
        <v>79089</v>
      </c>
      <c r="BR328" s="172">
        <v>319</v>
      </c>
      <c r="BS328" s="172">
        <v>120</v>
      </c>
      <c r="BT328" s="172">
        <v>16938</v>
      </c>
      <c r="BU328" s="172">
        <v>73</v>
      </c>
      <c r="BV328" s="172">
        <v>0</v>
      </c>
      <c r="BW328" s="172">
        <v>4</v>
      </c>
      <c r="BX328" s="172">
        <v>13</v>
      </c>
      <c r="BY328" s="181"/>
      <c r="BZ328" s="172">
        <v>18</v>
      </c>
      <c r="CA328" s="172">
        <v>0</v>
      </c>
      <c r="CB328" s="172">
        <v>22270</v>
      </c>
      <c r="CC328" s="172">
        <v>16449</v>
      </c>
      <c r="CD328" s="172">
        <v>140311</v>
      </c>
      <c r="CE328" s="172">
        <v>268157</v>
      </c>
      <c r="CF328" s="172">
        <v>27896</v>
      </c>
      <c r="CG328" s="172">
        <v>48257</v>
      </c>
      <c r="CH328" s="172">
        <v>0</v>
      </c>
      <c r="CI328" s="172">
        <v>28</v>
      </c>
      <c r="CJ328" s="172">
        <v>6</v>
      </c>
      <c r="CK328" s="172">
        <v>19</v>
      </c>
      <c r="CL328" s="289"/>
      <c r="CM328" s="289"/>
      <c r="CN328" s="289"/>
      <c r="CO328" s="289"/>
      <c r="CP328" s="289"/>
      <c r="CQ328" s="289"/>
      <c r="CR328" s="177">
        <v>28</v>
      </c>
      <c r="CS328" s="186"/>
      <c r="CT328" s="172">
        <v>0</v>
      </c>
      <c r="CU328" s="172">
        <v>0</v>
      </c>
      <c r="CV328" s="172">
        <v>0</v>
      </c>
      <c r="CW328" s="172">
        <v>16</v>
      </c>
      <c r="CX328" s="172">
        <v>0</v>
      </c>
      <c r="CY328" s="172">
        <v>29</v>
      </c>
      <c r="DA328" s="6"/>
      <c r="DC328" s="6"/>
      <c r="DD328" s="6">
        <f t="shared" ref="DD328" si="392">SUM(AY328:AZ328,BE328:CK328)</f>
        <v>707374</v>
      </c>
      <c r="DE328" s="6">
        <f t="shared" si="102"/>
        <v>270809</v>
      </c>
      <c r="DF328" s="8">
        <f t="shared" ref="DF328" si="393">SUM(DD328:DE328)</f>
        <v>978183</v>
      </c>
      <c r="DG328" s="178"/>
      <c r="DH328" s="191"/>
      <c r="DI328" s="191"/>
      <c r="DJ328" s="191"/>
      <c r="DK328" s="6">
        <f t="shared" si="103"/>
        <v>57662</v>
      </c>
      <c r="DL328" s="6">
        <f t="shared" si="379"/>
        <v>152344</v>
      </c>
      <c r="DM328" s="6">
        <f t="shared" ref="DM328" si="394">T328</f>
        <v>11558</v>
      </c>
      <c r="DN328" s="6">
        <f t="shared" ref="DN328" si="395">AG328+AX328+AN328+AP328+AQ328+AR328</f>
        <v>50201</v>
      </c>
      <c r="DO328" s="6">
        <f t="shared" ref="DO328" si="396">SUM(AY328,BF328,BI328,BK328,BO328,BR328:BS328,BU328,BW328,BZ328:CB328,CD328:CF328,CJ328:CK328)</f>
        <v>459311</v>
      </c>
      <c r="DP328" s="6">
        <f t="shared" ref="DP328" si="397">SUM(AZ328,BD328:BE328,BH328,BN328,BQ328,BT328)</f>
        <v>96993</v>
      </c>
      <c r="DQ328" s="6">
        <f t="shared" si="331"/>
        <v>0</v>
      </c>
      <c r="DR328" s="6">
        <f t="shared" ref="DR328" si="398">CC328+CI328+AA328</f>
        <v>16492</v>
      </c>
      <c r="DS328" s="6">
        <f t="shared" ref="DS328" si="399">BP328+BV328</f>
        <v>73679</v>
      </c>
      <c r="DT328" s="6">
        <f t="shared" ref="DT328" si="400">BG328+BJ328+BL328+BM328+BX328</f>
        <v>13026</v>
      </c>
      <c r="DU328" s="6"/>
      <c r="DV328" s="6"/>
      <c r="DW328" s="6">
        <f t="shared" ref="DW328" si="401">SUM(DK328:DT328)</f>
        <v>931266</v>
      </c>
      <c r="DX328" s="178"/>
      <c r="DY328" s="6">
        <f t="shared" ref="DY328" si="402">DO328+DT328+H328+I328+J328+K328+CG328</f>
        <v>582478</v>
      </c>
      <c r="DZ328" s="6">
        <f t="shared" si="106"/>
        <v>62835</v>
      </c>
      <c r="EA328" s="178"/>
      <c r="EB328" s="6">
        <f t="shared" ref="EB328" si="403">DZ328+DF328</f>
        <v>1041018</v>
      </c>
      <c r="EC328" s="6"/>
      <c r="ED328" s="6"/>
      <c r="EE328" s="178"/>
      <c r="EF328" s="6">
        <f t="shared" ref="EF328" si="404">SUM(BE328:CK328)-CG328-BP328</f>
        <v>585326</v>
      </c>
      <c r="EG328" s="6">
        <f t="shared" ref="EG328" si="405">SUM(M328:BC328)-AQ328</f>
        <v>260388</v>
      </c>
      <c r="EH328" s="6">
        <f t="shared" ref="EH328" si="406">SUM(EF328:EG328)</f>
        <v>845714</v>
      </c>
      <c r="EI328" s="36">
        <f t="shared" ref="EI328" si="407">(EF328-EF327)/EF327</f>
        <v>1.021736053820637E-2</v>
      </c>
      <c r="EJ328" s="36">
        <f t="shared" ref="EJ328" si="408">(EG328-EG327)/EG327</f>
        <v>2.8693244185285182E-3</v>
      </c>
      <c r="EM328" s="104"/>
      <c r="EN328" s="104"/>
      <c r="FC328" s="6">
        <f t="shared" si="262"/>
        <v>69220</v>
      </c>
      <c r="FD328" s="6">
        <f t="shared" si="263"/>
        <v>202545</v>
      </c>
      <c r="FE328" s="32">
        <f t="shared" si="264"/>
        <v>459311</v>
      </c>
      <c r="FF328" s="34">
        <f t="shared" si="265"/>
        <v>13026</v>
      </c>
      <c r="FG328" s="31">
        <f t="shared" si="266"/>
        <v>170672</v>
      </c>
      <c r="FH328" s="6">
        <f t="shared" si="267"/>
        <v>16492</v>
      </c>
      <c r="FI328" s="6">
        <f t="shared" si="268"/>
        <v>0</v>
      </c>
      <c r="FU328" s="192">
        <f t="shared" si="149"/>
        <v>129</v>
      </c>
    </row>
    <row r="329" spans="1:177" s="172" customFormat="1">
      <c r="B329" s="50">
        <v>41974</v>
      </c>
      <c r="C329" s="172">
        <v>0</v>
      </c>
      <c r="D329" s="172">
        <v>0</v>
      </c>
      <c r="E329" s="172">
        <v>0</v>
      </c>
      <c r="F329" s="172">
        <v>0</v>
      </c>
      <c r="G329" s="172">
        <v>3</v>
      </c>
      <c r="H329" s="172">
        <v>16020</v>
      </c>
      <c r="I329" s="172">
        <v>36977</v>
      </c>
      <c r="J329" s="172">
        <v>2508</v>
      </c>
      <c r="K329" s="172">
        <v>5911</v>
      </c>
      <c r="L329" s="172">
        <v>818</v>
      </c>
      <c r="M329" s="172">
        <v>23913</v>
      </c>
      <c r="N329" s="172">
        <v>1396</v>
      </c>
      <c r="O329" s="110">
        <v>0</v>
      </c>
      <c r="P329" s="172">
        <v>1272</v>
      </c>
      <c r="Q329" s="172">
        <v>11836</v>
      </c>
      <c r="R329" s="172">
        <v>295</v>
      </c>
      <c r="S329" s="172">
        <v>7381</v>
      </c>
      <c r="T329" s="172">
        <v>11547</v>
      </c>
      <c r="U329" s="172">
        <v>27</v>
      </c>
      <c r="V329" s="172">
        <v>1295</v>
      </c>
      <c r="W329" s="172">
        <v>207</v>
      </c>
      <c r="X329" s="172">
        <v>9969</v>
      </c>
      <c r="Y329" s="172">
        <v>354</v>
      </c>
      <c r="Z329" s="172">
        <v>10</v>
      </c>
      <c r="AA329" s="152">
        <v>11</v>
      </c>
      <c r="AB329" s="172">
        <v>7</v>
      </c>
      <c r="AC329" s="172">
        <v>295</v>
      </c>
      <c r="AD329" s="172">
        <v>24</v>
      </c>
      <c r="AE329" s="172">
        <v>34</v>
      </c>
      <c r="AF329" s="172">
        <v>41</v>
      </c>
      <c r="AG329" s="172">
        <v>75</v>
      </c>
      <c r="AH329" s="172">
        <v>52</v>
      </c>
      <c r="AI329" s="172">
        <v>635</v>
      </c>
      <c r="AJ329" s="172">
        <v>8</v>
      </c>
      <c r="AK329" s="172">
        <v>13824</v>
      </c>
      <c r="AL329" s="172">
        <v>114000</v>
      </c>
      <c r="AM329" s="172">
        <v>2857</v>
      </c>
      <c r="AN329" s="172">
        <v>21755</v>
      </c>
      <c r="AO329" s="172">
        <v>18</v>
      </c>
      <c r="AP329" s="172">
        <v>4</v>
      </c>
      <c r="AQ329" s="172">
        <v>11597</v>
      </c>
      <c r="AR329" s="172">
        <v>0</v>
      </c>
      <c r="AS329" s="172">
        <v>1015</v>
      </c>
      <c r="AT329" s="172">
        <v>44</v>
      </c>
      <c r="AU329" s="172">
        <v>10253</v>
      </c>
      <c r="AV329" s="172">
        <v>2573</v>
      </c>
      <c r="AW329" s="172">
        <v>5171</v>
      </c>
      <c r="AX329" s="172">
        <v>16718</v>
      </c>
      <c r="AY329" s="152">
        <v>29</v>
      </c>
      <c r="AZ329" s="152">
        <v>42</v>
      </c>
      <c r="BA329" s="152">
        <v>964</v>
      </c>
      <c r="BB329" s="152">
        <v>0</v>
      </c>
      <c r="BC329" s="172">
        <v>242</v>
      </c>
      <c r="BD329" s="172">
        <v>390</v>
      </c>
      <c r="BE329" s="172">
        <v>0</v>
      </c>
      <c r="BF329" s="172">
        <v>0</v>
      </c>
      <c r="BG329" s="172">
        <v>7676</v>
      </c>
      <c r="BH329" s="172">
        <v>0</v>
      </c>
      <c r="BI329" s="172">
        <v>0</v>
      </c>
      <c r="BJ329" s="172">
        <v>0</v>
      </c>
      <c r="BK329" s="172">
        <v>62</v>
      </c>
      <c r="BL329" s="172">
        <v>5319</v>
      </c>
      <c r="BM329" s="172">
        <v>0</v>
      </c>
      <c r="BN329" s="172">
        <v>492</v>
      </c>
      <c r="BO329" s="172">
        <v>5</v>
      </c>
      <c r="BP329" s="172">
        <v>75438</v>
      </c>
      <c r="BQ329" s="172">
        <v>78131</v>
      </c>
      <c r="BR329" s="172">
        <v>282</v>
      </c>
      <c r="BS329" s="172">
        <v>127</v>
      </c>
      <c r="BT329" s="172">
        <v>18029</v>
      </c>
      <c r="BU329" s="172">
        <v>69</v>
      </c>
      <c r="BV329" s="172">
        <v>0</v>
      </c>
      <c r="BW329" s="172">
        <v>4</v>
      </c>
      <c r="BX329" s="172">
        <v>13</v>
      </c>
      <c r="BY329" s="181"/>
      <c r="BZ329" s="172">
        <v>17</v>
      </c>
      <c r="CA329" s="172">
        <v>0</v>
      </c>
      <c r="CB329" s="172">
        <v>21982</v>
      </c>
      <c r="CC329" s="172">
        <v>15917</v>
      </c>
      <c r="CD329" s="172">
        <v>138908</v>
      </c>
      <c r="CE329" s="172">
        <v>267819</v>
      </c>
      <c r="CF329" s="172">
        <v>27779</v>
      </c>
      <c r="CG329" s="172">
        <v>47393</v>
      </c>
      <c r="CH329" s="172">
        <v>0</v>
      </c>
      <c r="CI329" s="172">
        <v>21</v>
      </c>
      <c r="CJ329" s="172">
        <v>6</v>
      </c>
      <c r="CK329" s="172">
        <v>22</v>
      </c>
      <c r="CL329" s="289"/>
      <c r="CM329" s="289"/>
      <c r="CN329" s="289"/>
      <c r="CO329" s="289"/>
      <c r="CP329" s="289"/>
      <c r="CQ329" s="289"/>
      <c r="CR329" s="177">
        <v>39</v>
      </c>
      <c r="CS329" s="186"/>
      <c r="CT329" s="172">
        <v>0</v>
      </c>
      <c r="CU329" s="172">
        <v>0</v>
      </c>
      <c r="CV329" s="172">
        <v>0</v>
      </c>
      <c r="CW329" s="172">
        <v>16</v>
      </c>
      <c r="CX329" s="172">
        <v>0</v>
      </c>
      <c r="CY329" s="172">
        <v>29</v>
      </c>
      <c r="DA329" s="6"/>
      <c r="DC329" s="6"/>
      <c r="DD329" s="6">
        <f t="shared" ref="DD329" si="409">SUM(AY329:AZ329,BE329:CK329)</f>
        <v>705582</v>
      </c>
      <c r="DE329" s="6">
        <f t="shared" si="102"/>
        <v>270794</v>
      </c>
      <c r="DF329" s="8">
        <f t="shared" ref="DF329" si="410">SUM(DD329:DE329)</f>
        <v>976376</v>
      </c>
      <c r="DG329" s="179"/>
      <c r="DH329" s="191"/>
      <c r="DI329" s="191"/>
      <c r="DJ329" s="191"/>
      <c r="DK329" s="6">
        <f t="shared" si="103"/>
        <v>57591</v>
      </c>
      <c r="DL329" s="6">
        <f t="shared" si="379"/>
        <v>152460</v>
      </c>
      <c r="DM329" s="6">
        <f t="shared" ref="DM329" si="411">T329</f>
        <v>11547</v>
      </c>
      <c r="DN329" s="6">
        <f t="shared" ref="DN329" si="412">AG329+AX329+AN329+AP329+AQ329+AR329</f>
        <v>50149</v>
      </c>
      <c r="DO329" s="6">
        <f t="shared" ref="DO329:DO334" si="413">SUM(AY329,BF329,BI329,BK329,BO329,BR329:BS329,BU329,BW329,BZ329:CB329,CD329:CF329,CJ329:CK329)</f>
        <v>457111</v>
      </c>
      <c r="DP329" s="6">
        <f t="shared" ref="DP329:DP351" si="414">SUM(AZ329,BD329:BE329,BH329,BN329,BQ329,BT329)</f>
        <v>97084</v>
      </c>
      <c r="DQ329" s="6">
        <f t="shared" si="331"/>
        <v>0</v>
      </c>
      <c r="DR329" s="6">
        <f t="shared" ref="DR329:DR334" si="415">CC329+CI329+AA329</f>
        <v>15949</v>
      </c>
      <c r="DS329" s="6">
        <f t="shared" ref="DS329" si="416">BP329+BV329</f>
        <v>75438</v>
      </c>
      <c r="DT329" s="6">
        <f t="shared" ref="DT329" si="417">BG329+BJ329+BL329+BM329+BX329</f>
        <v>13008</v>
      </c>
      <c r="DU329" s="6"/>
      <c r="DV329" s="6"/>
      <c r="DW329" s="6">
        <f t="shared" ref="DW329" si="418">SUM(DK329:DT329)</f>
        <v>930337</v>
      </c>
      <c r="DX329" s="179"/>
      <c r="DY329" s="6">
        <f t="shared" ref="DY329" si="419">DO329+DT329+H329+I329+J329+K329+CG329</f>
        <v>578928</v>
      </c>
      <c r="DZ329" s="6">
        <f t="shared" si="106"/>
        <v>62237</v>
      </c>
      <c r="EA329" s="179"/>
      <c r="EB329" s="6">
        <f t="shared" ref="EB329" si="420">DZ329+DF329</f>
        <v>1038613</v>
      </c>
      <c r="EC329" s="6"/>
      <c r="ED329" s="6"/>
      <c r="EE329" s="179"/>
      <c r="EF329" s="6">
        <f t="shared" ref="EF329" si="421">SUM(BE329:CK329)-CG329-BP329</f>
        <v>582680</v>
      </c>
      <c r="EG329" s="6">
        <f t="shared" ref="EG329" si="422">SUM(M329:BC329)-AQ329</f>
        <v>260193</v>
      </c>
      <c r="EH329" s="6">
        <f t="shared" ref="EH329" si="423">SUM(EF329:EG329)</f>
        <v>842873</v>
      </c>
      <c r="EI329" s="36">
        <f t="shared" ref="EI329" si="424">(EF329-EF328)/EF328</f>
        <v>-4.5205577746418235E-3</v>
      </c>
      <c r="EJ329" s="36">
        <f t="shared" ref="EJ329" si="425">(EG329-EG328)/EG328</f>
        <v>-7.4888243697866265E-4</v>
      </c>
      <c r="EK329" s="179"/>
      <c r="EL329" s="179"/>
      <c r="EM329" s="104"/>
      <c r="EN329" s="104"/>
      <c r="EO329" s="179"/>
      <c r="EP329" s="179"/>
      <c r="EQ329" s="179"/>
      <c r="ER329" s="179"/>
      <c r="ES329" s="179"/>
      <c r="ET329" s="179"/>
      <c r="EU329" s="179"/>
      <c r="EV329" s="179"/>
      <c r="FC329" s="6">
        <f t="shared" si="262"/>
        <v>69138</v>
      </c>
      <c r="FD329" s="6">
        <f t="shared" si="263"/>
        <v>202609</v>
      </c>
      <c r="FE329" s="32">
        <f t="shared" si="264"/>
        <v>457111</v>
      </c>
      <c r="FF329" s="34">
        <f t="shared" si="265"/>
        <v>13008</v>
      </c>
      <c r="FG329" s="31">
        <f t="shared" si="266"/>
        <v>172522</v>
      </c>
      <c r="FH329" s="6">
        <f t="shared" si="267"/>
        <v>15949</v>
      </c>
      <c r="FI329" s="6">
        <f t="shared" si="268"/>
        <v>0</v>
      </c>
      <c r="FU329" s="192">
        <f t="shared" si="149"/>
        <v>82</v>
      </c>
    </row>
    <row r="330" spans="1:177" s="172" customFormat="1">
      <c r="B330" s="50">
        <v>42005</v>
      </c>
      <c r="C330" s="172">
        <v>0</v>
      </c>
      <c r="D330" s="172">
        <v>0</v>
      </c>
      <c r="E330" s="172">
        <v>0</v>
      </c>
      <c r="F330" s="172">
        <v>0</v>
      </c>
      <c r="G330" s="172">
        <v>173</v>
      </c>
      <c r="H330" s="172">
        <v>15897</v>
      </c>
      <c r="I330" s="172">
        <v>37610</v>
      </c>
      <c r="J330" s="172">
        <v>2273</v>
      </c>
      <c r="K330" s="172">
        <v>5602</v>
      </c>
      <c r="L330" s="172">
        <v>652</v>
      </c>
      <c r="M330" s="172">
        <v>23858</v>
      </c>
      <c r="N330" s="172">
        <v>1402</v>
      </c>
      <c r="O330" s="110">
        <v>0</v>
      </c>
      <c r="P330" s="172">
        <v>1221</v>
      </c>
      <c r="Q330" s="172">
        <v>11794</v>
      </c>
      <c r="R330" s="172">
        <v>285</v>
      </c>
      <c r="S330" s="172">
        <v>7335</v>
      </c>
      <c r="T330" s="172">
        <v>11536</v>
      </c>
      <c r="U330" s="172">
        <v>27</v>
      </c>
      <c r="V330" s="172">
        <v>1333</v>
      </c>
      <c r="W330" s="172">
        <v>195</v>
      </c>
      <c r="X330" s="172">
        <v>9980</v>
      </c>
      <c r="Y330" s="172">
        <v>352</v>
      </c>
      <c r="Z330" s="172">
        <v>11</v>
      </c>
      <c r="AA330" s="152">
        <v>16</v>
      </c>
      <c r="AB330" s="172">
        <v>6</v>
      </c>
      <c r="AC330" s="172">
        <v>293</v>
      </c>
      <c r="AD330" s="172">
        <v>24</v>
      </c>
      <c r="AE330" s="172">
        <v>35</v>
      </c>
      <c r="AF330" s="172">
        <v>43</v>
      </c>
      <c r="AG330" s="172">
        <v>79</v>
      </c>
      <c r="AH330" s="172">
        <v>48</v>
      </c>
      <c r="AI330" s="172">
        <v>651</v>
      </c>
      <c r="AJ330" s="172">
        <v>9</v>
      </c>
      <c r="AK330" s="172">
        <v>13853</v>
      </c>
      <c r="AL330" s="172">
        <v>114090</v>
      </c>
      <c r="AM330" s="172">
        <v>2862</v>
      </c>
      <c r="AN330" s="172">
        <v>21738</v>
      </c>
      <c r="AO330" s="172">
        <v>15</v>
      </c>
      <c r="AP330" s="172">
        <v>2</v>
      </c>
      <c r="AQ330" s="172">
        <v>0</v>
      </c>
      <c r="AR330" s="172">
        <v>0</v>
      </c>
      <c r="AS330" s="172">
        <v>922</v>
      </c>
      <c r="AT330" s="172">
        <v>46</v>
      </c>
      <c r="AU330" s="172">
        <v>10415</v>
      </c>
      <c r="AV330" s="172">
        <v>2586</v>
      </c>
      <c r="AW330" s="172">
        <v>5137</v>
      </c>
      <c r="AX330" s="172">
        <v>16774</v>
      </c>
      <c r="AY330" s="152">
        <v>34</v>
      </c>
      <c r="AZ330" s="152">
        <v>52</v>
      </c>
      <c r="BA330" s="152">
        <v>968</v>
      </c>
      <c r="BB330" s="152">
        <v>0</v>
      </c>
      <c r="BC330" s="172">
        <v>225</v>
      </c>
      <c r="BD330" s="172">
        <v>412</v>
      </c>
      <c r="BE330" s="172">
        <v>0</v>
      </c>
      <c r="BF330" s="172">
        <v>0</v>
      </c>
      <c r="BG330" s="172">
        <v>7691</v>
      </c>
      <c r="BH330" s="172">
        <v>0</v>
      </c>
      <c r="BI330" s="172">
        <v>0</v>
      </c>
      <c r="BJ330" s="172">
        <v>0</v>
      </c>
      <c r="BK330" s="172">
        <v>64</v>
      </c>
      <c r="BL330" s="172">
        <v>5346</v>
      </c>
      <c r="BM330" s="172">
        <v>0</v>
      </c>
      <c r="BN330" s="172">
        <v>449</v>
      </c>
      <c r="BO330" s="172">
        <v>5</v>
      </c>
      <c r="BP330" s="172">
        <v>76649</v>
      </c>
      <c r="BQ330" s="172">
        <v>77123</v>
      </c>
      <c r="BR330" s="172">
        <v>292</v>
      </c>
      <c r="BS330" s="172">
        <v>129</v>
      </c>
      <c r="BT330" s="172">
        <v>19107</v>
      </c>
      <c r="BU330" s="172">
        <v>67</v>
      </c>
      <c r="BV330" s="172">
        <v>0</v>
      </c>
      <c r="BW330" s="172">
        <v>4</v>
      </c>
      <c r="BX330" s="172">
        <v>13</v>
      </c>
      <c r="BY330" s="181"/>
      <c r="BZ330" s="172">
        <v>18</v>
      </c>
      <c r="CA330" s="172">
        <v>0</v>
      </c>
      <c r="CB330" s="172">
        <v>21830</v>
      </c>
      <c r="CC330" s="172">
        <v>15890</v>
      </c>
      <c r="CD330" s="172">
        <v>137851</v>
      </c>
      <c r="CE330" s="172">
        <v>268156</v>
      </c>
      <c r="CF330" s="172">
        <v>28071</v>
      </c>
      <c r="CG330" s="172">
        <v>46690</v>
      </c>
      <c r="CH330" s="172">
        <v>0</v>
      </c>
      <c r="CI330" s="172">
        <v>24</v>
      </c>
      <c r="CJ330" s="172">
        <v>5</v>
      </c>
      <c r="CK330" s="172">
        <v>23</v>
      </c>
      <c r="CL330" s="289"/>
      <c r="CM330" s="289"/>
      <c r="CN330" s="289"/>
      <c r="CO330" s="289"/>
      <c r="CP330" s="289"/>
      <c r="CQ330" s="289"/>
      <c r="CR330" s="177">
        <v>53</v>
      </c>
      <c r="CS330" s="186"/>
      <c r="CT330" s="172">
        <v>0</v>
      </c>
      <c r="CU330" s="172">
        <v>0</v>
      </c>
      <c r="CV330" s="172">
        <v>0</v>
      </c>
      <c r="CW330" s="172">
        <v>16</v>
      </c>
      <c r="CX330" s="172">
        <v>0</v>
      </c>
      <c r="CY330" s="172">
        <v>29</v>
      </c>
      <c r="DA330" s="6"/>
      <c r="DC330" s="6"/>
      <c r="DD330" s="6">
        <f t="shared" ref="DD330" si="426">SUM(AY330:AZ330,BE330:CK330)</f>
        <v>705583</v>
      </c>
      <c r="DE330" s="6">
        <f t="shared" si="102"/>
        <v>259251</v>
      </c>
      <c r="DF330" s="8">
        <f t="shared" ref="DF330" si="427">SUM(DD330:DE330)</f>
        <v>964834</v>
      </c>
      <c r="DG330" s="180"/>
      <c r="DH330" s="191"/>
      <c r="DI330" s="191"/>
      <c r="DJ330" s="191"/>
      <c r="DK330" s="6">
        <f t="shared" si="103"/>
        <v>57430</v>
      </c>
      <c r="DL330" s="6">
        <f t="shared" si="379"/>
        <v>152644</v>
      </c>
      <c r="DM330" s="6">
        <f t="shared" ref="DM330" si="428">T330</f>
        <v>11536</v>
      </c>
      <c r="DN330" s="6">
        <f t="shared" ref="DN330" si="429">AG330+AX330+AN330+AP330+AQ330+AR330</f>
        <v>38593</v>
      </c>
      <c r="DO330" s="6">
        <f t="shared" si="413"/>
        <v>456549</v>
      </c>
      <c r="DP330" s="6">
        <f t="shared" si="414"/>
        <v>97143</v>
      </c>
      <c r="DQ330" s="6">
        <f t="shared" ref="DQ330:DQ351" si="430">BY330</f>
        <v>0</v>
      </c>
      <c r="DR330" s="6">
        <f t="shared" si="415"/>
        <v>15930</v>
      </c>
      <c r="DS330" s="6">
        <f t="shared" ref="DS330" si="431">BP330+BV330</f>
        <v>76649</v>
      </c>
      <c r="DT330" s="6">
        <f t="shared" ref="DT330" si="432">BG330+BJ330+BL330+BM330+BX330</f>
        <v>13050</v>
      </c>
      <c r="DU330" s="6"/>
      <c r="DV330" s="6"/>
      <c r="DW330" s="6">
        <f t="shared" ref="DW330" si="433">SUM(DK330:DT330)</f>
        <v>919524</v>
      </c>
      <c r="DX330" s="180"/>
      <c r="DY330" s="6">
        <f t="shared" ref="DY330" si="434">DO330+DT330+H330+I330+J330+K330+CG330</f>
        <v>577671</v>
      </c>
      <c r="DZ330" s="6">
        <f t="shared" ref="DZ330:DZ335" si="435">SUM(G330:L330,O330)</f>
        <v>62207</v>
      </c>
      <c r="EA330" s="180"/>
      <c r="EB330" s="6">
        <f t="shared" ref="EB330" si="436">DZ330+DF330</f>
        <v>1027041</v>
      </c>
      <c r="EC330" s="6"/>
      <c r="ED330" s="6"/>
      <c r="EE330" s="180"/>
      <c r="EF330" s="6">
        <f t="shared" ref="EF330" si="437">SUM(BE330:CK330)-CG330-BP330</f>
        <v>582158</v>
      </c>
      <c r="EG330" s="6">
        <f t="shared" ref="EG330" si="438">SUM(M330:BC330)-AQ330</f>
        <v>260252</v>
      </c>
      <c r="EH330" s="6">
        <f t="shared" ref="EH330" si="439">SUM(EF330:EG330)</f>
        <v>842410</v>
      </c>
      <c r="EI330" s="36">
        <f t="shared" ref="EI330" si="440">(EF330-EF329)/EF329</f>
        <v>-8.9586050662456235E-4</v>
      </c>
      <c r="EJ330" s="36">
        <f t="shared" ref="EJ330" si="441">(EG330-EG329)/EG329</f>
        <v>2.2675475512408096E-4</v>
      </c>
      <c r="EM330" s="104"/>
      <c r="EN330" s="104"/>
      <c r="FC330" s="6">
        <f t="shared" si="262"/>
        <v>68966</v>
      </c>
      <c r="FD330" s="6">
        <f t="shared" si="263"/>
        <v>191237</v>
      </c>
      <c r="FE330" s="32">
        <f t="shared" si="264"/>
        <v>456549</v>
      </c>
      <c r="FF330" s="34">
        <f t="shared" si="265"/>
        <v>13050</v>
      </c>
      <c r="FG330" s="31">
        <f t="shared" si="266"/>
        <v>173792</v>
      </c>
      <c r="FH330" s="6">
        <f t="shared" si="267"/>
        <v>15930</v>
      </c>
      <c r="FI330" s="6">
        <f t="shared" si="268"/>
        <v>0</v>
      </c>
      <c r="FU330" s="192">
        <f t="shared" si="149"/>
        <v>102</v>
      </c>
    </row>
    <row r="331" spans="1:177" s="172" customFormat="1">
      <c r="B331" s="50">
        <v>42036</v>
      </c>
      <c r="C331" s="172">
        <v>0</v>
      </c>
      <c r="D331" s="172">
        <v>0</v>
      </c>
      <c r="E331" s="172">
        <v>0</v>
      </c>
      <c r="F331" s="172">
        <v>0</v>
      </c>
      <c r="G331" s="172">
        <v>326</v>
      </c>
      <c r="H331" s="172">
        <v>16294</v>
      </c>
      <c r="I331" s="172">
        <v>37844</v>
      </c>
      <c r="J331" s="172">
        <v>2165</v>
      </c>
      <c r="K331" s="172">
        <v>5261</v>
      </c>
      <c r="L331" s="172">
        <v>535</v>
      </c>
      <c r="M331" s="172">
        <v>23801</v>
      </c>
      <c r="N331" s="172">
        <v>1375</v>
      </c>
      <c r="O331" s="181">
        <v>4</v>
      </c>
      <c r="P331" s="172">
        <v>1203</v>
      </c>
      <c r="Q331" s="172">
        <v>11733</v>
      </c>
      <c r="R331" s="172">
        <v>284</v>
      </c>
      <c r="S331" s="172">
        <v>7291</v>
      </c>
      <c r="T331" s="172">
        <v>11578</v>
      </c>
      <c r="U331" s="172">
        <v>27</v>
      </c>
      <c r="V331" s="172">
        <v>1372</v>
      </c>
      <c r="W331" s="172">
        <v>193</v>
      </c>
      <c r="X331" s="172">
        <v>10096</v>
      </c>
      <c r="Y331" s="172">
        <v>353</v>
      </c>
      <c r="Z331" s="172">
        <v>11</v>
      </c>
      <c r="AA331" s="152">
        <v>15</v>
      </c>
      <c r="AB331" s="172">
        <v>5</v>
      </c>
      <c r="AC331" s="172">
        <v>286</v>
      </c>
      <c r="AD331" s="172">
        <v>24</v>
      </c>
      <c r="AE331" s="172">
        <v>39</v>
      </c>
      <c r="AF331" s="172">
        <v>41</v>
      </c>
      <c r="AG331" s="172">
        <v>80</v>
      </c>
      <c r="AH331" s="172">
        <v>51</v>
      </c>
      <c r="AI331" s="172">
        <v>674</v>
      </c>
      <c r="AJ331" s="172">
        <v>9</v>
      </c>
      <c r="AK331" s="172">
        <v>13959</v>
      </c>
      <c r="AL331" s="172">
        <v>114330</v>
      </c>
      <c r="AM331" s="172">
        <v>2857</v>
      </c>
      <c r="AN331" s="172">
        <v>21823</v>
      </c>
      <c r="AO331" s="172">
        <v>15</v>
      </c>
      <c r="AP331" s="172">
        <v>4</v>
      </c>
      <c r="AQ331" s="172">
        <v>8423</v>
      </c>
      <c r="AR331" s="172">
        <v>0</v>
      </c>
      <c r="AS331" s="172">
        <v>835</v>
      </c>
      <c r="AT331" s="172">
        <v>48</v>
      </c>
      <c r="AU331" s="172">
        <v>10536</v>
      </c>
      <c r="AV331" s="172">
        <v>2579</v>
      </c>
      <c r="AW331" s="172">
        <v>5155</v>
      </c>
      <c r="AX331" s="172">
        <v>16851</v>
      </c>
      <c r="AY331" s="152">
        <v>56</v>
      </c>
      <c r="AZ331" s="152">
        <v>87</v>
      </c>
      <c r="BA331" s="152">
        <v>969</v>
      </c>
      <c r="BB331" s="152">
        <v>0</v>
      </c>
      <c r="BC331" s="172">
        <v>221</v>
      </c>
      <c r="BD331" s="172">
        <v>455</v>
      </c>
      <c r="BE331" s="172">
        <v>0</v>
      </c>
      <c r="BF331" s="172">
        <v>0</v>
      </c>
      <c r="BG331" s="172">
        <v>7703</v>
      </c>
      <c r="BH331" s="172">
        <v>0</v>
      </c>
      <c r="BI331" s="172">
        <v>0</v>
      </c>
      <c r="BJ331" s="172">
        <v>0</v>
      </c>
      <c r="BK331" s="172">
        <v>70</v>
      </c>
      <c r="BL331" s="172">
        <v>5354</v>
      </c>
      <c r="BM331" s="172">
        <v>0</v>
      </c>
      <c r="BN331" s="172">
        <v>424</v>
      </c>
      <c r="BO331" s="172">
        <v>5</v>
      </c>
      <c r="BP331" s="172">
        <v>81157</v>
      </c>
      <c r="BQ331" s="172">
        <v>77442</v>
      </c>
      <c r="BR331" s="172">
        <v>265</v>
      </c>
      <c r="BS331" s="172">
        <v>142</v>
      </c>
      <c r="BT331" s="172">
        <v>20304</v>
      </c>
      <c r="BU331" s="172">
        <v>65</v>
      </c>
      <c r="BV331" s="172">
        <v>0</v>
      </c>
      <c r="BW331" s="172">
        <v>4</v>
      </c>
      <c r="BX331" s="172">
        <v>12</v>
      </c>
      <c r="BY331" s="181">
        <v>112</v>
      </c>
      <c r="BZ331" s="172">
        <v>14</v>
      </c>
      <c r="CA331" s="172">
        <v>0</v>
      </c>
      <c r="CB331" s="172">
        <v>22060</v>
      </c>
      <c r="CC331" s="172">
        <v>16379</v>
      </c>
      <c r="CD331" s="172">
        <v>138725</v>
      </c>
      <c r="CE331" s="172">
        <v>271765</v>
      </c>
      <c r="CF331" s="172">
        <v>28501</v>
      </c>
      <c r="CG331" s="172">
        <v>46946</v>
      </c>
      <c r="CH331" s="172">
        <v>0</v>
      </c>
      <c r="CI331" s="172">
        <v>25</v>
      </c>
      <c r="CJ331" s="172">
        <v>6</v>
      </c>
      <c r="CK331" s="172">
        <v>18</v>
      </c>
      <c r="CL331" s="289"/>
      <c r="CM331" s="289"/>
      <c r="CN331" s="289"/>
      <c r="CO331" s="289"/>
      <c r="CP331" s="289"/>
      <c r="CQ331" s="289"/>
      <c r="CR331" s="177">
        <v>71</v>
      </c>
      <c r="CS331" s="186"/>
      <c r="CT331" s="172">
        <v>0</v>
      </c>
      <c r="CU331" s="172">
        <v>0</v>
      </c>
      <c r="CV331" s="172">
        <v>0</v>
      </c>
      <c r="CW331" s="172">
        <v>16</v>
      </c>
      <c r="CX331" s="172">
        <v>0</v>
      </c>
      <c r="CY331" s="172">
        <v>29</v>
      </c>
      <c r="DA331" s="6"/>
      <c r="DC331" s="6"/>
      <c r="DD331" s="6">
        <f t="shared" ref="DD331" si="442">SUM(AY331:AZ331,BE331:CK331)</f>
        <v>717641</v>
      </c>
      <c r="DE331" s="6">
        <f t="shared" si="102"/>
        <v>268248</v>
      </c>
      <c r="DF331" s="8">
        <f t="shared" ref="DF331" si="443">SUM(DD331:DE331)</f>
        <v>985889</v>
      </c>
      <c r="DG331" s="181"/>
      <c r="DH331" s="191"/>
      <c r="DI331" s="191"/>
      <c r="DJ331" s="191"/>
      <c r="DK331" s="6">
        <f t="shared" si="103"/>
        <v>57375</v>
      </c>
      <c r="DL331" s="6">
        <f t="shared" si="379"/>
        <v>153068</v>
      </c>
      <c r="DM331" s="6">
        <f t="shared" ref="DM331" si="444">T331</f>
        <v>11578</v>
      </c>
      <c r="DN331" s="6">
        <f t="shared" ref="DN331" si="445">AG331+AX331+AN331+AP331+AQ331+AR331</f>
        <v>47181</v>
      </c>
      <c r="DO331" s="6">
        <f t="shared" si="413"/>
        <v>461696</v>
      </c>
      <c r="DP331" s="6">
        <f t="shared" si="414"/>
        <v>98712</v>
      </c>
      <c r="DQ331" s="6">
        <f t="shared" si="430"/>
        <v>112</v>
      </c>
      <c r="DR331" s="6">
        <f t="shared" si="415"/>
        <v>16419</v>
      </c>
      <c r="DS331" s="6">
        <f t="shared" ref="DS331" si="446">BP331+BV331</f>
        <v>81157</v>
      </c>
      <c r="DT331" s="6">
        <f t="shared" ref="DT331" si="447">BG331+BJ331+BL331+BM331+BX331</f>
        <v>13069</v>
      </c>
      <c r="DU331" s="6"/>
      <c r="DV331" s="6"/>
      <c r="DW331" s="6">
        <f t="shared" ref="DW331" si="448">SUM(DK331:DT331)</f>
        <v>940367</v>
      </c>
      <c r="DX331" s="181"/>
      <c r="DY331" s="6">
        <f t="shared" ref="DY331" si="449">DO331+DT331+H331+I331+J331+K331+CG331</f>
        <v>583275</v>
      </c>
      <c r="DZ331" s="6">
        <f t="shared" si="435"/>
        <v>62429</v>
      </c>
      <c r="EA331" s="181"/>
      <c r="EB331" s="6">
        <f t="shared" ref="EB331" si="450">DZ331+DF331</f>
        <v>1048318</v>
      </c>
      <c r="EC331" s="6"/>
      <c r="ED331" s="6"/>
      <c r="EE331" s="181"/>
      <c r="EF331" s="6">
        <f t="shared" ref="EF331" si="451">SUM(BE331:CK331)-CG331-BP331</f>
        <v>589395</v>
      </c>
      <c r="EG331" s="6">
        <f t="shared" ref="EG331" si="452">SUM(M331:BC331)-AQ331</f>
        <v>260870</v>
      </c>
      <c r="EH331" s="6">
        <f t="shared" ref="EH331" si="453">SUM(EF331:EG331)</f>
        <v>850265</v>
      </c>
      <c r="EI331" s="36">
        <f t="shared" ref="EI331" si="454">(EF331-EF330)/EF330</f>
        <v>1.2431333074526159E-2</v>
      </c>
      <c r="EJ331" s="36">
        <f t="shared" ref="EJ331" si="455">(EG331-EG330)/EG330</f>
        <v>2.3746215206799566E-3</v>
      </c>
      <c r="EM331" s="104"/>
      <c r="EN331" s="104"/>
      <c r="FC331" s="6">
        <f t="shared" si="262"/>
        <v>68953</v>
      </c>
      <c r="FD331" s="6">
        <f t="shared" si="263"/>
        <v>200249</v>
      </c>
      <c r="FE331" s="32">
        <f t="shared" si="264"/>
        <v>461696</v>
      </c>
      <c r="FF331" s="34">
        <f t="shared" si="265"/>
        <v>13069</v>
      </c>
      <c r="FG331" s="31">
        <f t="shared" si="266"/>
        <v>179981</v>
      </c>
      <c r="FH331" s="6">
        <f t="shared" si="267"/>
        <v>16419</v>
      </c>
      <c r="FI331" s="6">
        <f t="shared" si="268"/>
        <v>0</v>
      </c>
      <c r="FU331" s="192">
        <f t="shared" si="149"/>
        <v>158</v>
      </c>
    </row>
    <row r="332" spans="1:177" s="172" customFormat="1">
      <c r="B332" s="50">
        <v>42064</v>
      </c>
      <c r="C332" s="172">
        <v>0</v>
      </c>
      <c r="D332" s="172">
        <v>0</v>
      </c>
      <c r="E332" s="172">
        <v>0</v>
      </c>
      <c r="F332" s="172">
        <v>0</v>
      </c>
      <c r="G332" s="172">
        <v>493</v>
      </c>
      <c r="H332" s="172">
        <v>16228</v>
      </c>
      <c r="I332" s="172">
        <v>37790</v>
      </c>
      <c r="J332" s="172">
        <v>1964</v>
      </c>
      <c r="K332" s="172">
        <v>4820</v>
      </c>
      <c r="L332" s="172">
        <v>420</v>
      </c>
      <c r="M332" s="172">
        <v>23730</v>
      </c>
      <c r="N332" s="172">
        <v>1378</v>
      </c>
      <c r="O332" s="181">
        <v>17</v>
      </c>
      <c r="P332" s="172">
        <v>1164</v>
      </c>
      <c r="Q332" s="172">
        <v>11658</v>
      </c>
      <c r="R332" s="172">
        <v>284</v>
      </c>
      <c r="S332" s="172">
        <v>7230</v>
      </c>
      <c r="T332" s="172">
        <v>11562</v>
      </c>
      <c r="U332" s="172">
        <v>24</v>
      </c>
      <c r="V332" s="172">
        <v>1405</v>
      </c>
      <c r="W332" s="172">
        <v>189</v>
      </c>
      <c r="X332" s="172">
        <v>10172</v>
      </c>
      <c r="Y332" s="172">
        <v>352</v>
      </c>
      <c r="Z332" s="172">
        <v>11</v>
      </c>
      <c r="AA332" s="152">
        <v>9</v>
      </c>
      <c r="AB332" s="172">
        <v>4</v>
      </c>
      <c r="AC332" s="172">
        <v>286</v>
      </c>
      <c r="AD332" s="172">
        <v>23</v>
      </c>
      <c r="AE332" s="172">
        <v>38</v>
      </c>
      <c r="AF332" s="172">
        <v>42</v>
      </c>
      <c r="AG332" s="172">
        <v>76</v>
      </c>
      <c r="AH332" s="172">
        <v>50</v>
      </c>
      <c r="AI332" s="172">
        <v>698</v>
      </c>
      <c r="AJ332" s="172">
        <v>9</v>
      </c>
      <c r="AK332" s="172">
        <v>13959</v>
      </c>
      <c r="AL332" s="172">
        <v>114481</v>
      </c>
      <c r="AM332" s="172">
        <v>2829</v>
      </c>
      <c r="AN332" s="172">
        <v>21897</v>
      </c>
      <c r="AO332" s="172">
        <v>17</v>
      </c>
      <c r="AP332" s="172">
        <v>6</v>
      </c>
      <c r="AQ332" s="172">
        <v>9339</v>
      </c>
      <c r="AR332" s="172">
        <v>0</v>
      </c>
      <c r="AS332" s="172">
        <v>833</v>
      </c>
      <c r="AT332" s="172">
        <v>46</v>
      </c>
      <c r="AU332" s="172">
        <v>10590</v>
      </c>
      <c r="AV332" s="172">
        <v>2593</v>
      </c>
      <c r="AW332" s="172">
        <v>5164</v>
      </c>
      <c r="AX332" s="172">
        <v>16876</v>
      </c>
      <c r="AY332" s="152">
        <v>38</v>
      </c>
      <c r="AZ332" s="152">
        <v>66</v>
      </c>
      <c r="BA332" s="152">
        <v>962</v>
      </c>
      <c r="BB332" s="152">
        <v>0</v>
      </c>
      <c r="BC332" s="172">
        <v>212</v>
      </c>
      <c r="BD332" s="172">
        <v>476</v>
      </c>
      <c r="BE332" s="172">
        <v>0</v>
      </c>
      <c r="BF332" s="172">
        <v>0</v>
      </c>
      <c r="BG332" s="172">
        <v>7704</v>
      </c>
      <c r="BH332" s="172">
        <v>0</v>
      </c>
      <c r="BI332" s="172">
        <v>0</v>
      </c>
      <c r="BJ332" s="172">
        <v>0</v>
      </c>
      <c r="BK332" s="172">
        <v>75</v>
      </c>
      <c r="BL332" s="172">
        <v>5320</v>
      </c>
      <c r="BM332" s="172">
        <v>0</v>
      </c>
      <c r="BN332" s="172">
        <v>386</v>
      </c>
      <c r="BO332" s="172">
        <v>3</v>
      </c>
      <c r="BP332" s="172">
        <v>86313</v>
      </c>
      <c r="BQ332" s="172">
        <v>76978</v>
      </c>
      <c r="BR332" s="172">
        <v>263</v>
      </c>
      <c r="BS332" s="172">
        <v>133</v>
      </c>
      <c r="BT332" s="172">
        <v>21317</v>
      </c>
      <c r="BU332" s="172">
        <v>67</v>
      </c>
      <c r="BV332" s="172">
        <v>1</v>
      </c>
      <c r="BW332" s="172">
        <v>5</v>
      </c>
      <c r="BX332" s="172">
        <v>11</v>
      </c>
      <c r="BY332" s="181">
        <v>696</v>
      </c>
      <c r="BZ332" s="172">
        <v>15</v>
      </c>
      <c r="CA332" s="172">
        <v>0</v>
      </c>
      <c r="CB332" s="172">
        <v>22118</v>
      </c>
      <c r="CC332" s="172">
        <v>16112</v>
      </c>
      <c r="CD332" s="172">
        <v>138906</v>
      </c>
      <c r="CE332" s="172">
        <v>273308</v>
      </c>
      <c r="CF332" s="172">
        <v>28580</v>
      </c>
      <c r="CG332" s="172">
        <v>47065</v>
      </c>
      <c r="CH332" s="172">
        <v>0</v>
      </c>
      <c r="CI332" s="172">
        <v>26</v>
      </c>
      <c r="CJ332" s="172">
        <v>5</v>
      </c>
      <c r="CK332" s="172">
        <v>17</v>
      </c>
      <c r="CL332" s="289"/>
      <c r="CM332" s="289"/>
      <c r="CN332" s="289"/>
      <c r="CO332" s="289"/>
      <c r="CP332" s="289"/>
      <c r="CQ332" s="289"/>
      <c r="CR332" s="177">
        <v>86</v>
      </c>
      <c r="CS332" s="186"/>
      <c r="CT332" s="172">
        <v>0</v>
      </c>
      <c r="CU332" s="172">
        <v>0</v>
      </c>
      <c r="CV332" s="172">
        <v>0</v>
      </c>
      <c r="CW332" s="172">
        <v>15</v>
      </c>
      <c r="CX332" s="172">
        <v>0</v>
      </c>
      <c r="CY332" s="172">
        <v>28</v>
      </c>
      <c r="DA332" s="6"/>
      <c r="DC332" s="6"/>
      <c r="DD332" s="6">
        <f t="shared" ref="DD332" si="456">SUM(AY332:AZ332,BE332:CK332)</f>
        <v>725528</v>
      </c>
      <c r="DE332" s="6">
        <f t="shared" ref="DE332:DE342" si="457">SUM(M332:N332,P332:AX332,BB332:BC332)+CR332+CS332</f>
        <v>269322</v>
      </c>
      <c r="DF332" s="8">
        <f t="shared" ref="DF332" si="458">SUM(DD332:DE332)</f>
        <v>994850</v>
      </c>
      <c r="DG332" s="182"/>
      <c r="DH332" s="191"/>
      <c r="DI332" s="191"/>
      <c r="DJ332" s="191"/>
      <c r="DK332" s="6">
        <f t="shared" ref="DK332:DK357" si="459">SUM(M332:N332,P332:S332,U332:X332)</f>
        <v>57234</v>
      </c>
      <c r="DL332" s="6">
        <f t="shared" si="379"/>
        <v>153285</v>
      </c>
      <c r="DM332" s="6">
        <f t="shared" ref="DM332" si="460">T332</f>
        <v>11562</v>
      </c>
      <c r="DN332" s="6">
        <f t="shared" ref="DN332" si="461">AG332+AX332+AN332+AP332+AQ332+AR332</f>
        <v>48194</v>
      </c>
      <c r="DO332" s="6">
        <f t="shared" si="413"/>
        <v>463533</v>
      </c>
      <c r="DP332" s="6">
        <f t="shared" si="414"/>
        <v>99223</v>
      </c>
      <c r="DQ332" s="6">
        <f t="shared" si="430"/>
        <v>696</v>
      </c>
      <c r="DR332" s="6">
        <f t="shared" si="415"/>
        <v>16147</v>
      </c>
      <c r="DS332" s="6">
        <f t="shared" ref="DS332" si="462">BP332+BV332</f>
        <v>86314</v>
      </c>
      <c r="DT332" s="6">
        <f t="shared" ref="DT332" si="463">BG332+BJ332+BL332+BM332+BX332</f>
        <v>13035</v>
      </c>
      <c r="DU332" s="6"/>
      <c r="DV332" s="6"/>
      <c r="DW332" s="6">
        <f t="shared" ref="DW332" si="464">SUM(DK332:DT332)</f>
        <v>949223</v>
      </c>
      <c r="DX332" s="182"/>
      <c r="DY332" s="6">
        <f t="shared" ref="DY332" si="465">DO332+DT332+H332+I332+J332+K332+CG332</f>
        <v>584435</v>
      </c>
      <c r="DZ332" s="6">
        <f t="shared" si="435"/>
        <v>61732</v>
      </c>
      <c r="EA332" s="182"/>
      <c r="EB332" s="6">
        <f t="shared" ref="EB332" si="466">DZ332+DF332</f>
        <v>1056582</v>
      </c>
      <c r="EC332" s="6"/>
      <c r="ED332" s="6"/>
      <c r="EE332" s="182"/>
      <c r="EF332" s="6">
        <f t="shared" ref="EF332" si="467">SUM(BE332:CK332)-CG332-BP332</f>
        <v>592046</v>
      </c>
      <c r="EG332" s="6">
        <f t="shared" ref="EG332" si="468">SUM(M332:BC332)-AQ332</f>
        <v>260980</v>
      </c>
      <c r="EH332" s="6">
        <f t="shared" ref="EH332" si="469">SUM(EF332:EG332)</f>
        <v>853026</v>
      </c>
      <c r="EI332" s="36">
        <f t="shared" ref="EI332" si="470">(EF332-EF331)/EF331</f>
        <v>4.4978325231805494E-3</v>
      </c>
      <c r="EJ332" s="36">
        <f t="shared" ref="EJ332" si="471">(EG332-EG331)/EG331</f>
        <v>4.2166596389006016E-4</v>
      </c>
      <c r="EM332" s="104"/>
      <c r="EN332" s="104"/>
      <c r="FC332" s="6">
        <f t="shared" si="262"/>
        <v>68796</v>
      </c>
      <c r="FD332" s="6">
        <f t="shared" si="263"/>
        <v>201479</v>
      </c>
      <c r="FE332" s="32">
        <f t="shared" si="264"/>
        <v>463533</v>
      </c>
      <c r="FF332" s="34">
        <f t="shared" si="265"/>
        <v>13035</v>
      </c>
      <c r="FG332" s="31">
        <f t="shared" si="266"/>
        <v>186233</v>
      </c>
      <c r="FH332" s="6">
        <f t="shared" si="267"/>
        <v>16147</v>
      </c>
      <c r="FI332" s="6">
        <f t="shared" si="268"/>
        <v>0</v>
      </c>
      <c r="FU332" s="192">
        <f t="shared" si="149"/>
        <v>114</v>
      </c>
    </row>
    <row r="333" spans="1:177" s="172" customFormat="1">
      <c r="B333" s="50">
        <v>42095</v>
      </c>
      <c r="C333" s="172">
        <v>0</v>
      </c>
      <c r="D333" s="172">
        <v>0</v>
      </c>
      <c r="E333" s="172">
        <v>0</v>
      </c>
      <c r="F333" s="172">
        <v>0</v>
      </c>
      <c r="G333" s="172">
        <v>658</v>
      </c>
      <c r="H333" s="172">
        <v>16165</v>
      </c>
      <c r="I333" s="172">
        <v>37360</v>
      </c>
      <c r="J333" s="172">
        <v>1743</v>
      </c>
      <c r="K333" s="172">
        <v>4400</v>
      </c>
      <c r="L333" s="172">
        <v>325</v>
      </c>
      <c r="M333" s="172">
        <v>23698</v>
      </c>
      <c r="N333" s="172">
        <v>1372</v>
      </c>
      <c r="O333" s="181">
        <v>34</v>
      </c>
      <c r="P333" s="172">
        <v>1172</v>
      </c>
      <c r="Q333" s="172">
        <v>11704</v>
      </c>
      <c r="R333" s="172">
        <v>280</v>
      </c>
      <c r="S333" s="172">
        <v>7215</v>
      </c>
      <c r="T333" s="172">
        <v>11574</v>
      </c>
      <c r="U333" s="172">
        <v>26</v>
      </c>
      <c r="V333" s="172">
        <v>1470</v>
      </c>
      <c r="W333" s="172">
        <v>198</v>
      </c>
      <c r="X333" s="172">
        <v>10338</v>
      </c>
      <c r="Y333" s="172">
        <v>348</v>
      </c>
      <c r="Z333" s="172">
        <v>12</v>
      </c>
      <c r="AA333" s="152">
        <v>11</v>
      </c>
      <c r="AB333" s="172">
        <v>3</v>
      </c>
      <c r="AC333" s="172">
        <v>281</v>
      </c>
      <c r="AD333" s="172">
        <v>24</v>
      </c>
      <c r="AE333" s="172">
        <v>37</v>
      </c>
      <c r="AF333" s="172">
        <v>40</v>
      </c>
      <c r="AG333" s="172">
        <v>75</v>
      </c>
      <c r="AH333" s="172">
        <v>52</v>
      </c>
      <c r="AI333" s="172">
        <v>722</v>
      </c>
      <c r="AJ333" s="172">
        <v>10</v>
      </c>
      <c r="AK333" s="172">
        <v>14055</v>
      </c>
      <c r="AL333" s="172">
        <v>114805</v>
      </c>
      <c r="AM333" s="172">
        <v>2820</v>
      </c>
      <c r="AN333" s="172">
        <v>21952</v>
      </c>
      <c r="AO333" s="172">
        <v>19</v>
      </c>
      <c r="AP333" s="172">
        <v>10</v>
      </c>
      <c r="AQ333" s="172">
        <v>9906</v>
      </c>
      <c r="AR333" s="172">
        <v>0</v>
      </c>
      <c r="AS333" s="172">
        <v>863</v>
      </c>
      <c r="AT333" s="172">
        <v>47</v>
      </c>
      <c r="AU333" s="172">
        <v>10682</v>
      </c>
      <c r="AV333" s="172">
        <v>2616</v>
      </c>
      <c r="AW333" s="172">
        <v>5217</v>
      </c>
      <c r="AX333" s="172">
        <v>16912</v>
      </c>
      <c r="AY333" s="152">
        <v>56</v>
      </c>
      <c r="AZ333" s="152">
        <v>71</v>
      </c>
      <c r="BA333" s="152">
        <v>987</v>
      </c>
      <c r="BB333" s="152">
        <v>0</v>
      </c>
      <c r="BC333" s="172">
        <v>211</v>
      </c>
      <c r="BD333" s="172">
        <v>504</v>
      </c>
      <c r="BE333" s="172">
        <v>0</v>
      </c>
      <c r="BF333" s="172">
        <v>0</v>
      </c>
      <c r="BG333" s="172">
        <v>7727</v>
      </c>
      <c r="BH333" s="172">
        <v>0</v>
      </c>
      <c r="BI333" s="172">
        <v>0</v>
      </c>
      <c r="BJ333" s="172">
        <v>0</v>
      </c>
      <c r="BK333" s="172">
        <v>76</v>
      </c>
      <c r="BL333" s="172">
        <v>5315</v>
      </c>
      <c r="BM333" s="172">
        <v>1</v>
      </c>
      <c r="BN333" s="172">
        <v>404</v>
      </c>
      <c r="BO333" s="172">
        <v>3</v>
      </c>
      <c r="BP333" s="172">
        <v>91901</v>
      </c>
      <c r="BQ333" s="172">
        <v>77743</v>
      </c>
      <c r="BR333" s="172">
        <v>240</v>
      </c>
      <c r="BS333" s="172">
        <v>139</v>
      </c>
      <c r="BT333" s="172">
        <v>22456</v>
      </c>
      <c r="BU333" s="172">
        <v>69</v>
      </c>
      <c r="BV333" s="172">
        <v>1</v>
      </c>
      <c r="BW333" s="172">
        <v>2</v>
      </c>
      <c r="BX333" s="172">
        <v>12</v>
      </c>
      <c r="BY333" s="181">
        <v>1671</v>
      </c>
      <c r="BZ333" s="172">
        <v>17</v>
      </c>
      <c r="CA333" s="172">
        <v>0</v>
      </c>
      <c r="CB333" s="172">
        <v>22319</v>
      </c>
      <c r="CC333" s="172">
        <v>16330</v>
      </c>
      <c r="CD333" s="172">
        <v>140498</v>
      </c>
      <c r="CE333" s="172">
        <v>276617</v>
      </c>
      <c r="CF333" s="172">
        <v>29293</v>
      </c>
      <c r="CG333" s="172">
        <v>47507</v>
      </c>
      <c r="CH333" s="172">
        <v>0</v>
      </c>
      <c r="CI333" s="172">
        <v>26</v>
      </c>
      <c r="CJ333" s="172">
        <v>6</v>
      </c>
      <c r="CK333" s="172">
        <v>19</v>
      </c>
      <c r="CL333" s="289"/>
      <c r="CM333" s="289"/>
      <c r="CN333" s="289"/>
      <c r="CO333" s="289"/>
      <c r="CP333" s="289"/>
      <c r="CQ333" s="289"/>
      <c r="CR333" s="177">
        <v>97</v>
      </c>
      <c r="CS333" s="186"/>
      <c r="CT333" s="172">
        <v>0</v>
      </c>
      <c r="CU333" s="172">
        <v>0</v>
      </c>
      <c r="CV333" s="172">
        <v>0</v>
      </c>
      <c r="CW333" s="172">
        <v>15</v>
      </c>
      <c r="CX333" s="172">
        <v>0</v>
      </c>
      <c r="CY333" s="172">
        <v>28</v>
      </c>
      <c r="DA333" s="6"/>
      <c r="DC333" s="6"/>
      <c r="DD333" s="6">
        <f t="shared" ref="DD333" si="472">SUM(AY333:AZ333,BE333:CK333)</f>
        <v>740519</v>
      </c>
      <c r="DE333" s="6">
        <f t="shared" si="457"/>
        <v>270874</v>
      </c>
      <c r="DF333" s="8">
        <f t="shared" ref="DF333" si="473">SUM(DD333:DE333)</f>
        <v>1011393</v>
      </c>
      <c r="DG333" s="185"/>
      <c r="DH333" s="191"/>
      <c r="DI333" s="191"/>
      <c r="DJ333" s="191"/>
      <c r="DK333" s="6">
        <f t="shared" si="459"/>
        <v>57473</v>
      </c>
      <c r="DL333" s="6">
        <f t="shared" ref="DL333:DL338" si="474">SUM(Y333:Z333,AB333:AF333,AH333:AM333,AO333,AS333:AW333,BA333:BC333)+CR333+CS333</f>
        <v>153948</v>
      </c>
      <c r="DM333" s="6">
        <f t="shared" ref="DM333" si="475">T333</f>
        <v>11574</v>
      </c>
      <c r="DN333" s="6">
        <f t="shared" ref="DN333" si="476">AG333+AX333+AN333+AP333+AQ333+AR333</f>
        <v>48855</v>
      </c>
      <c r="DO333" s="6">
        <f t="shared" si="413"/>
        <v>469354</v>
      </c>
      <c r="DP333" s="6">
        <f t="shared" si="414"/>
        <v>101178</v>
      </c>
      <c r="DQ333" s="6">
        <f t="shared" si="430"/>
        <v>1671</v>
      </c>
      <c r="DR333" s="6">
        <f t="shared" si="415"/>
        <v>16367</v>
      </c>
      <c r="DS333" s="6">
        <f t="shared" ref="DS333" si="477">BP333+BV333</f>
        <v>91902</v>
      </c>
      <c r="DT333" s="6">
        <f t="shared" ref="DT333" si="478">BG333+BJ333+BL333+BM333+BX333</f>
        <v>13055</v>
      </c>
      <c r="DU333" s="6"/>
      <c r="DV333" s="6"/>
      <c r="DW333" s="6">
        <f t="shared" ref="DW333" si="479">SUM(DK333:DT333)</f>
        <v>965377</v>
      </c>
      <c r="DX333" s="185"/>
      <c r="DY333" s="6">
        <f t="shared" ref="DY333" si="480">DO333+DT333+H333+I333+J333+K333+CG333</f>
        <v>589584</v>
      </c>
      <c r="DZ333" s="6">
        <f t="shared" si="435"/>
        <v>60685</v>
      </c>
      <c r="EA333" s="185"/>
      <c r="EB333" s="6">
        <f t="shared" ref="EB333" si="481">DZ333+DF333</f>
        <v>1072078</v>
      </c>
      <c r="EC333" s="6"/>
      <c r="ED333" s="6"/>
      <c r="EE333" s="185"/>
      <c r="EF333" s="6">
        <f t="shared" ref="EF333" si="482">SUM(BE333:CK333)-CG333-BP333</f>
        <v>600984</v>
      </c>
      <c r="EG333" s="6">
        <f t="shared" ref="EG333" si="483">SUM(M333:BC333)-AQ333</f>
        <v>262019</v>
      </c>
      <c r="EH333" s="6">
        <f t="shared" ref="EH333" si="484">SUM(EF333:EG333)</f>
        <v>863003</v>
      </c>
      <c r="EI333" s="36">
        <f t="shared" ref="EI333" si="485">(EF333-EF332)/EF332</f>
        <v>1.509679991081774E-2</v>
      </c>
      <c r="EJ333" s="36">
        <f t="shared" ref="EJ333" si="486">(EG333-EG332)/EG332</f>
        <v>3.9811479806881756E-3</v>
      </c>
      <c r="EM333" s="104"/>
      <c r="EN333" s="104"/>
      <c r="FC333" s="6">
        <f t="shared" si="262"/>
        <v>69047</v>
      </c>
      <c r="FD333" s="6">
        <f t="shared" si="263"/>
        <v>202803</v>
      </c>
      <c r="FE333" s="32">
        <f t="shared" si="264"/>
        <v>469354</v>
      </c>
      <c r="FF333" s="34">
        <f t="shared" si="265"/>
        <v>13055</v>
      </c>
      <c r="FG333" s="31">
        <f t="shared" si="266"/>
        <v>194751</v>
      </c>
      <c r="FH333" s="6">
        <f t="shared" si="267"/>
        <v>16367</v>
      </c>
      <c r="FI333" s="6">
        <f t="shared" si="268"/>
        <v>0</v>
      </c>
      <c r="FU333" s="192">
        <f t="shared" si="149"/>
        <v>140</v>
      </c>
    </row>
    <row r="334" spans="1:177" s="172" customFormat="1">
      <c r="B334" s="50">
        <v>42125</v>
      </c>
      <c r="C334" s="172">
        <v>0</v>
      </c>
      <c r="D334" s="172">
        <v>0</v>
      </c>
      <c r="E334" s="172">
        <v>0</v>
      </c>
      <c r="F334" s="172">
        <v>0</v>
      </c>
      <c r="G334" s="172">
        <v>807</v>
      </c>
      <c r="H334" s="172">
        <v>15843</v>
      </c>
      <c r="I334" s="172">
        <v>36146</v>
      </c>
      <c r="J334" s="172">
        <v>1552</v>
      </c>
      <c r="K334" s="172">
        <v>3773</v>
      </c>
      <c r="L334" s="172">
        <v>276</v>
      </c>
      <c r="M334" s="172">
        <v>23592</v>
      </c>
      <c r="N334" s="172">
        <v>1366</v>
      </c>
      <c r="O334" s="181">
        <v>55</v>
      </c>
      <c r="P334" s="172">
        <v>1136</v>
      </c>
      <c r="Q334" s="172">
        <v>11670</v>
      </c>
      <c r="R334" s="172">
        <v>277</v>
      </c>
      <c r="S334" s="172">
        <v>7139</v>
      </c>
      <c r="T334" s="172">
        <v>11572</v>
      </c>
      <c r="U334" s="172">
        <v>27</v>
      </c>
      <c r="V334" s="172">
        <v>1507</v>
      </c>
      <c r="W334" s="172">
        <v>186</v>
      </c>
      <c r="X334" s="172">
        <v>10457</v>
      </c>
      <c r="Y334" s="172">
        <v>350</v>
      </c>
      <c r="Z334" s="172">
        <v>12</v>
      </c>
      <c r="AA334" s="152">
        <v>15</v>
      </c>
      <c r="AB334" s="172">
        <v>3</v>
      </c>
      <c r="AC334" s="172">
        <v>274</v>
      </c>
      <c r="AD334" s="172">
        <v>24</v>
      </c>
      <c r="AE334" s="172">
        <v>38</v>
      </c>
      <c r="AF334" s="172">
        <v>40</v>
      </c>
      <c r="AG334" s="172">
        <v>74</v>
      </c>
      <c r="AH334" s="172">
        <v>58</v>
      </c>
      <c r="AI334" s="172">
        <v>741</v>
      </c>
      <c r="AJ334" s="172">
        <v>12</v>
      </c>
      <c r="AK334" s="172">
        <v>14061</v>
      </c>
      <c r="AL334" s="172">
        <v>114860</v>
      </c>
      <c r="AM334" s="172">
        <v>2830</v>
      </c>
      <c r="AN334" s="172">
        <v>21990</v>
      </c>
      <c r="AO334" s="172">
        <v>17</v>
      </c>
      <c r="AP334" s="172">
        <v>5</v>
      </c>
      <c r="AQ334" s="172">
        <v>10286</v>
      </c>
      <c r="AR334" s="172">
        <v>0</v>
      </c>
      <c r="AS334" s="172">
        <v>886</v>
      </c>
      <c r="AT334" s="172">
        <v>48</v>
      </c>
      <c r="AU334" s="172">
        <v>10793</v>
      </c>
      <c r="AV334" s="172">
        <v>2615</v>
      </c>
      <c r="AW334" s="172">
        <v>5176</v>
      </c>
      <c r="AX334" s="172">
        <v>16982</v>
      </c>
      <c r="AY334" s="152">
        <v>30</v>
      </c>
      <c r="AZ334" s="152">
        <v>50</v>
      </c>
      <c r="BA334" s="152">
        <v>993</v>
      </c>
      <c r="BB334" s="152">
        <v>0</v>
      </c>
      <c r="BC334" s="172">
        <v>224</v>
      </c>
      <c r="BD334" s="172">
        <v>524</v>
      </c>
      <c r="BE334" s="172">
        <v>0</v>
      </c>
      <c r="BF334" s="172">
        <v>0</v>
      </c>
      <c r="BG334" s="172">
        <v>7714</v>
      </c>
      <c r="BH334" s="172">
        <v>0</v>
      </c>
      <c r="BI334" s="172">
        <v>0</v>
      </c>
      <c r="BJ334" s="172">
        <v>0</v>
      </c>
      <c r="BK334" s="172">
        <v>76</v>
      </c>
      <c r="BL334" s="172">
        <v>5328</v>
      </c>
      <c r="BM334" s="172">
        <v>0</v>
      </c>
      <c r="BN334" s="172">
        <v>375</v>
      </c>
      <c r="BO334" s="172">
        <v>3</v>
      </c>
      <c r="BP334" s="172">
        <v>96147</v>
      </c>
      <c r="BQ334" s="172">
        <v>77853</v>
      </c>
      <c r="BR334" s="172">
        <v>238</v>
      </c>
      <c r="BS334" s="172">
        <v>144</v>
      </c>
      <c r="BT334" s="172">
        <v>22951</v>
      </c>
      <c r="BU334" s="172">
        <v>71</v>
      </c>
      <c r="BV334" s="172">
        <v>4</v>
      </c>
      <c r="BW334" s="172">
        <v>3</v>
      </c>
      <c r="BX334" s="172">
        <v>12</v>
      </c>
      <c r="BY334" s="181">
        <v>2464</v>
      </c>
      <c r="BZ334" s="172">
        <v>15</v>
      </c>
      <c r="CA334" s="172">
        <v>0</v>
      </c>
      <c r="CB334" s="172">
        <v>22636</v>
      </c>
      <c r="CC334" s="172">
        <v>16705</v>
      </c>
      <c r="CD334" s="172">
        <v>141192</v>
      </c>
      <c r="CE334" s="172">
        <v>278433</v>
      </c>
      <c r="CF334" s="172">
        <v>29597</v>
      </c>
      <c r="CG334" s="172">
        <v>48182</v>
      </c>
      <c r="CH334" s="172">
        <v>0</v>
      </c>
      <c r="CI334" s="172">
        <v>22</v>
      </c>
      <c r="CJ334" s="172">
        <v>5</v>
      </c>
      <c r="CK334" s="172">
        <v>20</v>
      </c>
      <c r="CL334" s="289"/>
      <c r="CM334" s="289"/>
      <c r="CN334" s="289"/>
      <c r="CO334" s="289"/>
      <c r="CP334" s="289"/>
      <c r="CQ334" s="289"/>
      <c r="CR334" s="177">
        <v>112</v>
      </c>
      <c r="CS334" s="186">
        <v>1</v>
      </c>
      <c r="CT334" s="172">
        <v>0</v>
      </c>
      <c r="CU334" s="172">
        <v>0</v>
      </c>
      <c r="CV334" s="172">
        <v>0</v>
      </c>
      <c r="CW334" s="172">
        <v>15</v>
      </c>
      <c r="CX334" s="172">
        <v>0</v>
      </c>
      <c r="CY334" s="172">
        <v>28</v>
      </c>
      <c r="DA334" s="6"/>
      <c r="DC334" s="6"/>
      <c r="DD334" s="6">
        <f t="shared" ref="DD334" si="487">SUM(AY334:AZ334,BE334:CK334)</f>
        <v>750270</v>
      </c>
      <c r="DE334" s="6">
        <f t="shared" si="457"/>
        <v>271456</v>
      </c>
      <c r="DF334" s="8">
        <f t="shared" ref="DF334" si="488">SUM(DD334:DE334)</f>
        <v>1021726</v>
      </c>
      <c r="DG334" s="186"/>
      <c r="DH334" s="191"/>
      <c r="DI334" s="191"/>
      <c r="DJ334" s="191"/>
      <c r="DK334" s="6">
        <f t="shared" si="459"/>
        <v>57357</v>
      </c>
      <c r="DL334" s="6">
        <f t="shared" si="474"/>
        <v>154168</v>
      </c>
      <c r="DM334" s="6">
        <f t="shared" ref="DM334" si="489">T334</f>
        <v>11572</v>
      </c>
      <c r="DN334" s="6">
        <f t="shared" ref="DN334" si="490">AG334+AX334+AN334+AP334+AQ334+AR334</f>
        <v>49337</v>
      </c>
      <c r="DO334" s="6">
        <f t="shared" si="413"/>
        <v>472463</v>
      </c>
      <c r="DP334" s="6">
        <f t="shared" si="414"/>
        <v>101753</v>
      </c>
      <c r="DQ334" s="6">
        <f t="shared" si="430"/>
        <v>2464</v>
      </c>
      <c r="DR334" s="6">
        <f t="shared" si="415"/>
        <v>16742</v>
      </c>
      <c r="DS334" s="6">
        <f t="shared" ref="DS334" si="491">BP334+BV334</f>
        <v>96151</v>
      </c>
      <c r="DT334" s="6">
        <f t="shared" ref="DT334" si="492">BG334+BJ334+BL334+BM334+BX334</f>
        <v>13054</v>
      </c>
      <c r="DU334" s="6"/>
      <c r="DV334" s="6"/>
      <c r="DW334" s="6">
        <f t="shared" ref="DW334" si="493">SUM(DK334:DT334)</f>
        <v>975061</v>
      </c>
      <c r="DX334" s="186"/>
      <c r="DY334" s="6">
        <f t="shared" ref="DY334" si="494">DO334+DT334+H334+I334+J334+K334+CG334</f>
        <v>591013</v>
      </c>
      <c r="DZ334" s="6">
        <f t="shared" si="435"/>
        <v>58452</v>
      </c>
      <c r="EA334" s="186"/>
      <c r="EB334" s="6">
        <f t="shared" ref="EB334" si="495">DZ334+DF334</f>
        <v>1080178</v>
      </c>
      <c r="EC334" s="6"/>
      <c r="ED334" s="6"/>
      <c r="EE334" s="186"/>
      <c r="EF334" s="6">
        <f t="shared" ref="EF334" si="496">SUM(BE334:CK334)-CG334-BP334</f>
        <v>605861</v>
      </c>
      <c r="EG334" s="6">
        <f t="shared" ref="EG334" si="497">SUM(M334:BC334)-AQ334</f>
        <v>262185</v>
      </c>
      <c r="EH334" s="6">
        <f t="shared" ref="EH334" si="498">SUM(EF334:EG334)</f>
        <v>868046</v>
      </c>
      <c r="EI334" s="36">
        <f t="shared" ref="EI334" si="499">(EF334-EF333)/EF333</f>
        <v>8.1150246928370813E-3</v>
      </c>
      <c r="EJ334" s="36">
        <f t="shared" ref="EJ334" si="500">(EG334-EG333)/EG333</f>
        <v>6.3354184238547588E-4</v>
      </c>
      <c r="EM334" s="104"/>
      <c r="EN334" s="104"/>
      <c r="FC334" s="6">
        <f t="shared" si="262"/>
        <v>68929</v>
      </c>
      <c r="FD334" s="6">
        <f t="shared" si="263"/>
        <v>203505</v>
      </c>
      <c r="FE334" s="32">
        <f t="shared" si="264"/>
        <v>472463</v>
      </c>
      <c r="FF334" s="34">
        <f t="shared" si="265"/>
        <v>13054</v>
      </c>
      <c r="FG334" s="31">
        <f t="shared" si="266"/>
        <v>200368</v>
      </c>
      <c r="FH334" s="6">
        <f t="shared" si="267"/>
        <v>16742</v>
      </c>
      <c r="FI334" s="6">
        <f t="shared" si="268"/>
        <v>0</v>
      </c>
      <c r="FU334" s="192">
        <f t="shared" si="149"/>
        <v>99</v>
      </c>
    </row>
    <row r="335" spans="1:177" s="172" customFormat="1">
      <c r="B335" s="50">
        <v>42156</v>
      </c>
      <c r="C335" s="172">
        <v>0</v>
      </c>
      <c r="D335" s="172">
        <v>0</v>
      </c>
      <c r="E335" s="172">
        <v>0</v>
      </c>
      <c r="F335" s="172">
        <v>0</v>
      </c>
      <c r="G335" s="172">
        <v>885</v>
      </c>
      <c r="H335" s="172">
        <v>15800</v>
      </c>
      <c r="I335" s="172">
        <v>36089</v>
      </c>
      <c r="J335" s="172">
        <v>1421</v>
      </c>
      <c r="K335" s="172">
        <v>3418</v>
      </c>
      <c r="L335" s="172">
        <v>249</v>
      </c>
      <c r="M335" s="172">
        <v>23526</v>
      </c>
      <c r="N335" s="172">
        <v>1359</v>
      </c>
      <c r="O335" s="181">
        <v>76</v>
      </c>
      <c r="P335" s="172">
        <v>1124</v>
      </c>
      <c r="Q335" s="172">
        <v>11577</v>
      </c>
      <c r="R335" s="172">
        <v>274</v>
      </c>
      <c r="S335" s="172">
        <v>7076</v>
      </c>
      <c r="T335" s="172">
        <v>11540</v>
      </c>
      <c r="U335" s="172">
        <v>32</v>
      </c>
      <c r="V335" s="172">
        <v>1573</v>
      </c>
      <c r="W335" s="172">
        <v>186</v>
      </c>
      <c r="X335" s="172">
        <v>10447</v>
      </c>
      <c r="Y335" s="172">
        <v>350</v>
      </c>
      <c r="Z335" s="172">
        <v>12</v>
      </c>
      <c r="AA335" s="152">
        <v>10</v>
      </c>
      <c r="AB335" s="172">
        <v>3</v>
      </c>
      <c r="AC335" s="172">
        <v>268</v>
      </c>
      <c r="AD335" s="172">
        <v>23</v>
      </c>
      <c r="AE335" s="172">
        <v>39</v>
      </c>
      <c r="AF335" s="172">
        <v>35</v>
      </c>
      <c r="AG335" s="172">
        <v>77</v>
      </c>
      <c r="AH335" s="172">
        <v>58</v>
      </c>
      <c r="AI335" s="172">
        <v>769</v>
      </c>
      <c r="AJ335" s="172">
        <v>13</v>
      </c>
      <c r="AK335" s="172">
        <v>14021</v>
      </c>
      <c r="AL335" s="172">
        <v>114789</v>
      </c>
      <c r="AM335" s="172">
        <v>2814</v>
      </c>
      <c r="AN335" s="172">
        <v>21928</v>
      </c>
      <c r="AO335" s="172">
        <v>17</v>
      </c>
      <c r="AP335" s="172">
        <v>5</v>
      </c>
      <c r="AQ335" s="172">
        <v>10553</v>
      </c>
      <c r="AR335" s="172">
        <v>0</v>
      </c>
      <c r="AS335" s="172">
        <v>915</v>
      </c>
      <c r="AT335" s="172">
        <v>47</v>
      </c>
      <c r="AU335" s="172">
        <v>10906</v>
      </c>
      <c r="AV335" s="172">
        <v>2628</v>
      </c>
      <c r="AW335" s="172">
        <v>5180</v>
      </c>
      <c r="AX335" s="172">
        <v>16948</v>
      </c>
      <c r="AY335" s="152">
        <v>27</v>
      </c>
      <c r="AZ335" s="152">
        <v>33</v>
      </c>
      <c r="BA335" s="152">
        <v>994</v>
      </c>
      <c r="BB335" s="152">
        <v>0</v>
      </c>
      <c r="BC335" s="172">
        <v>228</v>
      </c>
      <c r="BD335" s="172">
        <v>544</v>
      </c>
      <c r="BE335" s="172">
        <v>0</v>
      </c>
      <c r="BF335" s="172">
        <v>0</v>
      </c>
      <c r="BG335" s="172">
        <v>7701</v>
      </c>
      <c r="BH335" s="172">
        <v>0</v>
      </c>
      <c r="BI335" s="172">
        <v>0</v>
      </c>
      <c r="BJ335" s="172">
        <v>0</v>
      </c>
      <c r="BK335" s="172">
        <v>75</v>
      </c>
      <c r="BL335" s="172">
        <v>5340</v>
      </c>
      <c r="BM335" s="172">
        <v>0</v>
      </c>
      <c r="BN335" s="172">
        <v>333</v>
      </c>
      <c r="BO335" s="172">
        <v>3</v>
      </c>
      <c r="BP335" s="172">
        <v>99698</v>
      </c>
      <c r="BQ335" s="172">
        <v>77930</v>
      </c>
      <c r="BR335" s="172">
        <v>227</v>
      </c>
      <c r="BS335" s="172">
        <v>134</v>
      </c>
      <c r="BT335" s="172">
        <v>23092</v>
      </c>
      <c r="BU335" s="172">
        <v>78</v>
      </c>
      <c r="BV335" s="172">
        <v>0</v>
      </c>
      <c r="BW335" s="172">
        <v>3</v>
      </c>
      <c r="BX335" s="172">
        <v>12</v>
      </c>
      <c r="BY335" s="181">
        <v>3154</v>
      </c>
      <c r="BZ335" s="172">
        <v>14</v>
      </c>
      <c r="CA335" s="172">
        <v>0</v>
      </c>
      <c r="CB335" s="172">
        <v>22991</v>
      </c>
      <c r="CC335" s="172">
        <v>16531</v>
      </c>
      <c r="CD335" s="172">
        <v>141319</v>
      </c>
      <c r="CE335" s="172">
        <v>280510</v>
      </c>
      <c r="CF335" s="172">
        <v>29361</v>
      </c>
      <c r="CG335" s="172">
        <v>48765</v>
      </c>
      <c r="CH335" s="172">
        <v>0</v>
      </c>
      <c r="CI335" s="172">
        <v>26</v>
      </c>
      <c r="CJ335" s="172">
        <v>4</v>
      </c>
      <c r="CK335" s="172">
        <v>21</v>
      </c>
      <c r="CL335" s="289"/>
      <c r="CM335" s="289"/>
      <c r="CN335" s="289"/>
      <c r="CO335" s="289"/>
      <c r="CP335" s="289"/>
      <c r="CQ335" s="289"/>
      <c r="CR335" s="177">
        <v>117</v>
      </c>
      <c r="CS335" s="186">
        <v>0</v>
      </c>
      <c r="CT335" s="172">
        <v>0</v>
      </c>
      <c r="CU335" s="172">
        <v>0</v>
      </c>
      <c r="CV335" s="172">
        <v>0</v>
      </c>
      <c r="CW335" s="172">
        <v>15</v>
      </c>
      <c r="CX335" s="172">
        <v>0</v>
      </c>
      <c r="CY335" s="172">
        <v>28</v>
      </c>
      <c r="DA335" s="6"/>
      <c r="DC335" s="6"/>
      <c r="DD335" s="6">
        <f t="shared" ref="DD335" si="501">SUM(AY335:AZ335,BE335:CK335)</f>
        <v>757382</v>
      </c>
      <c r="DE335" s="6">
        <f t="shared" si="457"/>
        <v>271467</v>
      </c>
      <c r="DF335" s="8">
        <f t="shared" ref="DF335" si="502">SUM(DD335:DE335)</f>
        <v>1028849</v>
      </c>
      <c r="DG335" s="187"/>
      <c r="DH335" s="191"/>
      <c r="DI335" s="191"/>
      <c r="DJ335" s="191"/>
      <c r="DK335" s="6">
        <f t="shared" si="459"/>
        <v>57174</v>
      </c>
      <c r="DL335" s="6">
        <f t="shared" si="474"/>
        <v>154226</v>
      </c>
      <c r="DM335" s="6">
        <f t="shared" ref="DM335" si="503">T335</f>
        <v>11540</v>
      </c>
      <c r="DN335" s="6">
        <f t="shared" ref="DN335" si="504">AG335+AX335+AN335+AP335+AQ335+AR335</f>
        <v>49511</v>
      </c>
      <c r="DO335" s="6">
        <f t="shared" ref="DO335" si="505">SUM(AY335,BF335,BI335,BK335,BO335,BR335:BS335,BU335,BW335,BZ335:CB335,CD335:CF335,CJ335:CK335)</f>
        <v>474767</v>
      </c>
      <c r="DP335" s="6">
        <f t="shared" si="414"/>
        <v>101932</v>
      </c>
      <c r="DQ335" s="6">
        <f t="shared" si="430"/>
        <v>3154</v>
      </c>
      <c r="DR335" s="6">
        <f t="shared" ref="DR335" si="506">CC335+CI335+AA335</f>
        <v>16567</v>
      </c>
      <c r="DS335" s="6">
        <f t="shared" ref="DS335" si="507">BP335+BV335</f>
        <v>99698</v>
      </c>
      <c r="DT335" s="6">
        <f t="shared" ref="DT335" si="508">BG335+BJ335+BL335+BM335+BX335</f>
        <v>13053</v>
      </c>
      <c r="DU335" s="6"/>
      <c r="DV335" s="6"/>
      <c r="DW335" s="6">
        <f t="shared" ref="DW335" si="509">SUM(DK335:DT335)</f>
        <v>981622</v>
      </c>
      <c r="DX335" s="187"/>
      <c r="DY335" s="6">
        <f t="shared" ref="DY335" si="510">DO335+DT335+H335+I335+J335+K335+CG335</f>
        <v>593313</v>
      </c>
      <c r="DZ335" s="6">
        <f t="shared" si="435"/>
        <v>57938</v>
      </c>
      <c r="EA335" s="187"/>
      <c r="EB335" s="6">
        <f t="shared" ref="EB335" si="511">DZ335+DF335</f>
        <v>1086787</v>
      </c>
      <c r="EC335" s="6"/>
      <c r="ED335" s="6"/>
      <c r="EE335" s="187"/>
      <c r="EF335" s="6">
        <f t="shared" ref="EF335" si="512">SUM(BE335:CK335)-CG335-BP335</f>
        <v>608859</v>
      </c>
      <c r="EG335" s="6">
        <f t="shared" ref="EG335" si="513">SUM(M335:BC335)-AQ335</f>
        <v>261927</v>
      </c>
      <c r="EH335" s="6">
        <f t="shared" ref="EH335" si="514">SUM(EF335:EG335)</f>
        <v>870786</v>
      </c>
      <c r="EI335" s="36">
        <f t="shared" ref="EI335" si="515">(EF335-EF334)/EF334</f>
        <v>4.9483297323973654E-3</v>
      </c>
      <c r="EJ335" s="36">
        <f t="shared" ref="EJ335" si="516">(EG335-EG334)/EG334</f>
        <v>-9.8403798844327482E-4</v>
      </c>
      <c r="EK335" s="187"/>
      <c r="EL335" s="187"/>
      <c r="EM335" s="104"/>
      <c r="EN335" s="104"/>
      <c r="EO335" s="187"/>
      <c r="EP335" s="187"/>
      <c r="EQ335" s="187"/>
      <c r="ER335" s="187"/>
      <c r="ES335" s="187"/>
      <c r="ET335" s="187"/>
      <c r="EU335" s="187"/>
      <c r="FC335" s="6">
        <f t="shared" si="262"/>
        <v>68714</v>
      </c>
      <c r="FD335" s="6">
        <f t="shared" si="263"/>
        <v>203737</v>
      </c>
      <c r="FE335" s="32">
        <f t="shared" si="264"/>
        <v>474767</v>
      </c>
      <c r="FF335" s="34">
        <f t="shared" si="265"/>
        <v>13053</v>
      </c>
      <c r="FG335" s="31">
        <f t="shared" si="266"/>
        <v>204784</v>
      </c>
      <c r="FH335" s="6">
        <f t="shared" si="267"/>
        <v>16567</v>
      </c>
      <c r="FI335" s="6">
        <f t="shared" si="268"/>
        <v>0</v>
      </c>
      <c r="FU335" s="192">
        <f t="shared" si="149"/>
        <v>70</v>
      </c>
    </row>
    <row r="336" spans="1:177" s="189" customFormat="1">
      <c r="B336" s="50">
        <v>42186</v>
      </c>
      <c r="C336" s="189">
        <v>0</v>
      </c>
      <c r="D336" s="189">
        <v>0</v>
      </c>
      <c r="E336" s="189">
        <v>0</v>
      </c>
      <c r="F336" s="189">
        <v>0</v>
      </c>
      <c r="G336" s="189">
        <v>937</v>
      </c>
      <c r="H336" s="189">
        <v>16016</v>
      </c>
      <c r="I336" s="189">
        <v>36755</v>
      </c>
      <c r="J336" s="189">
        <v>1354</v>
      </c>
      <c r="K336" s="189">
        <v>3204</v>
      </c>
      <c r="L336" s="189">
        <v>255</v>
      </c>
      <c r="M336" s="189">
        <v>23503</v>
      </c>
      <c r="N336" s="189">
        <v>1356</v>
      </c>
      <c r="O336" s="189">
        <v>111</v>
      </c>
      <c r="P336" s="189">
        <v>1118</v>
      </c>
      <c r="Q336" s="189">
        <v>11338</v>
      </c>
      <c r="R336" s="189">
        <v>280</v>
      </c>
      <c r="S336" s="189">
        <v>7146</v>
      </c>
      <c r="T336" s="189">
        <v>11517</v>
      </c>
      <c r="U336" s="189">
        <v>34</v>
      </c>
      <c r="V336" s="189">
        <v>1872</v>
      </c>
      <c r="W336" s="189">
        <v>174</v>
      </c>
      <c r="X336" s="189">
        <v>10553</v>
      </c>
      <c r="Y336" s="189">
        <v>349</v>
      </c>
      <c r="Z336" s="189">
        <v>13</v>
      </c>
      <c r="AA336" s="152">
        <v>10</v>
      </c>
      <c r="AB336" s="189">
        <v>3</v>
      </c>
      <c r="AC336" s="189">
        <v>260</v>
      </c>
      <c r="AD336" s="189">
        <v>24</v>
      </c>
      <c r="AE336" s="189">
        <v>40</v>
      </c>
      <c r="AF336" s="189">
        <v>38</v>
      </c>
      <c r="AG336" s="189">
        <v>74</v>
      </c>
      <c r="AH336" s="189">
        <v>58</v>
      </c>
      <c r="AI336" s="189">
        <v>788</v>
      </c>
      <c r="AJ336" s="189">
        <v>15</v>
      </c>
      <c r="AK336" s="189">
        <v>13997</v>
      </c>
      <c r="AL336" s="189">
        <v>114701</v>
      </c>
      <c r="AM336" s="189">
        <v>2818</v>
      </c>
      <c r="AN336" s="189">
        <v>21983</v>
      </c>
      <c r="AO336" s="189">
        <v>20</v>
      </c>
      <c r="AP336" s="189">
        <v>4</v>
      </c>
      <c r="AQ336" s="189">
        <v>10808</v>
      </c>
      <c r="AR336" s="189">
        <v>0</v>
      </c>
      <c r="AS336" s="189">
        <v>865</v>
      </c>
      <c r="AT336" s="189">
        <v>48</v>
      </c>
      <c r="AU336" s="189">
        <v>10962</v>
      </c>
      <c r="AV336" s="189">
        <v>2635</v>
      </c>
      <c r="AW336" s="189">
        <v>5189</v>
      </c>
      <c r="AX336" s="189">
        <v>16942</v>
      </c>
      <c r="AY336" s="152">
        <v>19</v>
      </c>
      <c r="AZ336" s="152">
        <v>36</v>
      </c>
      <c r="BA336" s="152">
        <v>992</v>
      </c>
      <c r="BB336" s="152">
        <v>0</v>
      </c>
      <c r="BC336" s="189">
        <v>210</v>
      </c>
      <c r="BD336" s="189">
        <v>556</v>
      </c>
      <c r="BE336" s="189">
        <v>0</v>
      </c>
      <c r="BF336" s="189">
        <v>0</v>
      </c>
      <c r="BG336" s="189">
        <v>7718</v>
      </c>
      <c r="BH336" s="189">
        <v>0</v>
      </c>
      <c r="BI336" s="189">
        <v>0</v>
      </c>
      <c r="BJ336" s="189">
        <v>0</v>
      </c>
      <c r="BK336" s="189">
        <v>74</v>
      </c>
      <c r="BL336" s="189">
        <v>5407</v>
      </c>
      <c r="BM336" s="189">
        <v>0</v>
      </c>
      <c r="BN336" s="189">
        <v>321</v>
      </c>
      <c r="BO336" s="189">
        <v>3</v>
      </c>
      <c r="BP336" s="189">
        <v>103045</v>
      </c>
      <c r="BQ336" s="189">
        <v>77635</v>
      </c>
      <c r="BR336" s="189">
        <v>211</v>
      </c>
      <c r="BS336" s="189">
        <v>136</v>
      </c>
      <c r="BT336" s="189">
        <v>23227</v>
      </c>
      <c r="BU336" s="189">
        <v>84</v>
      </c>
      <c r="BV336" s="189">
        <v>1</v>
      </c>
      <c r="BW336" s="189">
        <v>3</v>
      </c>
      <c r="BX336" s="189">
        <v>12</v>
      </c>
      <c r="BY336" s="189">
        <v>3734</v>
      </c>
      <c r="BZ336" s="189">
        <v>14</v>
      </c>
      <c r="CA336" s="189">
        <v>0</v>
      </c>
      <c r="CB336" s="189">
        <v>23071</v>
      </c>
      <c r="CC336" s="189">
        <v>16663</v>
      </c>
      <c r="CD336" s="189">
        <v>140506</v>
      </c>
      <c r="CE336" s="189">
        <v>279783</v>
      </c>
      <c r="CF336" s="189">
        <v>29465</v>
      </c>
      <c r="CG336" s="189">
        <v>49018</v>
      </c>
      <c r="CH336" s="189">
        <v>0</v>
      </c>
      <c r="CI336" s="189">
        <v>25</v>
      </c>
      <c r="CJ336" s="189">
        <v>3</v>
      </c>
      <c r="CK336" s="189">
        <v>16</v>
      </c>
      <c r="CL336" s="289"/>
      <c r="CM336" s="289"/>
      <c r="CN336" s="289"/>
      <c r="CO336" s="289"/>
      <c r="CP336" s="289"/>
      <c r="CQ336" s="289"/>
      <c r="CR336" s="189">
        <v>128</v>
      </c>
      <c r="CS336" s="189">
        <v>1</v>
      </c>
      <c r="CT336" s="189">
        <v>0</v>
      </c>
      <c r="CU336" s="189">
        <v>0</v>
      </c>
      <c r="CV336" s="189">
        <v>0</v>
      </c>
      <c r="CW336" s="189">
        <v>15</v>
      </c>
      <c r="CX336" s="189">
        <v>0</v>
      </c>
      <c r="CY336" s="189">
        <v>28</v>
      </c>
      <c r="DA336" s="6"/>
      <c r="DC336" s="6"/>
      <c r="DD336" s="6">
        <f t="shared" ref="DD336" si="517">SUM(AY336:AZ336,BE336:CK336)</f>
        <v>760230</v>
      </c>
      <c r="DE336" s="6">
        <f t="shared" si="457"/>
        <v>271874</v>
      </c>
      <c r="DF336" s="8">
        <f t="shared" ref="DF336" si="518">SUM(DD336:DE336)</f>
        <v>1032104</v>
      </c>
      <c r="DH336" s="191"/>
      <c r="DI336" s="191"/>
      <c r="DJ336" s="191"/>
      <c r="DK336" s="6">
        <f t="shared" si="459"/>
        <v>57374</v>
      </c>
      <c r="DL336" s="6">
        <f t="shared" si="474"/>
        <v>154154</v>
      </c>
      <c r="DM336" s="6">
        <f t="shared" ref="DM336" si="519">T336</f>
        <v>11517</v>
      </c>
      <c r="DN336" s="6">
        <f t="shared" ref="DN336" si="520">AG336+AX336+AN336+AP336+AQ336+AR336</f>
        <v>49811</v>
      </c>
      <c r="DO336" s="6">
        <f t="shared" ref="DO336" si="521">SUM(AY336,BF336,BI336,BK336,BO336,BR336:BS336,BU336,BW336,BZ336:CB336,CD336:CF336,CJ336:CK336)</f>
        <v>473388</v>
      </c>
      <c r="DP336" s="6">
        <f t="shared" si="414"/>
        <v>101775</v>
      </c>
      <c r="DQ336" s="6">
        <f t="shared" si="430"/>
        <v>3734</v>
      </c>
      <c r="DR336" s="6">
        <f t="shared" ref="DR336" si="522">CC336+CI336+AA336</f>
        <v>16698</v>
      </c>
      <c r="DS336" s="6">
        <f t="shared" ref="DS336" si="523">BP336+BV336</f>
        <v>103046</v>
      </c>
      <c r="DT336" s="6">
        <f t="shared" ref="DT336" si="524">BG336+BJ336+BL336+BM336+BX336</f>
        <v>13137</v>
      </c>
      <c r="DU336" s="6"/>
      <c r="DV336" s="6"/>
      <c r="DW336" s="6">
        <f t="shared" ref="DW336" si="525">SUM(DK336:DT336)</f>
        <v>984634</v>
      </c>
      <c r="DY336" s="6">
        <f t="shared" ref="DY336" si="526">DO336+DT336+H336+I336+J336+K336+CG336</f>
        <v>592872</v>
      </c>
      <c r="DZ336" s="6">
        <f t="shared" ref="DZ336" si="527">SUM(G336:L336,O336)</f>
        <v>58632</v>
      </c>
      <c r="EB336" s="6">
        <f t="shared" ref="EB336" si="528">DZ336+DF336</f>
        <v>1090736</v>
      </c>
      <c r="EC336" s="6"/>
      <c r="ED336" s="6"/>
      <c r="EF336" s="6">
        <f t="shared" ref="EF336" si="529">SUM(BE336:CK336)-CG336-BP336</f>
        <v>608112</v>
      </c>
      <c r="EG336" s="6">
        <f t="shared" ref="EG336" si="530">SUM(M336:BC336)-AQ336</f>
        <v>262095</v>
      </c>
      <c r="EH336" s="6">
        <f t="shared" ref="EH336" si="531">SUM(EF336:EG336)</f>
        <v>870207</v>
      </c>
      <c r="EI336" s="36">
        <f t="shared" ref="EI336" si="532">(EF336-EF335)/EF335</f>
        <v>-1.2268850423497067E-3</v>
      </c>
      <c r="EJ336" s="36">
        <f t="shared" ref="EJ336" si="533">(EG336-EG335)/EG335</f>
        <v>6.414000847564398E-4</v>
      </c>
      <c r="EM336" s="104"/>
      <c r="EN336" s="104"/>
      <c r="FC336" s="6">
        <f t="shared" si="262"/>
        <v>68891</v>
      </c>
      <c r="FD336" s="6">
        <f t="shared" si="263"/>
        <v>203965</v>
      </c>
      <c r="FE336" s="32">
        <f t="shared" si="264"/>
        <v>473388</v>
      </c>
      <c r="FF336" s="34">
        <f t="shared" si="265"/>
        <v>13137</v>
      </c>
      <c r="FG336" s="31">
        <f t="shared" si="266"/>
        <v>208555</v>
      </c>
      <c r="FH336" s="6">
        <f t="shared" si="267"/>
        <v>16698</v>
      </c>
      <c r="FI336" s="6">
        <f t="shared" si="268"/>
        <v>0</v>
      </c>
      <c r="FU336" s="192">
        <f t="shared" si="149"/>
        <v>66</v>
      </c>
    </row>
    <row r="337" spans="1:165" s="172" customFormat="1">
      <c r="B337" s="50">
        <v>42217</v>
      </c>
      <c r="C337" s="172">
        <v>0</v>
      </c>
      <c r="D337" s="172">
        <v>0</v>
      </c>
      <c r="E337" s="172">
        <v>0</v>
      </c>
      <c r="F337" s="172">
        <v>0</v>
      </c>
      <c r="G337" s="172">
        <v>1037</v>
      </c>
      <c r="H337" s="172">
        <v>16087</v>
      </c>
      <c r="I337" s="172">
        <v>36731</v>
      </c>
      <c r="J337" s="172">
        <v>1313</v>
      </c>
      <c r="K337" s="172">
        <v>3075</v>
      </c>
      <c r="L337" s="172">
        <v>281</v>
      </c>
      <c r="M337" s="172">
        <v>23469</v>
      </c>
      <c r="N337" s="172">
        <v>1358</v>
      </c>
      <c r="O337" s="181">
        <v>135</v>
      </c>
      <c r="P337" s="172">
        <v>1089</v>
      </c>
      <c r="Q337" s="172">
        <v>11378</v>
      </c>
      <c r="R337" s="172">
        <v>281</v>
      </c>
      <c r="S337" s="172">
        <v>7102</v>
      </c>
      <c r="T337" s="172">
        <v>11522</v>
      </c>
      <c r="U337" s="172">
        <v>28</v>
      </c>
      <c r="V337" s="172">
        <v>1929</v>
      </c>
      <c r="W337" s="172">
        <v>167</v>
      </c>
      <c r="X337" s="172">
        <v>10645</v>
      </c>
      <c r="Y337" s="172">
        <v>349</v>
      </c>
      <c r="Z337" s="172">
        <v>13</v>
      </c>
      <c r="AA337" s="152">
        <v>8</v>
      </c>
      <c r="AB337" s="172">
        <v>4</v>
      </c>
      <c r="AC337" s="172">
        <v>260</v>
      </c>
      <c r="AD337" s="172">
        <v>25</v>
      </c>
      <c r="AE337" s="172">
        <v>39</v>
      </c>
      <c r="AF337" s="172">
        <v>37</v>
      </c>
      <c r="AG337" s="172">
        <v>76</v>
      </c>
      <c r="AH337" s="172">
        <v>58</v>
      </c>
      <c r="AI337" s="172">
        <v>817</v>
      </c>
      <c r="AJ337" s="172">
        <v>7</v>
      </c>
      <c r="AK337" s="172">
        <v>13961</v>
      </c>
      <c r="AL337" s="172">
        <v>114305</v>
      </c>
      <c r="AM337" s="172">
        <v>2797</v>
      </c>
      <c r="AN337" s="172">
        <v>21935</v>
      </c>
      <c r="AO337" s="172">
        <v>20</v>
      </c>
      <c r="AP337" s="172">
        <v>4</v>
      </c>
      <c r="AQ337" s="172">
        <v>11010</v>
      </c>
      <c r="AR337" s="172">
        <v>0</v>
      </c>
      <c r="AS337" s="172">
        <v>863</v>
      </c>
      <c r="AT337" s="172">
        <v>46</v>
      </c>
      <c r="AU337" s="172">
        <v>11037</v>
      </c>
      <c r="AV337" s="172">
        <v>2634</v>
      </c>
      <c r="AW337" s="172">
        <v>5194</v>
      </c>
      <c r="AX337" s="172">
        <v>16950</v>
      </c>
      <c r="AY337" s="152">
        <v>31</v>
      </c>
      <c r="AZ337" s="152">
        <v>44</v>
      </c>
      <c r="BA337" s="152">
        <v>1006</v>
      </c>
      <c r="BB337" s="152">
        <v>0</v>
      </c>
      <c r="BC337" s="172">
        <v>196</v>
      </c>
      <c r="BD337" s="172">
        <v>582</v>
      </c>
      <c r="BE337" s="172">
        <v>0</v>
      </c>
      <c r="BF337" s="172">
        <v>0</v>
      </c>
      <c r="BG337" s="172">
        <v>7684</v>
      </c>
      <c r="BH337" s="172">
        <v>0</v>
      </c>
      <c r="BI337" s="172">
        <v>0</v>
      </c>
      <c r="BJ337" s="172">
        <v>0</v>
      </c>
      <c r="BK337" s="172">
        <v>71</v>
      </c>
      <c r="BL337" s="172">
        <v>5448</v>
      </c>
      <c r="BM337" s="172">
        <v>0</v>
      </c>
      <c r="BN337" s="172">
        <v>325</v>
      </c>
      <c r="BO337" s="172">
        <v>3</v>
      </c>
      <c r="BP337" s="172">
        <v>107121</v>
      </c>
      <c r="BQ337" s="172">
        <v>77021</v>
      </c>
      <c r="BR337" s="172">
        <v>236</v>
      </c>
      <c r="BS337" s="172">
        <v>138</v>
      </c>
      <c r="BT337" s="172">
        <v>23295</v>
      </c>
      <c r="BU337" s="172">
        <v>78</v>
      </c>
      <c r="BV337" s="172">
        <v>1</v>
      </c>
      <c r="BW337" s="172">
        <v>3</v>
      </c>
      <c r="BX337" s="172">
        <v>4</v>
      </c>
      <c r="BY337" s="181">
        <v>4225</v>
      </c>
      <c r="BZ337" s="172">
        <v>12</v>
      </c>
      <c r="CA337" s="172">
        <v>0</v>
      </c>
      <c r="CB337" s="172">
        <v>23071</v>
      </c>
      <c r="CC337" s="172">
        <v>16918</v>
      </c>
      <c r="CD337" s="172">
        <v>139294</v>
      </c>
      <c r="CE337" s="172">
        <v>278192</v>
      </c>
      <c r="CF337" s="172">
        <v>29330</v>
      </c>
      <c r="CG337" s="172">
        <v>48956</v>
      </c>
      <c r="CH337" s="172">
        <v>0</v>
      </c>
      <c r="CI337" s="172">
        <v>17</v>
      </c>
      <c r="CJ337" s="172">
        <v>2</v>
      </c>
      <c r="CK337" s="172">
        <v>15</v>
      </c>
      <c r="CL337" s="289"/>
      <c r="CM337" s="289"/>
      <c r="CN337" s="289"/>
      <c r="CO337" s="289"/>
      <c r="CP337" s="289"/>
      <c r="CQ337" s="289"/>
      <c r="CR337" s="177">
        <v>133</v>
      </c>
      <c r="CS337" s="186">
        <v>1</v>
      </c>
      <c r="CT337" s="172">
        <v>0</v>
      </c>
      <c r="CU337" s="172">
        <v>0</v>
      </c>
      <c r="CV337" s="172">
        <v>0</v>
      </c>
      <c r="CW337" s="172">
        <v>15</v>
      </c>
      <c r="CX337" s="172">
        <v>0</v>
      </c>
      <c r="CY337" s="172">
        <v>27</v>
      </c>
      <c r="DA337" s="6"/>
      <c r="DC337" s="6"/>
      <c r="DD337" s="6">
        <f t="shared" ref="DD337" si="534">SUM(AY337:AZ337,BE337:CK337)</f>
        <v>761535</v>
      </c>
      <c r="DE337" s="6">
        <f t="shared" si="457"/>
        <v>271747</v>
      </c>
      <c r="DF337" s="8">
        <f t="shared" ref="DF337" si="535">SUM(DD337:DE337)</f>
        <v>1033282</v>
      </c>
      <c r="DG337" s="194"/>
      <c r="DH337" s="194"/>
      <c r="DI337" s="194"/>
      <c r="DJ337" s="194"/>
      <c r="DK337" s="6">
        <f t="shared" si="459"/>
        <v>57446</v>
      </c>
      <c r="DL337" s="6">
        <f t="shared" si="474"/>
        <v>153802</v>
      </c>
      <c r="DM337" s="6">
        <f t="shared" ref="DM337" si="536">T337</f>
        <v>11522</v>
      </c>
      <c r="DN337" s="6">
        <f t="shared" ref="DN337" si="537">AG337+AX337+AN337+AP337+AQ337+AR337</f>
        <v>49975</v>
      </c>
      <c r="DO337" s="6">
        <f t="shared" ref="DO337" si="538">SUM(AY337,BF337,BI337,BK337,BO337,BR337:BS337,BU337,BW337,BZ337:CB337,CD337:CF337,CJ337:CK337)</f>
        <v>470476</v>
      </c>
      <c r="DP337" s="6">
        <f t="shared" si="414"/>
        <v>101267</v>
      </c>
      <c r="DQ337" s="6">
        <f t="shared" si="430"/>
        <v>4225</v>
      </c>
      <c r="DR337" s="6">
        <f t="shared" ref="DR337" si="539">CC337+CI337+AA337</f>
        <v>16943</v>
      </c>
      <c r="DS337" s="6">
        <f t="shared" ref="DS337" si="540">BP337+BV337</f>
        <v>107122</v>
      </c>
      <c r="DT337" s="6">
        <f t="shared" ref="DT337" si="541">BG337+BJ337+BL337+BM337+BX337</f>
        <v>13136</v>
      </c>
      <c r="DU337" s="6"/>
      <c r="DV337" s="6"/>
      <c r="DW337" s="6">
        <f t="shared" ref="DW337" si="542">SUM(DK337:DT337)</f>
        <v>985914</v>
      </c>
      <c r="DX337" s="194"/>
      <c r="DY337" s="6">
        <f t="shared" ref="DY337" si="543">DO337+DT337+H337+I337+J337+K337+CG337</f>
        <v>589774</v>
      </c>
      <c r="DZ337" s="6">
        <f t="shared" ref="DZ337" si="544">SUM(G337:L337,O337)</f>
        <v>58659</v>
      </c>
      <c r="EA337" s="194"/>
      <c r="EB337" s="6">
        <f t="shared" ref="EB337" si="545">DZ337+DF337</f>
        <v>1091941</v>
      </c>
      <c r="EC337" s="6"/>
      <c r="ED337" s="6"/>
      <c r="EE337" s="194"/>
      <c r="EF337" s="6">
        <f t="shared" ref="EF337" si="546">SUM(BE337:CK337)-CG337-BP337</f>
        <v>605383</v>
      </c>
      <c r="EG337" s="6">
        <f t="shared" ref="EG337" si="547">SUM(M337:BC337)-AQ337</f>
        <v>261819</v>
      </c>
      <c r="EH337" s="6">
        <f t="shared" ref="EH337" si="548">SUM(EF337:EG337)</f>
        <v>867202</v>
      </c>
      <c r="EI337" s="36">
        <f t="shared" ref="EI337" si="549">(EF337-EF336)/EF336</f>
        <v>-4.4876601678638149E-3</v>
      </c>
      <c r="EJ337" s="36">
        <f t="shared" ref="EJ337" si="550">(EG337-EG336)/EG336</f>
        <v>-1.0530532822068334E-3</v>
      </c>
      <c r="EK337" s="194"/>
      <c r="EM337" s="104"/>
      <c r="EN337" s="104"/>
      <c r="FC337" s="6">
        <f t="shared" si="262"/>
        <v>68968</v>
      </c>
      <c r="FD337" s="6">
        <f t="shared" si="263"/>
        <v>203777</v>
      </c>
      <c r="FE337" s="32">
        <f t="shared" si="264"/>
        <v>470476</v>
      </c>
      <c r="FF337" s="34">
        <f t="shared" si="265"/>
        <v>13136</v>
      </c>
      <c r="FG337" s="31">
        <f t="shared" si="266"/>
        <v>212614</v>
      </c>
      <c r="FH337" s="6">
        <f t="shared" si="267"/>
        <v>16943</v>
      </c>
      <c r="FI337" s="6">
        <f t="shared" si="268"/>
        <v>0</v>
      </c>
    </row>
    <row r="338" spans="1:165" s="195" customFormat="1">
      <c r="B338" s="50">
        <v>42248</v>
      </c>
      <c r="C338" s="195">
        <v>0</v>
      </c>
      <c r="D338" s="195">
        <v>0</v>
      </c>
      <c r="E338" s="195">
        <v>0</v>
      </c>
      <c r="F338" s="195">
        <v>0</v>
      </c>
      <c r="G338" s="195">
        <v>1121</v>
      </c>
      <c r="H338" s="195">
        <v>16133</v>
      </c>
      <c r="I338" s="195">
        <v>36878</v>
      </c>
      <c r="J338" s="195">
        <v>1291</v>
      </c>
      <c r="K338" s="195">
        <v>2990</v>
      </c>
      <c r="L338" s="195">
        <v>316</v>
      </c>
      <c r="M338" s="195">
        <v>23434</v>
      </c>
      <c r="N338" s="195">
        <v>1358</v>
      </c>
      <c r="O338" s="195">
        <v>171</v>
      </c>
      <c r="P338" s="195">
        <v>1080</v>
      </c>
      <c r="Q338" s="195">
        <v>11433</v>
      </c>
      <c r="R338" s="195">
        <v>280</v>
      </c>
      <c r="S338" s="195">
        <v>7109</v>
      </c>
      <c r="T338" s="195">
        <v>11521</v>
      </c>
      <c r="U338" s="195">
        <v>33</v>
      </c>
      <c r="V338" s="195">
        <v>1951</v>
      </c>
      <c r="W338" s="195">
        <v>133</v>
      </c>
      <c r="X338" s="195">
        <v>10713</v>
      </c>
      <c r="Y338" s="195">
        <v>343</v>
      </c>
      <c r="Z338" s="195">
        <v>13</v>
      </c>
      <c r="AA338" s="152">
        <v>4</v>
      </c>
      <c r="AB338" s="195">
        <v>5</v>
      </c>
      <c r="AC338" s="195">
        <v>257</v>
      </c>
      <c r="AD338" s="195">
        <v>24</v>
      </c>
      <c r="AE338" s="195">
        <v>40</v>
      </c>
      <c r="AF338" s="195">
        <v>37</v>
      </c>
      <c r="AG338" s="195">
        <v>77</v>
      </c>
      <c r="AH338" s="195">
        <v>54</v>
      </c>
      <c r="AI338" s="195">
        <v>839</v>
      </c>
      <c r="AJ338" s="195">
        <v>8</v>
      </c>
      <c r="AK338" s="195">
        <v>14001</v>
      </c>
      <c r="AL338" s="195">
        <v>114674</v>
      </c>
      <c r="AM338" s="195">
        <v>2832</v>
      </c>
      <c r="AN338" s="195">
        <v>21891</v>
      </c>
      <c r="AO338" s="195">
        <v>21</v>
      </c>
      <c r="AP338" s="195">
        <v>6</v>
      </c>
      <c r="AQ338" s="195">
        <v>11174</v>
      </c>
      <c r="AR338" s="195">
        <v>0</v>
      </c>
      <c r="AS338" s="195">
        <v>863</v>
      </c>
      <c r="AT338" s="195">
        <v>48</v>
      </c>
      <c r="AU338" s="195">
        <v>11099</v>
      </c>
      <c r="AV338" s="195">
        <v>2626</v>
      </c>
      <c r="AW338" s="195">
        <v>5211</v>
      </c>
      <c r="AX338" s="195">
        <v>16868</v>
      </c>
      <c r="AY338" s="152">
        <v>27</v>
      </c>
      <c r="AZ338" s="152">
        <v>33</v>
      </c>
      <c r="BA338" s="152">
        <v>1003</v>
      </c>
      <c r="BB338" s="152">
        <v>0</v>
      </c>
      <c r="BC338" s="195">
        <v>169</v>
      </c>
      <c r="BD338" s="195">
        <v>601</v>
      </c>
      <c r="BE338" s="195">
        <v>0</v>
      </c>
      <c r="BF338" s="195">
        <v>0</v>
      </c>
      <c r="BG338" s="195">
        <v>7700</v>
      </c>
      <c r="BH338" s="195">
        <v>0</v>
      </c>
      <c r="BI338" s="195">
        <v>0</v>
      </c>
      <c r="BJ338" s="195">
        <v>0</v>
      </c>
      <c r="BK338" s="195">
        <v>67</v>
      </c>
      <c r="BL338" s="195">
        <v>5485</v>
      </c>
      <c r="BM338" s="195">
        <v>1</v>
      </c>
      <c r="BN338" s="195">
        <v>298</v>
      </c>
      <c r="BO338" s="195">
        <v>3</v>
      </c>
      <c r="BP338" s="195">
        <v>110462</v>
      </c>
      <c r="BQ338" s="195">
        <v>77094</v>
      </c>
      <c r="BR338" s="195">
        <v>230</v>
      </c>
      <c r="BS338" s="195">
        <v>132</v>
      </c>
      <c r="BT338" s="195">
        <v>23421</v>
      </c>
      <c r="BU338" s="195">
        <v>80</v>
      </c>
      <c r="BV338" s="195">
        <v>4</v>
      </c>
      <c r="BW338" s="195">
        <v>2</v>
      </c>
      <c r="BX338" s="195">
        <v>4</v>
      </c>
      <c r="BY338" s="195">
        <v>4665</v>
      </c>
      <c r="BZ338" s="195">
        <v>11</v>
      </c>
      <c r="CA338" s="195">
        <v>0</v>
      </c>
      <c r="CB338" s="195">
        <v>23218</v>
      </c>
      <c r="CC338" s="195">
        <v>17057</v>
      </c>
      <c r="CD338" s="195">
        <v>139094</v>
      </c>
      <c r="CE338" s="195">
        <v>278791</v>
      </c>
      <c r="CF338" s="195">
        <v>29249</v>
      </c>
      <c r="CG338" s="195">
        <v>49239</v>
      </c>
      <c r="CH338" s="195">
        <v>0</v>
      </c>
      <c r="CI338" s="195">
        <v>15</v>
      </c>
      <c r="CJ338" s="195">
        <v>2</v>
      </c>
      <c r="CK338" s="195">
        <v>12</v>
      </c>
      <c r="CL338" s="289"/>
      <c r="CM338" s="289"/>
      <c r="CN338" s="289"/>
      <c r="CO338" s="289"/>
      <c r="CP338" s="289"/>
      <c r="CQ338" s="289"/>
      <c r="CR338" s="195">
        <v>145</v>
      </c>
      <c r="CS338" s="195">
        <v>2</v>
      </c>
      <c r="CT338" s="195">
        <v>0</v>
      </c>
      <c r="CU338" s="195">
        <v>0</v>
      </c>
      <c r="CV338" s="195">
        <v>0</v>
      </c>
      <c r="CW338" s="195">
        <v>15</v>
      </c>
      <c r="CX338" s="195">
        <v>0</v>
      </c>
      <c r="CY338" s="195">
        <v>27</v>
      </c>
      <c r="DA338" s="6"/>
      <c r="DC338" s="6"/>
      <c r="DD338" s="6">
        <f t="shared" ref="DD338" si="551">SUM(AY338:AZ338,BE338:CK338)</f>
        <v>766396</v>
      </c>
      <c r="DE338" s="6">
        <f t="shared" si="457"/>
        <v>272376</v>
      </c>
      <c r="DF338" s="8">
        <f t="shared" ref="DF338" si="552">SUM(DD338:DE338)</f>
        <v>1038772</v>
      </c>
      <c r="DK338" s="6">
        <f t="shared" si="459"/>
        <v>57524</v>
      </c>
      <c r="DL338" s="6">
        <f t="shared" si="474"/>
        <v>154314</v>
      </c>
      <c r="DM338" s="6">
        <f t="shared" ref="DM338" si="553">T338</f>
        <v>11521</v>
      </c>
      <c r="DN338" s="6">
        <f t="shared" ref="DN338" si="554">AG338+AX338+AN338+AP338+AQ338+AR338</f>
        <v>50016</v>
      </c>
      <c r="DO338" s="6">
        <f t="shared" ref="DO338" si="555">SUM(AY338,BF338,BI338,BK338,BO338,BR338:BS338,BU338,BW338,BZ338:CB338,CD338:CF338,CJ338:CK338)</f>
        <v>470918</v>
      </c>
      <c r="DP338" s="6">
        <f t="shared" si="414"/>
        <v>101447</v>
      </c>
      <c r="DQ338" s="6">
        <f t="shared" si="430"/>
        <v>4665</v>
      </c>
      <c r="DR338" s="6">
        <f t="shared" ref="DR338" si="556">CC338+CI338+AA338</f>
        <v>17076</v>
      </c>
      <c r="DS338" s="6">
        <f t="shared" ref="DS338" si="557">BP338+BV338</f>
        <v>110466</v>
      </c>
      <c r="DT338" s="6">
        <f t="shared" ref="DT338" si="558">BG338+BJ338+BL338+BM338+BX338</f>
        <v>13190</v>
      </c>
      <c r="DU338" s="6"/>
      <c r="DV338" s="6"/>
      <c r="DW338" s="6">
        <f t="shared" ref="DW338" si="559">SUM(DK338:DT338)</f>
        <v>991137</v>
      </c>
      <c r="DY338" s="6">
        <f t="shared" ref="DY338" si="560">DO338+DT338+H338+I338+J338+K338+CG338</f>
        <v>590639</v>
      </c>
      <c r="DZ338" s="6">
        <f t="shared" ref="DZ338" si="561">SUM(G338:L338,O338)</f>
        <v>58900</v>
      </c>
      <c r="EB338" s="6">
        <f t="shared" ref="EB338" si="562">DZ338+DF338</f>
        <v>1097672</v>
      </c>
      <c r="EC338" s="6"/>
      <c r="ED338" s="6"/>
      <c r="EF338" s="6">
        <f t="shared" ref="EF338" si="563">SUM(BE338:CK338)-CG338-BP338</f>
        <v>606635</v>
      </c>
      <c r="EG338" s="6">
        <f t="shared" ref="EG338" si="564">SUM(M338:BC338)-AQ338</f>
        <v>262289</v>
      </c>
      <c r="EH338" s="6">
        <f t="shared" ref="EH338" si="565">SUM(EF338:EG338)</f>
        <v>868924</v>
      </c>
      <c r="EI338" s="36">
        <f t="shared" ref="EI338" si="566">(EF338-EF337)/EF337</f>
        <v>2.0681122529043598E-3</v>
      </c>
      <c r="EJ338" s="36">
        <f t="shared" ref="EJ338" si="567">(EG338-EG337)/EG337</f>
        <v>1.7951332790973917E-3</v>
      </c>
      <c r="EM338" s="104"/>
      <c r="EN338" s="104"/>
      <c r="FC338" s="6">
        <f t="shared" si="262"/>
        <v>69045</v>
      </c>
      <c r="FD338" s="6">
        <f t="shared" si="263"/>
        <v>204330</v>
      </c>
      <c r="FE338" s="32">
        <f t="shared" si="264"/>
        <v>470918</v>
      </c>
      <c r="FF338" s="34">
        <f t="shared" si="265"/>
        <v>13190</v>
      </c>
      <c r="FG338" s="31">
        <f t="shared" si="266"/>
        <v>216578</v>
      </c>
      <c r="FH338" s="6">
        <f t="shared" si="267"/>
        <v>17076</v>
      </c>
      <c r="FI338" s="6">
        <f t="shared" si="268"/>
        <v>0</v>
      </c>
    </row>
    <row r="339" spans="1:165" s="196" customFormat="1">
      <c r="B339" s="50">
        <v>42278</v>
      </c>
      <c r="C339" s="196">
        <v>0</v>
      </c>
      <c r="D339" s="196">
        <v>0</v>
      </c>
      <c r="E339" s="196">
        <v>0</v>
      </c>
      <c r="F339" s="196">
        <v>0</v>
      </c>
      <c r="G339" s="196">
        <v>1083</v>
      </c>
      <c r="H339" s="196">
        <v>15955</v>
      </c>
      <c r="I339" s="196">
        <v>36932</v>
      </c>
      <c r="J339" s="196">
        <v>1224</v>
      </c>
      <c r="K339" s="196">
        <v>2868</v>
      </c>
      <c r="L339" s="196">
        <v>401</v>
      </c>
      <c r="M339" s="196">
        <v>23412</v>
      </c>
      <c r="N339" s="196">
        <v>1353</v>
      </c>
      <c r="O339" s="196">
        <v>213</v>
      </c>
      <c r="P339" s="196">
        <v>1053</v>
      </c>
      <c r="Q339" s="196">
        <v>11440</v>
      </c>
      <c r="R339" s="196">
        <v>286</v>
      </c>
      <c r="S339" s="196">
        <v>7100</v>
      </c>
      <c r="T339" s="196">
        <v>11499</v>
      </c>
      <c r="U339" s="196">
        <v>30</v>
      </c>
      <c r="V339" s="196">
        <v>1970</v>
      </c>
      <c r="W339" s="196">
        <v>105</v>
      </c>
      <c r="X339" s="196">
        <v>10828</v>
      </c>
      <c r="Y339" s="196">
        <v>348</v>
      </c>
      <c r="Z339" s="196">
        <v>13</v>
      </c>
      <c r="AA339" s="152">
        <v>8</v>
      </c>
      <c r="AB339" s="196">
        <v>5</v>
      </c>
      <c r="AC339" s="196">
        <v>248</v>
      </c>
      <c r="AD339" s="196">
        <v>26</v>
      </c>
      <c r="AE339" s="196">
        <v>37</v>
      </c>
      <c r="AF339" s="196">
        <v>38</v>
      </c>
      <c r="AG339" s="196">
        <v>77</v>
      </c>
      <c r="AH339" s="196">
        <v>43</v>
      </c>
      <c r="AI339" s="196">
        <v>875</v>
      </c>
      <c r="AJ339" s="196">
        <v>8</v>
      </c>
      <c r="AK339" s="196">
        <v>13942</v>
      </c>
      <c r="AL339" s="196">
        <v>114698</v>
      </c>
      <c r="AM339" s="196">
        <v>2819</v>
      </c>
      <c r="AN339" s="196">
        <v>21830</v>
      </c>
      <c r="AO339" s="196">
        <v>19</v>
      </c>
      <c r="AP339" s="196">
        <v>7</v>
      </c>
      <c r="AQ339" s="196">
        <v>11386</v>
      </c>
      <c r="AR339" s="196">
        <v>0</v>
      </c>
      <c r="AS339" s="196">
        <v>886</v>
      </c>
      <c r="AT339" s="196">
        <v>47</v>
      </c>
      <c r="AU339" s="196">
        <v>11189</v>
      </c>
      <c r="AV339" s="196">
        <v>2623</v>
      </c>
      <c r="AW339" s="196">
        <v>5191</v>
      </c>
      <c r="AX339" s="196">
        <v>16774</v>
      </c>
      <c r="AY339" s="152">
        <v>40</v>
      </c>
      <c r="AZ339" s="152">
        <v>26</v>
      </c>
      <c r="BA339" s="152">
        <v>1008</v>
      </c>
      <c r="BB339" s="152">
        <v>0</v>
      </c>
      <c r="BC339" s="196">
        <v>155</v>
      </c>
      <c r="BD339" s="196">
        <v>612</v>
      </c>
      <c r="BE339" s="196">
        <v>0</v>
      </c>
      <c r="BF339" s="196">
        <v>0</v>
      </c>
      <c r="BG339" s="196">
        <v>7729</v>
      </c>
      <c r="BH339" s="196">
        <v>0</v>
      </c>
      <c r="BI339" s="196">
        <v>0</v>
      </c>
      <c r="BJ339" s="196">
        <v>0</v>
      </c>
      <c r="BK339" s="196">
        <v>66</v>
      </c>
      <c r="BL339" s="196">
        <v>5395</v>
      </c>
      <c r="BM339" s="196">
        <v>2</v>
      </c>
      <c r="BN339" s="196">
        <v>295</v>
      </c>
      <c r="BO339" s="196">
        <v>3</v>
      </c>
      <c r="BP339" s="196">
        <v>111639</v>
      </c>
      <c r="BQ339" s="196">
        <v>77040</v>
      </c>
      <c r="BR339" s="196">
        <v>297</v>
      </c>
      <c r="BS339" s="196">
        <v>132</v>
      </c>
      <c r="BT339" s="196">
        <v>23721</v>
      </c>
      <c r="BU339" s="196">
        <v>114</v>
      </c>
      <c r="BV339" s="196">
        <v>6</v>
      </c>
      <c r="BW339" s="196">
        <v>2</v>
      </c>
      <c r="BX339" s="196">
        <v>4</v>
      </c>
      <c r="BY339" s="196">
        <v>5103</v>
      </c>
      <c r="BZ339" s="196">
        <v>18</v>
      </c>
      <c r="CA339" s="196">
        <v>0</v>
      </c>
      <c r="CB339" s="196">
        <v>23300</v>
      </c>
      <c r="CC339" s="196">
        <v>16664</v>
      </c>
      <c r="CD339" s="196">
        <v>138150</v>
      </c>
      <c r="CE339" s="196">
        <v>277911</v>
      </c>
      <c r="CF339" s="196">
        <v>29309</v>
      </c>
      <c r="CG339" s="196">
        <v>49255</v>
      </c>
      <c r="CH339" s="196">
        <v>0</v>
      </c>
      <c r="CI339" s="196">
        <v>12</v>
      </c>
      <c r="CJ339" s="196">
        <v>1</v>
      </c>
      <c r="CK339" s="196">
        <v>15</v>
      </c>
      <c r="CL339" s="289"/>
      <c r="CM339" s="289"/>
      <c r="CN339" s="289"/>
      <c r="CO339" s="289"/>
      <c r="CP339" s="289"/>
      <c r="CQ339" s="289"/>
      <c r="CR339" s="196">
        <v>163</v>
      </c>
      <c r="CS339" s="196">
        <v>3</v>
      </c>
      <c r="CT339" s="196">
        <v>0</v>
      </c>
      <c r="CU339" s="196">
        <v>0</v>
      </c>
      <c r="CV339" s="196">
        <v>0</v>
      </c>
      <c r="CW339" s="196">
        <v>15</v>
      </c>
      <c r="CX339" s="196">
        <v>0</v>
      </c>
      <c r="CY339" s="196">
        <v>27</v>
      </c>
      <c r="DA339" s="6"/>
      <c r="DC339" s="6"/>
      <c r="DD339" s="6">
        <f t="shared" ref="DD339" si="568">SUM(AY339:AZ339,BE339:CK339)</f>
        <v>766249</v>
      </c>
      <c r="DE339" s="6">
        <f t="shared" si="457"/>
        <v>272534</v>
      </c>
      <c r="DF339" s="8">
        <f t="shared" ref="DF339" si="569">SUM(DD339:DE339)</f>
        <v>1038783</v>
      </c>
      <c r="DK339" s="6">
        <f t="shared" si="459"/>
        <v>57577</v>
      </c>
      <c r="DL339" s="6">
        <f t="shared" ref="DL339" si="570">SUM(Y339:Z339,AB339:AF339,AH339:AM339,AO339,AS339:AW339,BA339:BC339)+CR339+CS339</f>
        <v>154384</v>
      </c>
      <c r="DM339" s="6">
        <f t="shared" ref="DM339" si="571">T339</f>
        <v>11499</v>
      </c>
      <c r="DN339" s="6">
        <f t="shared" ref="DN339" si="572">AG339+AX339+AN339+AP339+AQ339+AR339</f>
        <v>50074</v>
      </c>
      <c r="DO339" s="6">
        <f t="shared" ref="DO339" si="573">SUM(AY339,BF339,BI339,BK339,BO339,BR339:BS339,BU339,BW339,BZ339:CB339,CD339:CF339,CJ339:CK339)</f>
        <v>469358</v>
      </c>
      <c r="DP339" s="6">
        <f t="shared" si="414"/>
        <v>101694</v>
      </c>
      <c r="DQ339" s="6">
        <f t="shared" si="430"/>
        <v>5103</v>
      </c>
      <c r="DR339" s="6">
        <f t="shared" ref="DR339" si="574">CC339+CI339+AA339</f>
        <v>16684</v>
      </c>
      <c r="DS339" s="6">
        <f t="shared" ref="DS339" si="575">BP339+BV339</f>
        <v>111645</v>
      </c>
      <c r="DT339" s="6">
        <f t="shared" ref="DT339" si="576">BG339+BJ339+BL339+BM339+BX339</f>
        <v>13130</v>
      </c>
      <c r="DU339" s="6"/>
      <c r="DV339" s="6"/>
      <c r="DW339" s="6">
        <f t="shared" ref="DW339" si="577">SUM(DK339:DT339)</f>
        <v>991148</v>
      </c>
      <c r="DY339" s="6">
        <f t="shared" ref="DY339" si="578">DO339+DT339+H339+I339+J339+K339+CG339</f>
        <v>588722</v>
      </c>
      <c r="DZ339" s="6">
        <f t="shared" ref="DZ339" si="579">SUM(G339:L339,O339)</f>
        <v>58676</v>
      </c>
      <c r="EB339" s="6">
        <f t="shared" ref="EB339" si="580">DZ339+DF339</f>
        <v>1097459</v>
      </c>
      <c r="EC339" s="6"/>
      <c r="ED339" s="6"/>
      <c r="EF339" s="6">
        <f t="shared" ref="EF339" si="581">SUM(BE339:CK339)-CG339-BP339</f>
        <v>605289</v>
      </c>
      <c r="EG339" s="6">
        <f t="shared" ref="EG339" si="582">SUM(M339:BC339)-AQ339</f>
        <v>262269</v>
      </c>
      <c r="EH339" s="6">
        <f t="shared" ref="EH339" si="583">SUM(EF339:EG339)</f>
        <v>867558</v>
      </c>
      <c r="EI339" s="36">
        <f t="shared" ref="EI339" si="584">(EF339-EF338)/EF338</f>
        <v>-2.2187971350152891E-3</v>
      </c>
      <c r="EJ339" s="36">
        <f t="shared" ref="EJ339" si="585">(EG339-EG338)/EG338</f>
        <v>-7.6251768087872533E-5</v>
      </c>
      <c r="EM339" s="104"/>
      <c r="EN339" s="104"/>
      <c r="FC339" s="6">
        <f t="shared" si="262"/>
        <v>69076</v>
      </c>
      <c r="FD339" s="6">
        <f t="shared" si="263"/>
        <v>204458</v>
      </c>
      <c r="FE339" s="32">
        <f t="shared" si="264"/>
        <v>469358</v>
      </c>
      <c r="FF339" s="34">
        <f t="shared" si="265"/>
        <v>13130</v>
      </c>
      <c r="FG339" s="31">
        <f t="shared" si="266"/>
        <v>218442</v>
      </c>
      <c r="FH339" s="6">
        <f t="shared" si="267"/>
        <v>16684</v>
      </c>
      <c r="FI339" s="6">
        <f t="shared" si="268"/>
        <v>0</v>
      </c>
    </row>
    <row r="340" spans="1:165" s="197" customFormat="1">
      <c r="B340" s="50">
        <v>42309</v>
      </c>
      <c r="C340" s="197">
        <v>0</v>
      </c>
      <c r="D340" s="197">
        <v>0</v>
      </c>
      <c r="E340" s="197">
        <v>0</v>
      </c>
      <c r="F340" s="197">
        <v>0</v>
      </c>
      <c r="G340" s="197">
        <v>1070</v>
      </c>
      <c r="H340" s="197">
        <v>15852</v>
      </c>
      <c r="I340" s="197">
        <v>36820</v>
      </c>
      <c r="J340" s="197">
        <v>1176</v>
      </c>
      <c r="K340" s="197">
        <v>2765</v>
      </c>
      <c r="L340" s="197">
        <v>466</v>
      </c>
      <c r="M340" s="197">
        <v>23528</v>
      </c>
      <c r="N340" s="197">
        <v>1341</v>
      </c>
      <c r="O340" s="197">
        <v>248</v>
      </c>
      <c r="P340" s="197">
        <v>1052</v>
      </c>
      <c r="Q340" s="197">
        <v>11510</v>
      </c>
      <c r="R340" s="197">
        <v>278</v>
      </c>
      <c r="S340" s="197">
        <v>7110</v>
      </c>
      <c r="T340" s="197">
        <v>11555</v>
      </c>
      <c r="U340" s="197">
        <v>30</v>
      </c>
      <c r="V340" s="197">
        <v>2047</v>
      </c>
      <c r="W340" s="197">
        <v>101</v>
      </c>
      <c r="X340" s="197">
        <v>10944</v>
      </c>
      <c r="Y340" s="197">
        <v>364</v>
      </c>
      <c r="Z340" s="197">
        <v>13</v>
      </c>
      <c r="AA340" s="152">
        <v>12</v>
      </c>
      <c r="AB340" s="197">
        <v>7</v>
      </c>
      <c r="AC340" s="197">
        <v>242</v>
      </c>
      <c r="AD340" s="197">
        <v>28</v>
      </c>
      <c r="AE340" s="197">
        <v>39</v>
      </c>
      <c r="AF340" s="197">
        <v>38</v>
      </c>
      <c r="AG340" s="197">
        <v>76</v>
      </c>
      <c r="AH340" s="197">
        <v>49</v>
      </c>
      <c r="AI340" s="197">
        <v>913</v>
      </c>
      <c r="AJ340" s="197">
        <v>9</v>
      </c>
      <c r="AK340" s="197">
        <v>13989</v>
      </c>
      <c r="AL340" s="197">
        <v>115062</v>
      </c>
      <c r="AM340" s="197">
        <v>2797</v>
      </c>
      <c r="AN340" s="197">
        <v>21936</v>
      </c>
      <c r="AO340" s="197">
        <v>20</v>
      </c>
      <c r="AP340" s="197">
        <v>10</v>
      </c>
      <c r="AQ340" s="197">
        <v>11602</v>
      </c>
      <c r="AR340" s="197">
        <v>0</v>
      </c>
      <c r="AS340" s="197">
        <v>878</v>
      </c>
      <c r="AT340" s="197">
        <v>47</v>
      </c>
      <c r="AU340" s="197">
        <v>11283</v>
      </c>
      <c r="AV340" s="197">
        <v>2638</v>
      </c>
      <c r="AW340" s="197">
        <v>5201</v>
      </c>
      <c r="AX340" s="197">
        <v>16770</v>
      </c>
      <c r="AY340" s="152">
        <v>34</v>
      </c>
      <c r="AZ340" s="152">
        <v>34</v>
      </c>
      <c r="BA340" s="152">
        <v>1031</v>
      </c>
      <c r="BB340" s="152">
        <v>0</v>
      </c>
      <c r="BC340" s="197">
        <v>158</v>
      </c>
      <c r="BD340" s="197">
        <v>616</v>
      </c>
      <c r="BE340" s="197">
        <v>0</v>
      </c>
      <c r="BF340" s="197">
        <v>0</v>
      </c>
      <c r="BG340" s="197">
        <v>7704</v>
      </c>
      <c r="BH340" s="197">
        <v>0</v>
      </c>
      <c r="BI340" s="197">
        <v>0</v>
      </c>
      <c r="BJ340" s="197">
        <v>0</v>
      </c>
      <c r="BK340" s="197">
        <v>69</v>
      </c>
      <c r="BL340" s="197">
        <v>5322</v>
      </c>
      <c r="BM340" s="197">
        <v>0</v>
      </c>
      <c r="BN340" s="197">
        <v>319</v>
      </c>
      <c r="BO340" s="197">
        <v>3</v>
      </c>
      <c r="BP340" s="197">
        <v>112586</v>
      </c>
      <c r="BQ340" s="197">
        <v>76966</v>
      </c>
      <c r="BR340" s="197">
        <v>460</v>
      </c>
      <c r="BS340" s="197">
        <v>124</v>
      </c>
      <c r="BT340" s="197">
        <v>24057</v>
      </c>
      <c r="BU340" s="197">
        <v>212</v>
      </c>
      <c r="BV340" s="197">
        <v>16</v>
      </c>
      <c r="BW340" s="197">
        <v>2</v>
      </c>
      <c r="BX340" s="197">
        <v>4</v>
      </c>
      <c r="BY340" s="197">
        <v>5428</v>
      </c>
      <c r="BZ340" s="197">
        <v>35</v>
      </c>
      <c r="CA340" s="197">
        <v>0</v>
      </c>
      <c r="CB340" s="197">
        <v>23207</v>
      </c>
      <c r="CC340" s="197">
        <v>16451</v>
      </c>
      <c r="CD340" s="197">
        <v>137432</v>
      </c>
      <c r="CE340" s="197">
        <v>277161</v>
      </c>
      <c r="CF340" s="197">
        <v>29556</v>
      </c>
      <c r="CG340" s="197">
        <v>49246</v>
      </c>
      <c r="CH340" s="197">
        <v>0</v>
      </c>
      <c r="CI340" s="197">
        <v>16</v>
      </c>
      <c r="CJ340" s="197">
        <v>1</v>
      </c>
      <c r="CK340" s="197">
        <v>17</v>
      </c>
      <c r="CL340" s="289"/>
      <c r="CM340" s="289"/>
      <c r="CN340" s="289"/>
      <c r="CO340" s="289"/>
      <c r="CP340" s="289"/>
      <c r="CQ340" s="289"/>
      <c r="CR340" s="197">
        <v>179</v>
      </c>
      <c r="CS340" s="197">
        <v>4</v>
      </c>
      <c r="CT340" s="197">
        <v>0</v>
      </c>
      <c r="CU340" s="197">
        <v>0</v>
      </c>
      <c r="CV340" s="197">
        <v>0</v>
      </c>
      <c r="CW340" s="197">
        <v>15</v>
      </c>
      <c r="CX340" s="197">
        <v>0</v>
      </c>
      <c r="CY340" s="197">
        <v>27</v>
      </c>
      <c r="DA340" s="6"/>
      <c r="DC340" s="6"/>
      <c r="DD340" s="6">
        <f t="shared" ref="DD340" si="586">SUM(AY340:AZ340,BE340:CK340)</f>
        <v>766462</v>
      </c>
      <c r="DE340" s="6">
        <f t="shared" si="457"/>
        <v>273860</v>
      </c>
      <c r="DF340" s="8">
        <f t="shared" ref="DF340" si="587">SUM(DD340:DE340)</f>
        <v>1040322</v>
      </c>
      <c r="DK340" s="6">
        <f t="shared" si="459"/>
        <v>57941</v>
      </c>
      <c r="DL340" s="6">
        <f t="shared" ref="DL340" si="588">SUM(Y340:Z340,AB340:AF340,AH340:AM340,AO340,AS340:AW340,BA340:BC340)+CR340+CS340</f>
        <v>154989</v>
      </c>
      <c r="DM340" s="6">
        <f t="shared" ref="DM340" si="589">T340</f>
        <v>11555</v>
      </c>
      <c r="DN340" s="6">
        <f t="shared" ref="DN340" si="590">AG340+AX340+AN340+AP340+AQ340+AR340</f>
        <v>50394</v>
      </c>
      <c r="DO340" s="6">
        <f t="shared" ref="DO340" si="591">SUM(AY340,BF340,BI340,BK340,BO340,BR340:BS340,BU340,BW340,BZ340:CB340,CD340:CF340,CJ340:CK340)</f>
        <v>468313</v>
      </c>
      <c r="DP340" s="6">
        <f t="shared" si="414"/>
        <v>101992</v>
      </c>
      <c r="DQ340" s="6">
        <f t="shared" si="430"/>
        <v>5428</v>
      </c>
      <c r="DR340" s="6">
        <f t="shared" ref="DR340" si="592">CC340+CI340+AA340</f>
        <v>16479</v>
      </c>
      <c r="DS340" s="6">
        <f t="shared" ref="DS340" si="593">BP340+BV340</f>
        <v>112602</v>
      </c>
      <c r="DT340" s="6">
        <f t="shared" ref="DT340" si="594">BG340+BJ340+BL340+BM340+BX340</f>
        <v>13030</v>
      </c>
      <c r="DU340" s="6"/>
      <c r="DV340" s="6"/>
      <c r="DW340" s="6">
        <f t="shared" ref="DW340" si="595">SUM(DK340:DT340)</f>
        <v>992723</v>
      </c>
      <c r="DY340" s="6">
        <f t="shared" ref="DY340" si="596">DO340+DT340+H340+I340+J340+K340+CG340</f>
        <v>587202</v>
      </c>
      <c r="DZ340" s="6">
        <f t="shared" ref="DZ340" si="597">SUM(G340:L340,O340)</f>
        <v>58397</v>
      </c>
      <c r="EB340" s="6">
        <f t="shared" ref="EB340" si="598">DZ340+DF340</f>
        <v>1098719</v>
      </c>
      <c r="EC340" s="6"/>
      <c r="ED340" s="6"/>
      <c r="EF340" s="6">
        <f t="shared" ref="EF340" si="599">SUM(BE340:CK340)-CG340-BP340</f>
        <v>604562</v>
      </c>
      <c r="EG340" s="6">
        <f t="shared" ref="EG340" si="600">SUM(M340:BC340)-AQ340</f>
        <v>263422</v>
      </c>
      <c r="EH340" s="6">
        <f t="shared" ref="EH340" si="601">SUM(EF340:EG340)</f>
        <v>867984</v>
      </c>
      <c r="EI340" s="36">
        <f t="shared" ref="EI340" si="602">(EF340-EF339)/EF339</f>
        <v>-1.2010791539248194E-3</v>
      </c>
      <c r="EJ340" s="36">
        <f t="shared" ref="EJ340" si="603">(EG340-EG339)/EG339</f>
        <v>4.3962496520747784E-3</v>
      </c>
      <c r="EM340" s="104"/>
      <c r="EN340" s="104"/>
      <c r="FC340" s="6">
        <f t="shared" si="262"/>
        <v>69496</v>
      </c>
      <c r="FD340" s="6">
        <f t="shared" si="263"/>
        <v>205383</v>
      </c>
      <c r="FE340" s="32">
        <f t="shared" si="264"/>
        <v>468313</v>
      </c>
      <c r="FF340" s="34">
        <f t="shared" si="265"/>
        <v>13030</v>
      </c>
      <c r="FG340" s="31">
        <f t="shared" si="266"/>
        <v>220022</v>
      </c>
      <c r="FH340" s="6">
        <f t="shared" si="267"/>
        <v>16479</v>
      </c>
      <c r="FI340" s="6">
        <f t="shared" si="268"/>
        <v>0</v>
      </c>
    </row>
    <row r="341" spans="1:165" s="172" customFormat="1">
      <c r="B341" s="50">
        <v>42339</v>
      </c>
      <c r="C341" s="198">
        <v>0</v>
      </c>
      <c r="D341" s="198">
        <v>0</v>
      </c>
      <c r="E341" s="198">
        <v>0</v>
      </c>
      <c r="F341" s="198">
        <v>0</v>
      </c>
      <c r="G341" s="198">
        <v>1042</v>
      </c>
      <c r="H341" s="198">
        <v>15686</v>
      </c>
      <c r="I341" s="198">
        <v>36513</v>
      </c>
      <c r="J341" s="198">
        <v>1141</v>
      </c>
      <c r="K341" s="198">
        <v>2646</v>
      </c>
      <c r="L341" s="198">
        <v>531</v>
      </c>
      <c r="M341" s="198">
        <v>23592</v>
      </c>
      <c r="N341" s="198">
        <v>1343</v>
      </c>
      <c r="O341" s="198">
        <v>296</v>
      </c>
      <c r="P341" s="198">
        <v>1055</v>
      </c>
      <c r="Q341" s="198">
        <v>11554</v>
      </c>
      <c r="R341" s="198">
        <v>277</v>
      </c>
      <c r="S341" s="198">
        <v>7101</v>
      </c>
      <c r="T341" s="198">
        <v>11551</v>
      </c>
      <c r="U341" s="198">
        <v>30</v>
      </c>
      <c r="V341" s="198">
        <v>2064</v>
      </c>
      <c r="W341" s="198">
        <v>94</v>
      </c>
      <c r="X341" s="198">
        <v>11008</v>
      </c>
      <c r="Y341" s="198">
        <v>385</v>
      </c>
      <c r="Z341" s="198">
        <v>13</v>
      </c>
      <c r="AA341" s="198">
        <v>15</v>
      </c>
      <c r="AB341" s="198">
        <v>7</v>
      </c>
      <c r="AC341" s="198">
        <v>245</v>
      </c>
      <c r="AD341" s="198">
        <v>28</v>
      </c>
      <c r="AE341" s="198">
        <v>38</v>
      </c>
      <c r="AF341" s="198">
        <v>39</v>
      </c>
      <c r="AG341" s="198">
        <v>74</v>
      </c>
      <c r="AH341" s="198">
        <v>48</v>
      </c>
      <c r="AI341" s="198">
        <v>941</v>
      </c>
      <c r="AJ341" s="198">
        <v>7</v>
      </c>
      <c r="AK341" s="198">
        <v>13951</v>
      </c>
      <c r="AL341" s="198">
        <v>115238</v>
      </c>
      <c r="AM341" s="198">
        <v>2785</v>
      </c>
      <c r="AN341" s="198">
        <v>21996</v>
      </c>
      <c r="AO341" s="198">
        <v>19</v>
      </c>
      <c r="AP341" s="198">
        <v>12</v>
      </c>
      <c r="AQ341" s="198">
        <v>11707</v>
      </c>
      <c r="AR341" s="198">
        <v>0</v>
      </c>
      <c r="AS341" s="198">
        <v>835</v>
      </c>
      <c r="AT341" s="198">
        <v>48</v>
      </c>
      <c r="AU341" s="198">
        <v>11360</v>
      </c>
      <c r="AV341" s="198">
        <v>2632</v>
      </c>
      <c r="AW341" s="198">
        <v>5219</v>
      </c>
      <c r="AX341" s="198">
        <v>16801</v>
      </c>
      <c r="AY341" s="198">
        <v>38</v>
      </c>
      <c r="AZ341" s="198">
        <v>17</v>
      </c>
      <c r="BA341" s="198">
        <v>1016</v>
      </c>
      <c r="BB341" s="198">
        <v>0</v>
      </c>
      <c r="BC341" s="198">
        <v>143</v>
      </c>
      <c r="BD341" s="198">
        <v>621</v>
      </c>
      <c r="BE341" s="198">
        <v>0</v>
      </c>
      <c r="BF341" s="198">
        <v>0</v>
      </c>
      <c r="BG341" s="198">
        <v>7691</v>
      </c>
      <c r="BH341" s="198">
        <v>0</v>
      </c>
      <c r="BI341" s="198">
        <v>0</v>
      </c>
      <c r="BJ341" s="198">
        <v>0</v>
      </c>
      <c r="BK341" s="198">
        <v>66</v>
      </c>
      <c r="BL341" s="198">
        <v>5422</v>
      </c>
      <c r="BM341" s="198">
        <v>0</v>
      </c>
      <c r="BN341" s="198">
        <v>306</v>
      </c>
      <c r="BO341" s="198">
        <v>3</v>
      </c>
      <c r="BP341" s="198">
        <v>112314</v>
      </c>
      <c r="BQ341" s="198">
        <v>76706</v>
      </c>
      <c r="BR341" s="198">
        <v>604</v>
      </c>
      <c r="BS341" s="198">
        <v>114</v>
      </c>
      <c r="BT341" s="198">
        <v>24284</v>
      </c>
      <c r="BU341" s="198">
        <v>344</v>
      </c>
      <c r="BV341" s="198">
        <v>4</v>
      </c>
      <c r="BW341" s="198">
        <v>2</v>
      </c>
      <c r="BX341" s="198">
        <v>4</v>
      </c>
      <c r="BY341" s="198">
        <v>5650</v>
      </c>
      <c r="BZ341" s="198">
        <v>71</v>
      </c>
      <c r="CA341" s="198">
        <v>0</v>
      </c>
      <c r="CB341" s="198">
        <v>23062</v>
      </c>
      <c r="CC341" s="198">
        <v>16132</v>
      </c>
      <c r="CD341" s="198">
        <v>135745</v>
      </c>
      <c r="CE341" s="198">
        <v>274755</v>
      </c>
      <c r="CF341" s="198">
        <v>29523</v>
      </c>
      <c r="CG341" s="198">
        <v>49195</v>
      </c>
      <c r="CH341" s="198">
        <v>0</v>
      </c>
      <c r="CI341" s="198">
        <v>14</v>
      </c>
      <c r="CJ341" s="198">
        <v>2</v>
      </c>
      <c r="CK341" s="198">
        <v>22</v>
      </c>
      <c r="CL341" s="289"/>
      <c r="CM341" s="289"/>
      <c r="CN341" s="289"/>
      <c r="CO341" s="289"/>
      <c r="CP341" s="289"/>
      <c r="CQ341" s="289"/>
      <c r="CR341" s="198">
        <v>198</v>
      </c>
      <c r="CS341" s="198">
        <v>7</v>
      </c>
      <c r="CT341" s="198">
        <v>0</v>
      </c>
      <c r="CU341" s="198">
        <v>0</v>
      </c>
      <c r="CV341" s="198">
        <v>0</v>
      </c>
      <c r="CW341" s="198">
        <v>15</v>
      </c>
      <c r="CX341" s="198">
        <v>0</v>
      </c>
      <c r="CY341" s="198">
        <v>27</v>
      </c>
      <c r="DA341" s="6"/>
      <c r="DC341" s="6"/>
      <c r="DD341" s="6">
        <f t="shared" ref="DD341" si="604">SUM(AY341:AZ341,BE341:CK341)</f>
        <v>762090</v>
      </c>
      <c r="DE341" s="6">
        <f t="shared" si="457"/>
        <v>274460</v>
      </c>
      <c r="DF341" s="8">
        <f t="shared" ref="DF341" si="605">SUM(DD341:DE341)</f>
        <v>1036550</v>
      </c>
      <c r="DG341" s="198"/>
      <c r="DH341" s="198"/>
      <c r="DI341" s="198"/>
      <c r="DJ341" s="198"/>
      <c r="DK341" s="6">
        <f t="shared" si="459"/>
        <v>58118</v>
      </c>
      <c r="DL341" s="6">
        <f t="shared" ref="DL341" si="606">SUM(Y341:Z341,AB341:AF341,AH341:AM341,AO341,AS341:AW341,BA341:BC341)+CR341+CS341</f>
        <v>155202</v>
      </c>
      <c r="DM341" s="6">
        <f t="shared" ref="DM341" si="607">T341</f>
        <v>11551</v>
      </c>
      <c r="DN341" s="6">
        <f t="shared" ref="DN341" si="608">AG341+AX341+AN341+AP341+AQ341+AR341</f>
        <v>50590</v>
      </c>
      <c r="DO341" s="6">
        <f t="shared" ref="DO341" si="609">SUM(AY341,BF341,BI341,BK341,BO341,BR341:BS341,BU341,BW341,BZ341:CB341,CD341:CF341,CJ341:CK341)</f>
        <v>464351</v>
      </c>
      <c r="DP341" s="6">
        <f t="shared" si="414"/>
        <v>101934</v>
      </c>
      <c r="DQ341" s="6">
        <f t="shared" si="430"/>
        <v>5650</v>
      </c>
      <c r="DR341" s="6">
        <f t="shared" ref="DR341" si="610">CC341+CI341+AA341</f>
        <v>16161</v>
      </c>
      <c r="DS341" s="6">
        <f t="shared" ref="DS341" si="611">BP341+BV341</f>
        <v>112318</v>
      </c>
      <c r="DT341" s="6">
        <f t="shared" ref="DT341" si="612">BG341+BJ341+BL341+BM341+BX341</f>
        <v>13117</v>
      </c>
      <c r="DU341" s="6"/>
      <c r="DV341" s="6"/>
      <c r="DW341" s="6">
        <f t="shared" ref="DW341" si="613">SUM(DK341:DT341)</f>
        <v>988992</v>
      </c>
      <c r="DX341" s="198"/>
      <c r="DY341" s="6">
        <f t="shared" ref="DY341" si="614">DO341+DT341+H341+I341+J341+K341+CG341</f>
        <v>582649</v>
      </c>
      <c r="DZ341" s="6">
        <f t="shared" ref="DZ341" si="615">SUM(G341:L341,O341)</f>
        <v>57855</v>
      </c>
      <c r="EA341" s="198"/>
      <c r="EB341" s="6">
        <f t="shared" ref="EB341" si="616">DZ341+DF341</f>
        <v>1094405</v>
      </c>
      <c r="EC341" s="6"/>
      <c r="ED341" s="6"/>
      <c r="EE341" s="198"/>
      <c r="EF341" s="6">
        <f t="shared" ref="EF341" si="617">SUM(BE341:CK341)-CG341-BP341</f>
        <v>600526</v>
      </c>
      <c r="EG341" s="6">
        <f t="shared" ref="EG341" si="618">SUM(M341:BC341)-AQ341</f>
        <v>263915</v>
      </c>
      <c r="EH341" s="6">
        <f t="shared" ref="EH341" si="619">SUM(EF341:EG341)</f>
        <v>864441</v>
      </c>
      <c r="EI341" s="36">
        <f t="shared" ref="EI341" si="620">(EF341-EF340)/EF340</f>
        <v>-6.6759075165160895E-3</v>
      </c>
      <c r="EJ341" s="36">
        <f t="shared" ref="EJ341" si="621">(EG341-EG340)/EG340</f>
        <v>1.8715217407809523E-3</v>
      </c>
      <c r="EK341" s="198"/>
      <c r="EM341" s="104"/>
      <c r="EN341" s="104"/>
      <c r="FC341" s="6">
        <f t="shared" si="262"/>
        <v>69669</v>
      </c>
      <c r="FD341" s="6">
        <f t="shared" si="263"/>
        <v>205792</v>
      </c>
      <c r="FE341" s="32">
        <f t="shared" si="264"/>
        <v>464351</v>
      </c>
      <c r="FF341" s="34">
        <f t="shared" si="265"/>
        <v>13117</v>
      </c>
      <c r="FG341" s="31">
        <f t="shared" si="266"/>
        <v>219902</v>
      </c>
      <c r="FH341" s="6">
        <f t="shared" si="267"/>
        <v>16161</v>
      </c>
      <c r="FI341" s="6">
        <f t="shared" si="268"/>
        <v>0</v>
      </c>
    </row>
    <row r="342" spans="1:165" s="139" customFormat="1">
      <c r="A342" s="150"/>
      <c r="B342" s="50">
        <v>42370</v>
      </c>
      <c r="C342" s="139">
        <v>0</v>
      </c>
      <c r="D342" s="139">
        <v>0</v>
      </c>
      <c r="E342" s="139">
        <v>0</v>
      </c>
      <c r="F342" s="139">
        <v>0</v>
      </c>
      <c r="G342" s="139">
        <v>1053</v>
      </c>
      <c r="H342" s="139">
        <v>15689</v>
      </c>
      <c r="I342" s="139">
        <v>36612</v>
      </c>
      <c r="J342" s="139">
        <v>1114</v>
      </c>
      <c r="K342" s="139">
        <v>2511</v>
      </c>
      <c r="L342" s="139">
        <v>586</v>
      </c>
      <c r="M342" s="139">
        <v>23685</v>
      </c>
      <c r="N342" s="139">
        <v>1350</v>
      </c>
      <c r="O342" s="181">
        <v>330</v>
      </c>
      <c r="P342" s="139">
        <v>1083</v>
      </c>
      <c r="Q342" s="139">
        <v>11517</v>
      </c>
      <c r="R342" s="139">
        <v>283</v>
      </c>
      <c r="S342" s="139">
        <v>7081</v>
      </c>
      <c r="T342" s="139">
        <v>11583</v>
      </c>
      <c r="U342" s="139">
        <v>25</v>
      </c>
      <c r="V342" s="139">
        <v>2097</v>
      </c>
      <c r="W342" s="139">
        <v>87</v>
      </c>
      <c r="X342" s="139">
        <v>11124</v>
      </c>
      <c r="Y342" s="139">
        <v>392</v>
      </c>
      <c r="Z342" s="139">
        <v>15</v>
      </c>
      <c r="AA342" s="152">
        <v>20</v>
      </c>
      <c r="AB342" s="139">
        <v>7</v>
      </c>
      <c r="AC342" s="139">
        <v>250</v>
      </c>
      <c r="AD342" s="139">
        <v>27</v>
      </c>
      <c r="AE342" s="139">
        <v>40</v>
      </c>
      <c r="AF342" s="139">
        <v>37</v>
      </c>
      <c r="AG342" s="139">
        <v>74</v>
      </c>
      <c r="AH342" s="139">
        <v>42</v>
      </c>
      <c r="AI342" s="139">
        <v>963</v>
      </c>
      <c r="AJ342" s="139">
        <v>8</v>
      </c>
      <c r="AK342" s="139">
        <v>13982</v>
      </c>
      <c r="AL342" s="139">
        <v>115690</v>
      </c>
      <c r="AM342" s="139">
        <v>2805</v>
      </c>
      <c r="AN342" s="139">
        <v>21979</v>
      </c>
      <c r="AO342" s="139">
        <v>20</v>
      </c>
      <c r="AP342" s="139">
        <v>20</v>
      </c>
      <c r="AQ342" s="139">
        <v>9577</v>
      </c>
      <c r="AR342" s="139">
        <v>0</v>
      </c>
      <c r="AS342" s="139">
        <v>819</v>
      </c>
      <c r="AT342" s="139">
        <v>50</v>
      </c>
      <c r="AU342" s="139">
        <v>11443</v>
      </c>
      <c r="AV342" s="139">
        <v>2631</v>
      </c>
      <c r="AW342" s="139">
        <v>5221</v>
      </c>
      <c r="AX342" s="139">
        <v>16796</v>
      </c>
      <c r="AY342" s="152">
        <v>35</v>
      </c>
      <c r="AZ342" s="152">
        <v>26</v>
      </c>
      <c r="BA342" s="152">
        <v>1015</v>
      </c>
      <c r="BB342" s="152">
        <v>0</v>
      </c>
      <c r="BC342" s="139">
        <v>139</v>
      </c>
      <c r="BD342" s="145">
        <v>621</v>
      </c>
      <c r="BE342" s="139">
        <v>0</v>
      </c>
      <c r="BF342" s="139">
        <v>0</v>
      </c>
      <c r="BG342" s="139">
        <v>7665</v>
      </c>
      <c r="BH342" s="139">
        <v>0</v>
      </c>
      <c r="BI342" s="139">
        <v>0</v>
      </c>
      <c r="BJ342" s="139">
        <v>0</v>
      </c>
      <c r="BK342" s="139">
        <v>64</v>
      </c>
      <c r="BL342" s="139">
        <v>5454</v>
      </c>
      <c r="BM342" s="145">
        <v>1</v>
      </c>
      <c r="BN342" s="139">
        <v>325</v>
      </c>
      <c r="BO342" s="139">
        <v>2</v>
      </c>
      <c r="BP342" s="139">
        <v>111504</v>
      </c>
      <c r="BQ342" s="139">
        <v>76921</v>
      </c>
      <c r="BR342" s="139">
        <v>757</v>
      </c>
      <c r="BS342" s="139">
        <v>110</v>
      </c>
      <c r="BT342" s="139">
        <v>24725</v>
      </c>
      <c r="BU342" s="139">
        <v>456</v>
      </c>
      <c r="BV342" s="151">
        <v>11</v>
      </c>
      <c r="BW342" s="139">
        <v>2</v>
      </c>
      <c r="BX342" s="139">
        <v>5</v>
      </c>
      <c r="BY342" s="181">
        <v>5951</v>
      </c>
      <c r="BZ342" s="139">
        <v>147</v>
      </c>
      <c r="CA342" s="139">
        <v>0</v>
      </c>
      <c r="CB342" s="139">
        <v>23139</v>
      </c>
      <c r="CC342" s="139">
        <v>16196</v>
      </c>
      <c r="CD342" s="139">
        <v>134878</v>
      </c>
      <c r="CE342" s="139">
        <v>274263</v>
      </c>
      <c r="CF342" s="139">
        <v>29684</v>
      </c>
      <c r="CG342" s="139">
        <v>49535</v>
      </c>
      <c r="CH342" s="139">
        <v>0</v>
      </c>
      <c r="CI342" s="139">
        <v>15</v>
      </c>
      <c r="CJ342" s="139">
        <v>2</v>
      </c>
      <c r="CK342" s="139">
        <v>24</v>
      </c>
      <c r="CL342" s="289"/>
      <c r="CM342" s="289"/>
      <c r="CN342" s="289"/>
      <c r="CO342" s="289"/>
      <c r="CP342" s="289"/>
      <c r="CQ342" s="289"/>
      <c r="CR342" s="177">
        <v>215</v>
      </c>
      <c r="CS342" s="186">
        <v>6</v>
      </c>
      <c r="CT342" s="139">
        <v>0</v>
      </c>
      <c r="CU342" s="139">
        <v>0</v>
      </c>
      <c r="CV342" s="139">
        <v>0</v>
      </c>
      <c r="CW342" s="139">
        <v>15</v>
      </c>
      <c r="CX342" s="139">
        <v>0</v>
      </c>
      <c r="CY342" s="139">
        <v>27</v>
      </c>
      <c r="DA342" s="6"/>
      <c r="DC342" s="6"/>
      <c r="DD342" s="6">
        <f t="shared" ref="DD342" si="622">SUM(AY342:AZ342,BE342:CK342)</f>
        <v>761897</v>
      </c>
      <c r="DE342" s="6">
        <f t="shared" si="457"/>
        <v>273183</v>
      </c>
      <c r="DF342" s="8">
        <f t="shared" ref="DF342" si="623">SUM(DD342:DE342)</f>
        <v>1035080</v>
      </c>
      <c r="DG342" s="199"/>
      <c r="DH342" s="199"/>
      <c r="DI342" s="199"/>
      <c r="DJ342" s="199"/>
      <c r="DK342" s="6">
        <f t="shared" si="459"/>
        <v>58332</v>
      </c>
      <c r="DL342" s="6">
        <f t="shared" ref="DL342" si="624">SUM(Y342:Z342,AB342:AF342,AH342:AM342,AO342,AS342:AW342,BA342:BC342)+CR342+CS342</f>
        <v>155817</v>
      </c>
      <c r="DM342" s="6">
        <f t="shared" ref="DM342" si="625">T342</f>
        <v>11583</v>
      </c>
      <c r="DN342" s="6">
        <f t="shared" ref="DN342" si="626">AG342+AX342+AN342+AP342+AQ342+AR342</f>
        <v>48446</v>
      </c>
      <c r="DO342" s="6">
        <f t="shared" ref="DO342" si="627">SUM(AY342,BF342,BI342,BK342,BO342,BR342:BS342,BU342,BW342,BZ342:CB342,CD342:CF342,CJ342:CK342)</f>
        <v>463563</v>
      </c>
      <c r="DP342" s="6">
        <f t="shared" si="414"/>
        <v>102618</v>
      </c>
      <c r="DQ342" s="6">
        <f t="shared" si="430"/>
        <v>5951</v>
      </c>
      <c r="DR342" s="6">
        <f t="shared" ref="DR342" si="628">CC342+CI342+AA342</f>
        <v>16231</v>
      </c>
      <c r="DS342" s="6">
        <f t="shared" ref="DS342" si="629">BP342+BV342</f>
        <v>111515</v>
      </c>
      <c r="DT342" s="6">
        <f t="shared" ref="DT342" si="630">BG342+BJ342+BL342+BM342+BX342</f>
        <v>13125</v>
      </c>
      <c r="DU342" s="6"/>
      <c r="DV342" s="6"/>
      <c r="DW342" s="6">
        <f t="shared" ref="DW342" si="631">SUM(DK342:DT342)</f>
        <v>987181</v>
      </c>
      <c r="DX342" s="199"/>
      <c r="DY342" s="6">
        <f t="shared" ref="DY342" si="632">DO342+DT342+H342+I342+J342+K342+CG342</f>
        <v>582149</v>
      </c>
      <c r="DZ342" s="6">
        <f t="shared" ref="DZ342" si="633">SUM(G342:L342,O342)</f>
        <v>57895</v>
      </c>
      <c r="EA342" s="199"/>
      <c r="EB342" s="6">
        <f t="shared" ref="EB342" si="634">DZ342+DF342</f>
        <v>1092975</v>
      </c>
      <c r="EC342" s="6"/>
      <c r="ED342" s="6"/>
      <c r="EE342" s="199"/>
      <c r="EF342" s="6">
        <f t="shared" ref="EF342" si="635">SUM(BE342:CK342)-CG342-BP342</f>
        <v>600797</v>
      </c>
      <c r="EG342" s="6">
        <f t="shared" ref="EG342" si="636">SUM(M342:BC342)-AQ342</f>
        <v>264791</v>
      </c>
      <c r="EH342" s="6">
        <f t="shared" ref="EH342" si="637">SUM(EF342:EG342)</f>
        <v>865588</v>
      </c>
      <c r="EI342" s="36">
        <f t="shared" ref="EI342" si="638">(EF342-EF341)/EF341</f>
        <v>4.5127105237741582E-4</v>
      </c>
      <c r="EJ342" s="36">
        <f t="shared" ref="EJ342" si="639">(EG342-EG341)/EG341</f>
        <v>3.3192505162647065E-3</v>
      </c>
      <c r="EM342" s="104"/>
      <c r="EN342" s="104"/>
      <c r="FC342" s="6">
        <f t="shared" si="262"/>
        <v>69915</v>
      </c>
      <c r="FD342" s="6">
        <f t="shared" si="263"/>
        <v>204263</v>
      </c>
      <c r="FE342" s="32">
        <f t="shared" si="264"/>
        <v>463563</v>
      </c>
      <c r="FF342" s="34">
        <f t="shared" si="265"/>
        <v>13125</v>
      </c>
      <c r="FG342" s="31">
        <f t="shared" si="266"/>
        <v>220084</v>
      </c>
      <c r="FH342" s="6">
        <f t="shared" si="267"/>
        <v>16231</v>
      </c>
      <c r="FI342" s="6">
        <f t="shared" si="268"/>
        <v>0</v>
      </c>
    </row>
    <row r="343" spans="1:165" s="199" customFormat="1">
      <c r="B343" s="50">
        <v>42401</v>
      </c>
      <c r="C343" s="199">
        <v>0</v>
      </c>
      <c r="D343" s="199">
        <v>0</v>
      </c>
      <c r="E343" s="199">
        <v>0</v>
      </c>
      <c r="F343" s="199">
        <v>0</v>
      </c>
      <c r="G343" s="199">
        <v>1040</v>
      </c>
      <c r="H343" s="199">
        <v>15698</v>
      </c>
      <c r="I343" s="199">
        <v>36655</v>
      </c>
      <c r="J343" s="199">
        <v>1078</v>
      </c>
      <c r="K343" s="199">
        <v>2457</v>
      </c>
      <c r="L343" s="199">
        <v>637</v>
      </c>
      <c r="M343" s="199">
        <v>23850</v>
      </c>
      <c r="N343" s="199">
        <v>1342</v>
      </c>
      <c r="O343" s="199">
        <v>357</v>
      </c>
      <c r="P343" s="199">
        <v>1068</v>
      </c>
      <c r="Q343" s="199">
        <v>11554</v>
      </c>
      <c r="R343" s="199">
        <v>278</v>
      </c>
      <c r="S343" s="199">
        <v>7087</v>
      </c>
      <c r="T343" s="199">
        <v>11615</v>
      </c>
      <c r="U343" s="199">
        <v>27</v>
      </c>
      <c r="V343" s="199">
        <v>2122</v>
      </c>
      <c r="W343" s="199">
        <v>88</v>
      </c>
      <c r="X343" s="199">
        <v>11230</v>
      </c>
      <c r="Y343" s="199">
        <v>408</v>
      </c>
      <c r="Z343" s="199">
        <v>13</v>
      </c>
      <c r="AA343" s="152">
        <v>11</v>
      </c>
      <c r="AB343" s="199">
        <v>7</v>
      </c>
      <c r="AC343" s="199">
        <v>255</v>
      </c>
      <c r="AD343" s="199">
        <v>26</v>
      </c>
      <c r="AE343" s="199">
        <v>40</v>
      </c>
      <c r="AF343" s="199">
        <v>34</v>
      </c>
      <c r="AG343" s="199">
        <v>72</v>
      </c>
      <c r="AH343" s="199">
        <v>38</v>
      </c>
      <c r="AI343" s="199">
        <v>979</v>
      </c>
      <c r="AJ343" s="199">
        <v>7</v>
      </c>
      <c r="AK343" s="199">
        <v>14039</v>
      </c>
      <c r="AL343" s="199">
        <v>115858</v>
      </c>
      <c r="AM343" s="199">
        <v>2783</v>
      </c>
      <c r="AN343" s="199">
        <v>22047</v>
      </c>
      <c r="AO343" s="199">
        <v>22</v>
      </c>
      <c r="AP343" s="199">
        <v>20</v>
      </c>
      <c r="AQ343" s="199">
        <v>10325</v>
      </c>
      <c r="AR343" s="199">
        <v>0</v>
      </c>
      <c r="AS343" s="199">
        <v>806</v>
      </c>
      <c r="AT343" s="199">
        <v>52</v>
      </c>
      <c r="AU343" s="199">
        <v>11517</v>
      </c>
      <c r="AV343" s="199">
        <v>2640</v>
      </c>
      <c r="AW343" s="199">
        <v>5211</v>
      </c>
      <c r="AX343" s="199">
        <v>16808</v>
      </c>
      <c r="AY343" s="152">
        <v>42</v>
      </c>
      <c r="AZ343" s="152">
        <v>23</v>
      </c>
      <c r="BA343" s="152">
        <v>1000</v>
      </c>
      <c r="BB343" s="152">
        <v>0</v>
      </c>
      <c r="BC343" s="199">
        <v>139</v>
      </c>
      <c r="BD343" s="199">
        <v>614</v>
      </c>
      <c r="BE343" s="199">
        <v>0</v>
      </c>
      <c r="BF343" s="199">
        <v>0</v>
      </c>
      <c r="BG343" s="199">
        <v>7662</v>
      </c>
      <c r="BH343" s="199">
        <v>0</v>
      </c>
      <c r="BI343" s="199">
        <v>0</v>
      </c>
      <c r="BJ343" s="199">
        <v>0</v>
      </c>
      <c r="BK343" s="199">
        <v>62</v>
      </c>
      <c r="BL343" s="199">
        <v>5449</v>
      </c>
      <c r="BM343" s="199">
        <v>0</v>
      </c>
      <c r="BN343" s="199">
        <v>354</v>
      </c>
      <c r="BO343" s="199">
        <v>2</v>
      </c>
      <c r="BP343" s="199">
        <v>111206</v>
      </c>
      <c r="BQ343" s="199">
        <v>76755</v>
      </c>
      <c r="BR343" s="199">
        <v>741</v>
      </c>
      <c r="BS343" s="199">
        <v>100</v>
      </c>
      <c r="BT343" s="199">
        <v>25058</v>
      </c>
      <c r="BU343" s="199">
        <v>446</v>
      </c>
      <c r="BV343" s="199">
        <v>9</v>
      </c>
      <c r="BW343" s="199">
        <v>2</v>
      </c>
      <c r="BX343" s="199">
        <v>5</v>
      </c>
      <c r="BY343" s="199">
        <v>5987</v>
      </c>
      <c r="BZ343" s="199">
        <v>196</v>
      </c>
      <c r="CA343" s="199">
        <v>0</v>
      </c>
      <c r="CB343" s="199">
        <v>23094</v>
      </c>
      <c r="CC343" s="199">
        <v>16138</v>
      </c>
      <c r="CD343" s="199">
        <v>134686</v>
      </c>
      <c r="CE343" s="199">
        <v>274738</v>
      </c>
      <c r="CF343" s="199">
        <v>29726</v>
      </c>
      <c r="CG343" s="199">
        <v>49810</v>
      </c>
      <c r="CH343" s="199">
        <v>0</v>
      </c>
      <c r="CI343" s="199">
        <v>17</v>
      </c>
      <c r="CJ343" s="199">
        <v>2</v>
      </c>
      <c r="CK343" s="199">
        <v>25</v>
      </c>
      <c r="CL343" s="289"/>
      <c r="CM343" s="289"/>
      <c r="CN343" s="289"/>
      <c r="CO343" s="289"/>
      <c r="CP343" s="289"/>
      <c r="CQ343" s="289"/>
      <c r="CR343" s="199">
        <v>213</v>
      </c>
      <c r="CS343" s="199">
        <v>6</v>
      </c>
      <c r="CT343" s="199">
        <v>0</v>
      </c>
      <c r="CU343" s="199">
        <v>0</v>
      </c>
      <c r="CV343" s="199">
        <v>0</v>
      </c>
      <c r="CW343" s="199">
        <v>15</v>
      </c>
      <c r="CX343" s="199">
        <v>0</v>
      </c>
      <c r="CY343" s="199">
        <v>27</v>
      </c>
      <c r="DA343" s="6"/>
      <c r="DC343" s="6"/>
      <c r="DD343" s="6">
        <f t="shared" ref="DD343:DD348" si="640">SUM(AY343:AZ343,BE343:CK343)</f>
        <v>762335</v>
      </c>
      <c r="DE343" s="6">
        <f t="shared" ref="DE343:DE348" si="641">SUM(M343:N343,P343:AX343,BB343:BC343)+CR343+CS343</f>
        <v>274637</v>
      </c>
      <c r="DF343" s="8">
        <f t="shared" ref="DF343" si="642">SUM(DD343:DE343)</f>
        <v>1036972</v>
      </c>
      <c r="DG343" s="201"/>
      <c r="DH343" s="201"/>
      <c r="DI343" s="201"/>
      <c r="DJ343" s="201"/>
      <c r="DK343" s="6">
        <f t="shared" si="459"/>
        <v>58646</v>
      </c>
      <c r="DL343" s="6">
        <f t="shared" ref="DL343" si="643">SUM(Y343:Z343,AB343:AF343,AH343:AM343,AO343,AS343:AW343,BA343:BC343)+CR343+CS343</f>
        <v>156093</v>
      </c>
      <c r="DM343" s="6">
        <f t="shared" ref="DM343" si="644">T343</f>
        <v>11615</v>
      </c>
      <c r="DN343" s="6">
        <f t="shared" ref="DN343" si="645">AG343+AX343+AN343+AP343+AQ343+AR343</f>
        <v>49272</v>
      </c>
      <c r="DO343" s="6">
        <f t="shared" ref="DO343" si="646">SUM(AY343,BF343,BI343,BK343,BO343,BR343:BS343,BU343,BW343,BZ343:CB343,CD343:CF343,CJ343:CK343)</f>
        <v>463862</v>
      </c>
      <c r="DP343" s="6">
        <f t="shared" si="414"/>
        <v>102804</v>
      </c>
      <c r="DQ343" s="6">
        <f t="shared" si="430"/>
        <v>5987</v>
      </c>
      <c r="DR343" s="6">
        <f t="shared" ref="DR343" si="647">CC343+CI343+AA343</f>
        <v>16166</v>
      </c>
      <c r="DS343" s="6">
        <f t="shared" ref="DS343" si="648">BP343+BV343</f>
        <v>111215</v>
      </c>
      <c r="DT343" s="6">
        <f t="shared" ref="DT343" si="649">BG343+BJ343+BL343+BM343+BX343</f>
        <v>13116</v>
      </c>
      <c r="DU343" s="6"/>
      <c r="DV343" s="6"/>
      <c r="DW343" s="6">
        <f t="shared" ref="DW343" si="650">SUM(DK343:DT343)</f>
        <v>988776</v>
      </c>
      <c r="DX343" s="201"/>
      <c r="DY343" s="6">
        <f t="shared" ref="DY343" si="651">DO343+DT343+H343+I343+J343+K343+CG343</f>
        <v>582676</v>
      </c>
      <c r="DZ343" s="6">
        <f t="shared" ref="DZ343:DZ348" si="652">SUM(G343:L343,O343)</f>
        <v>57922</v>
      </c>
      <c r="EA343" s="201"/>
      <c r="EB343" s="6">
        <f t="shared" ref="EB343:EB348" si="653">DZ343+DF343</f>
        <v>1094894</v>
      </c>
      <c r="EC343" s="6"/>
      <c r="ED343" s="6"/>
      <c r="EE343" s="201"/>
      <c r="EF343" s="6">
        <f t="shared" ref="EF343" si="654">SUM(BE343:CK343)-CG343-BP343</f>
        <v>601254</v>
      </c>
      <c r="EG343" s="6">
        <f t="shared" ref="EG343" si="655">SUM(M343:BC343)-AQ343</f>
        <v>265515</v>
      </c>
      <c r="EH343" s="6">
        <f t="shared" ref="EH343" si="656">SUM(EF343:EG343)</f>
        <v>866769</v>
      </c>
      <c r="EI343" s="36">
        <f t="shared" ref="EI343" si="657">(EF343-EF342)/EF342</f>
        <v>7.6065626159917577E-4</v>
      </c>
      <c r="EJ343" s="36">
        <f t="shared" ref="EJ343" si="658">(EG343-EG342)/EG342</f>
        <v>2.7342319036523146E-3</v>
      </c>
      <c r="EK343" s="201"/>
      <c r="EM343" s="104"/>
      <c r="EN343" s="104"/>
      <c r="FC343" s="6">
        <f t="shared" si="262"/>
        <v>70261</v>
      </c>
      <c r="FD343" s="6">
        <f t="shared" si="263"/>
        <v>205365</v>
      </c>
      <c r="FE343" s="32">
        <f t="shared" si="264"/>
        <v>463862</v>
      </c>
      <c r="FF343" s="34">
        <f t="shared" si="265"/>
        <v>13116</v>
      </c>
      <c r="FG343" s="31">
        <f t="shared" si="266"/>
        <v>220006</v>
      </c>
      <c r="FH343" s="6">
        <f t="shared" si="267"/>
        <v>16166</v>
      </c>
      <c r="FI343" s="6">
        <f t="shared" si="268"/>
        <v>0</v>
      </c>
    </row>
    <row r="344" spans="1:165" s="202" customFormat="1">
      <c r="B344" s="50">
        <v>42430</v>
      </c>
      <c r="C344" s="202">
        <v>0</v>
      </c>
      <c r="D344" s="202">
        <v>0</v>
      </c>
      <c r="E344" s="202">
        <v>0</v>
      </c>
      <c r="F344" s="202">
        <v>0</v>
      </c>
      <c r="G344" s="202">
        <v>1070</v>
      </c>
      <c r="H344" s="202">
        <v>15881</v>
      </c>
      <c r="I344" s="202">
        <v>36989</v>
      </c>
      <c r="J344" s="202">
        <v>1054</v>
      </c>
      <c r="K344" s="202">
        <v>2406</v>
      </c>
      <c r="L344" s="202">
        <v>705</v>
      </c>
      <c r="M344" s="202">
        <v>24025</v>
      </c>
      <c r="N344" s="202">
        <v>1337</v>
      </c>
      <c r="O344" s="202">
        <v>395</v>
      </c>
      <c r="P344" s="202">
        <v>1080</v>
      </c>
      <c r="Q344" s="202">
        <v>11597</v>
      </c>
      <c r="R344" s="202">
        <v>278</v>
      </c>
      <c r="S344" s="202">
        <v>7026</v>
      </c>
      <c r="T344" s="202">
        <v>11601</v>
      </c>
      <c r="U344" s="202">
        <v>27</v>
      </c>
      <c r="V344" s="202">
        <v>2162</v>
      </c>
      <c r="W344" s="202">
        <v>93</v>
      </c>
      <c r="X344" s="202">
        <v>11420</v>
      </c>
      <c r="Y344" s="202">
        <v>429</v>
      </c>
      <c r="Z344" s="202">
        <v>11</v>
      </c>
      <c r="AA344" s="202">
        <v>10</v>
      </c>
      <c r="AB344" s="202">
        <v>7</v>
      </c>
      <c r="AC344" s="202">
        <v>251</v>
      </c>
      <c r="AD344" s="202">
        <v>26</v>
      </c>
      <c r="AE344" s="202">
        <v>40</v>
      </c>
      <c r="AF344" s="202">
        <v>37</v>
      </c>
      <c r="AG344" s="202">
        <v>70</v>
      </c>
      <c r="AH344" s="202">
        <v>42</v>
      </c>
      <c r="AI344" s="202">
        <v>998</v>
      </c>
      <c r="AJ344" s="202">
        <v>6</v>
      </c>
      <c r="AK344" s="202">
        <v>14178</v>
      </c>
      <c r="AL344" s="202">
        <v>115834</v>
      </c>
      <c r="AM344" s="202">
        <v>2779</v>
      </c>
      <c r="AN344" s="202">
        <v>22138</v>
      </c>
      <c r="AO344" s="202">
        <v>21</v>
      </c>
      <c r="AP344" s="202">
        <v>25</v>
      </c>
      <c r="AQ344" s="202">
        <v>10629</v>
      </c>
      <c r="AR344" s="202">
        <v>0</v>
      </c>
      <c r="AS344" s="202">
        <v>836</v>
      </c>
      <c r="AT344" s="202">
        <v>54</v>
      </c>
      <c r="AU344" s="202">
        <v>11605</v>
      </c>
      <c r="AV344" s="202">
        <v>2644</v>
      </c>
      <c r="AW344" s="202">
        <v>5179</v>
      </c>
      <c r="AX344" s="202">
        <v>16768</v>
      </c>
      <c r="AY344" s="202">
        <v>36</v>
      </c>
      <c r="AZ344" s="202">
        <v>17</v>
      </c>
      <c r="BA344" s="202">
        <v>1011</v>
      </c>
      <c r="BB344" s="202">
        <v>0</v>
      </c>
      <c r="BC344" s="202">
        <v>145</v>
      </c>
      <c r="BD344" s="202">
        <v>622</v>
      </c>
      <c r="BE344" s="202">
        <v>0</v>
      </c>
      <c r="BF344" s="202">
        <v>0</v>
      </c>
      <c r="BG344" s="202">
        <v>7651</v>
      </c>
      <c r="BH344" s="202">
        <v>0</v>
      </c>
      <c r="BI344" s="202">
        <v>0</v>
      </c>
      <c r="BJ344" s="202">
        <v>0</v>
      </c>
      <c r="BK344" s="202">
        <v>58</v>
      </c>
      <c r="BL344" s="202">
        <v>5517</v>
      </c>
      <c r="BM344" s="202">
        <v>0</v>
      </c>
      <c r="BN344" s="202">
        <v>374</v>
      </c>
      <c r="BO344" s="202">
        <v>2</v>
      </c>
      <c r="BP344" s="202">
        <v>112462</v>
      </c>
      <c r="BQ344" s="202">
        <v>76769</v>
      </c>
      <c r="BR344" s="202">
        <v>685</v>
      </c>
      <c r="BS344" s="202">
        <v>94</v>
      </c>
      <c r="BT344" s="202">
        <v>25262</v>
      </c>
      <c r="BU344" s="202">
        <v>461</v>
      </c>
      <c r="BV344" s="202">
        <v>8</v>
      </c>
      <c r="BW344" s="202">
        <v>1</v>
      </c>
      <c r="BX344" s="202">
        <v>4</v>
      </c>
      <c r="BY344" s="202">
        <v>6073</v>
      </c>
      <c r="BZ344" s="202">
        <v>210</v>
      </c>
      <c r="CA344" s="202">
        <v>0</v>
      </c>
      <c r="CB344" s="202">
        <v>23378</v>
      </c>
      <c r="CC344" s="202">
        <v>15983</v>
      </c>
      <c r="CD344" s="202">
        <v>134885</v>
      </c>
      <c r="CE344" s="202">
        <v>275120</v>
      </c>
      <c r="CF344" s="202">
        <v>30315</v>
      </c>
      <c r="CG344" s="202">
        <v>50110</v>
      </c>
      <c r="CH344" s="202">
        <v>0</v>
      </c>
      <c r="CI344" s="202">
        <v>17</v>
      </c>
      <c r="CJ344" s="202">
        <v>3</v>
      </c>
      <c r="CK344" s="202">
        <v>27</v>
      </c>
      <c r="CL344" s="289"/>
      <c r="CM344" s="289"/>
      <c r="CN344" s="289"/>
      <c r="CO344" s="289"/>
      <c r="CP344" s="289"/>
      <c r="CQ344" s="289"/>
      <c r="CR344" s="202">
        <v>244</v>
      </c>
      <c r="CS344" s="202">
        <v>8</v>
      </c>
      <c r="CT344" s="202">
        <v>0</v>
      </c>
      <c r="CU344" s="202">
        <v>0</v>
      </c>
      <c r="CV344" s="202">
        <v>0</v>
      </c>
      <c r="CW344" s="202">
        <v>15</v>
      </c>
      <c r="CX344" s="202">
        <v>0</v>
      </c>
      <c r="CY344" s="202">
        <v>27</v>
      </c>
      <c r="DA344" s="6"/>
      <c r="DC344" s="6"/>
      <c r="DD344" s="6">
        <f t="shared" si="640"/>
        <v>765522</v>
      </c>
      <c r="DE344" s="6">
        <f t="shared" si="641"/>
        <v>275660</v>
      </c>
      <c r="DF344" s="8">
        <f t="shared" ref="DF344" si="659">SUM(DD344:DE344)</f>
        <v>1041182</v>
      </c>
      <c r="DK344" s="6">
        <f t="shared" si="459"/>
        <v>59045</v>
      </c>
      <c r="DL344" s="6">
        <f t="shared" ref="DL344" si="660">SUM(Y344:Z344,AB344:AF344,AH344:AM344,AO344,AS344:AW344,BA344:BC344)+CR344+CS344</f>
        <v>156385</v>
      </c>
      <c r="DM344" s="6">
        <f t="shared" ref="DM344" si="661">T344</f>
        <v>11601</v>
      </c>
      <c r="DN344" s="6">
        <f t="shared" ref="DN344" si="662">AG344+AX344+AN344+AP344+AQ344+AR344</f>
        <v>49630</v>
      </c>
      <c r="DO344" s="6">
        <f t="shared" ref="DO344" si="663">SUM(AY344,BF344,BI344,BK344,BO344,BR344:BS344,BU344,BW344,BZ344:CB344,CD344:CF344,CJ344:CK344)</f>
        <v>465275</v>
      </c>
      <c r="DP344" s="6">
        <f t="shared" si="414"/>
        <v>103044</v>
      </c>
      <c r="DQ344" s="6">
        <f t="shared" si="430"/>
        <v>6073</v>
      </c>
      <c r="DR344" s="6">
        <f t="shared" ref="DR344" si="664">CC344+CI344+AA344</f>
        <v>16010</v>
      </c>
      <c r="DS344" s="6">
        <f t="shared" ref="DS344" si="665">BP344+BV344</f>
        <v>112470</v>
      </c>
      <c r="DT344" s="6">
        <f t="shared" ref="DT344" si="666">BG344+BJ344+BL344+BM344+BX344</f>
        <v>13172</v>
      </c>
      <c r="DU344" s="6"/>
      <c r="DV344" s="6"/>
      <c r="DW344" s="6">
        <f t="shared" ref="DW344" si="667">SUM(DK344:DT344)</f>
        <v>992705</v>
      </c>
      <c r="DY344" s="6">
        <f t="shared" ref="DY344" si="668">DO344+DT344+H344+I344+J344+K344+CG344</f>
        <v>584887</v>
      </c>
      <c r="DZ344" s="6">
        <f t="shared" si="652"/>
        <v>58500</v>
      </c>
      <c r="EB344" s="6">
        <f t="shared" si="653"/>
        <v>1099682</v>
      </c>
      <c r="EC344" s="6"/>
      <c r="ED344" s="6"/>
      <c r="EF344" s="6">
        <f t="shared" ref="EF344" si="669">SUM(BE344:CK344)-CG344-BP344</f>
        <v>602897</v>
      </c>
      <c r="EG344" s="6">
        <f t="shared" ref="EG344" si="670">SUM(M344:BC344)-AQ344</f>
        <v>266238</v>
      </c>
      <c r="EH344" s="6">
        <f t="shared" ref="EH344" si="671">SUM(EF344:EG344)</f>
        <v>869135</v>
      </c>
      <c r="EI344" s="36">
        <f t="shared" ref="EI344" si="672">(EF344-EF343)/EF343</f>
        <v>2.7326221530334935E-3</v>
      </c>
      <c r="EJ344" s="36">
        <f t="shared" ref="EJ344" si="673">(EG344-EG343)/EG343</f>
        <v>2.7230099994350601E-3</v>
      </c>
      <c r="EM344" s="104"/>
      <c r="EN344" s="104"/>
      <c r="FC344" s="6">
        <f t="shared" si="262"/>
        <v>70646</v>
      </c>
      <c r="FD344" s="6">
        <f t="shared" si="263"/>
        <v>206015</v>
      </c>
      <c r="FE344" s="32">
        <f t="shared" si="264"/>
        <v>465275</v>
      </c>
      <c r="FF344" s="34">
        <f t="shared" si="265"/>
        <v>13172</v>
      </c>
      <c r="FG344" s="31">
        <f t="shared" si="266"/>
        <v>221587</v>
      </c>
      <c r="FH344" s="6">
        <f t="shared" si="267"/>
        <v>16010</v>
      </c>
      <c r="FI344" s="6">
        <f t="shared" si="268"/>
        <v>0</v>
      </c>
    </row>
    <row r="345" spans="1:165" s="203" customFormat="1">
      <c r="B345" s="50">
        <v>42461</v>
      </c>
      <c r="C345" s="203">
        <v>0</v>
      </c>
      <c r="D345" s="203">
        <v>0</v>
      </c>
      <c r="E345" s="203">
        <v>0</v>
      </c>
      <c r="F345" s="203">
        <v>0</v>
      </c>
      <c r="G345" s="203">
        <v>1098</v>
      </c>
      <c r="H345" s="203">
        <v>15966</v>
      </c>
      <c r="I345" s="203">
        <v>37476</v>
      </c>
      <c r="J345" s="203">
        <v>1048</v>
      </c>
      <c r="K345" s="203">
        <v>2407</v>
      </c>
      <c r="L345" s="203">
        <v>782</v>
      </c>
      <c r="M345" s="203">
        <v>24406</v>
      </c>
      <c r="N345" s="203">
        <v>1346</v>
      </c>
      <c r="O345" s="203">
        <v>434</v>
      </c>
      <c r="P345" s="203">
        <v>1124</v>
      </c>
      <c r="Q345" s="203">
        <v>11550</v>
      </c>
      <c r="R345" s="203">
        <v>281</v>
      </c>
      <c r="S345" s="203">
        <v>7007</v>
      </c>
      <c r="T345" s="203">
        <v>11726</v>
      </c>
      <c r="U345" s="203">
        <v>32</v>
      </c>
      <c r="V345" s="203">
        <v>2225</v>
      </c>
      <c r="W345" s="203">
        <v>93</v>
      </c>
      <c r="X345" s="203">
        <v>11674</v>
      </c>
      <c r="Y345" s="203">
        <v>458</v>
      </c>
      <c r="Z345" s="203">
        <v>10</v>
      </c>
      <c r="AA345" s="203">
        <v>9</v>
      </c>
      <c r="AB345" s="203">
        <v>7</v>
      </c>
      <c r="AC345" s="203">
        <v>252</v>
      </c>
      <c r="AD345" s="203">
        <v>26</v>
      </c>
      <c r="AE345" s="203">
        <v>39</v>
      </c>
      <c r="AF345" s="203">
        <v>35</v>
      </c>
      <c r="AG345" s="203">
        <v>73</v>
      </c>
      <c r="AH345" s="203">
        <v>52</v>
      </c>
      <c r="AI345" s="203">
        <v>1038</v>
      </c>
      <c r="AJ345" s="203">
        <v>7</v>
      </c>
      <c r="AK345" s="203">
        <v>14325</v>
      </c>
      <c r="AL345" s="203">
        <v>115768</v>
      </c>
      <c r="AM345" s="203">
        <v>2766</v>
      </c>
      <c r="AN345" s="203">
        <v>22134</v>
      </c>
      <c r="AO345" s="203">
        <v>21</v>
      </c>
      <c r="AP345" s="203">
        <v>33</v>
      </c>
      <c r="AQ345" s="203">
        <v>10911</v>
      </c>
      <c r="AR345" s="203">
        <v>0</v>
      </c>
      <c r="AS345" s="203">
        <v>900</v>
      </c>
      <c r="AT345" s="203">
        <v>56</v>
      </c>
      <c r="AU345" s="203">
        <v>11691</v>
      </c>
      <c r="AV345" s="203">
        <v>2617</v>
      </c>
      <c r="AW345" s="203">
        <v>5180</v>
      </c>
      <c r="AX345" s="203">
        <v>16825</v>
      </c>
      <c r="AY345" s="203">
        <v>34</v>
      </c>
      <c r="AZ345" s="203">
        <v>19</v>
      </c>
      <c r="BA345" s="203">
        <v>1011</v>
      </c>
      <c r="BB345" s="203">
        <v>0</v>
      </c>
      <c r="BC345" s="203">
        <v>148</v>
      </c>
      <c r="BD345" s="203">
        <v>629</v>
      </c>
      <c r="BE345" s="203">
        <v>0</v>
      </c>
      <c r="BF345" s="203">
        <v>0</v>
      </c>
      <c r="BG345" s="203">
        <v>7672</v>
      </c>
      <c r="BH345" s="203">
        <v>0</v>
      </c>
      <c r="BI345" s="203">
        <v>0</v>
      </c>
      <c r="BJ345" s="203">
        <v>0</v>
      </c>
      <c r="BK345" s="203">
        <v>58</v>
      </c>
      <c r="BL345" s="203">
        <v>5481</v>
      </c>
      <c r="BM345" s="203">
        <v>1</v>
      </c>
      <c r="BN345" s="203">
        <v>407</v>
      </c>
      <c r="BO345" s="203">
        <v>2</v>
      </c>
      <c r="BP345" s="203">
        <v>113596</v>
      </c>
      <c r="BQ345" s="203">
        <v>76753</v>
      </c>
      <c r="BR345" s="203">
        <v>645</v>
      </c>
      <c r="BS345" s="203">
        <v>90</v>
      </c>
      <c r="BT345" s="203">
        <v>25461</v>
      </c>
      <c r="BU345" s="203">
        <v>444</v>
      </c>
      <c r="BV345" s="203">
        <v>8</v>
      </c>
      <c r="BW345" s="203">
        <v>1</v>
      </c>
      <c r="BX345" s="203">
        <v>4</v>
      </c>
      <c r="BY345" s="203">
        <v>6687</v>
      </c>
      <c r="BZ345" s="203">
        <v>223</v>
      </c>
      <c r="CA345" s="203">
        <v>0</v>
      </c>
      <c r="CB345" s="203">
        <v>23582</v>
      </c>
      <c r="CC345" s="203">
        <v>16535</v>
      </c>
      <c r="CD345" s="203">
        <v>135546</v>
      </c>
      <c r="CE345" s="203">
        <v>276373</v>
      </c>
      <c r="CF345" s="203">
        <v>30707</v>
      </c>
      <c r="CG345" s="203">
        <v>50717</v>
      </c>
      <c r="CH345" s="203">
        <v>0</v>
      </c>
      <c r="CI345" s="203">
        <v>12</v>
      </c>
      <c r="CJ345" s="203">
        <v>3</v>
      </c>
      <c r="CK345" s="203">
        <v>30</v>
      </c>
      <c r="CL345" s="289"/>
      <c r="CM345" s="289"/>
      <c r="CN345" s="289"/>
      <c r="CO345" s="289"/>
      <c r="CP345" s="289"/>
      <c r="CQ345" s="289"/>
      <c r="CR345" s="203">
        <v>277</v>
      </c>
      <c r="CS345" s="203">
        <v>6</v>
      </c>
      <c r="CT345" s="203">
        <v>0</v>
      </c>
      <c r="CU345" s="203">
        <v>0</v>
      </c>
      <c r="CV345" s="203">
        <v>0</v>
      </c>
      <c r="CW345" s="203">
        <v>15</v>
      </c>
      <c r="CX345" s="203">
        <v>0</v>
      </c>
      <c r="CY345" s="203">
        <v>27</v>
      </c>
      <c r="DA345" s="6"/>
      <c r="DC345" s="6"/>
      <c r="DD345" s="6">
        <f t="shared" si="640"/>
        <v>771091</v>
      </c>
      <c r="DE345" s="6">
        <f t="shared" si="641"/>
        <v>277128</v>
      </c>
      <c r="DF345" s="8">
        <f t="shared" ref="DF345" si="674">SUM(DD345:DE345)</f>
        <v>1048219</v>
      </c>
      <c r="DK345" s="6">
        <f t="shared" si="459"/>
        <v>59738</v>
      </c>
      <c r="DL345" s="6">
        <f t="shared" ref="DL345" si="675">SUM(Y345:Z345,AB345:AF345,AH345:AM345,AO345,AS345:AW345,BA345:BC345)+CR345+CS345</f>
        <v>156690</v>
      </c>
      <c r="DM345" s="6">
        <f t="shared" ref="DM345" si="676">T345</f>
        <v>11726</v>
      </c>
      <c r="DN345" s="6">
        <f t="shared" ref="DN345" si="677">AG345+AX345+AN345+AP345+AQ345+AR345</f>
        <v>49976</v>
      </c>
      <c r="DO345" s="6">
        <f t="shared" ref="DO345" si="678">SUM(AY345,BF345,BI345,BK345,BO345,BR345:BS345,BU345,BW345,BZ345:CB345,CD345:CF345,CJ345:CK345)</f>
        <v>467738</v>
      </c>
      <c r="DP345" s="6">
        <f t="shared" si="414"/>
        <v>103269</v>
      </c>
      <c r="DQ345" s="6">
        <f t="shared" si="430"/>
        <v>6687</v>
      </c>
      <c r="DR345" s="6">
        <f t="shared" ref="DR345" si="679">CC345+CI345+AA345</f>
        <v>16556</v>
      </c>
      <c r="DS345" s="6">
        <f t="shared" ref="DS345" si="680">BP345+BV345</f>
        <v>113604</v>
      </c>
      <c r="DT345" s="6">
        <f t="shared" ref="DT345" si="681">BG345+BJ345+BL345+BM345+BX345</f>
        <v>13158</v>
      </c>
      <c r="DU345" s="6"/>
      <c r="DV345" s="6"/>
      <c r="DW345" s="6">
        <f t="shared" ref="DW345" si="682">SUM(DK345:DT345)</f>
        <v>999142</v>
      </c>
      <c r="DY345" s="6">
        <f t="shared" ref="DY345" si="683">DO345+DT345+H345+I345+J345+K345+CG345</f>
        <v>588510</v>
      </c>
      <c r="DZ345" s="6">
        <f t="shared" si="652"/>
        <v>59211</v>
      </c>
      <c r="EB345" s="6">
        <f t="shared" si="653"/>
        <v>1107430</v>
      </c>
      <c r="EC345" s="6"/>
      <c r="ED345" s="6"/>
      <c r="EF345" s="6">
        <f t="shared" ref="EF345" si="684">SUM(BE345:CK345)-CG345-BP345</f>
        <v>606725</v>
      </c>
      <c r="EG345" s="6">
        <f t="shared" ref="EG345" si="685">SUM(M345:BC345)-AQ345</f>
        <v>267432</v>
      </c>
      <c r="EH345" s="6">
        <f t="shared" ref="EH345" si="686">SUM(EF345:EG345)</f>
        <v>874157</v>
      </c>
      <c r="EI345" s="36">
        <f t="shared" ref="EI345" si="687">(EF345-EF344)/EF344</f>
        <v>6.3493432543203897E-3</v>
      </c>
      <c r="EJ345" s="36">
        <f t="shared" ref="EJ345" si="688">(EG345-EG344)/EG344</f>
        <v>4.4847091699907601E-3</v>
      </c>
      <c r="EM345" s="104"/>
      <c r="EN345" s="104"/>
      <c r="FC345" s="6">
        <f t="shared" si="262"/>
        <v>71464</v>
      </c>
      <c r="FD345" s="6">
        <f t="shared" si="263"/>
        <v>206666</v>
      </c>
      <c r="FE345" s="32">
        <f t="shared" si="264"/>
        <v>467738</v>
      </c>
      <c r="FF345" s="34">
        <f t="shared" si="265"/>
        <v>13158</v>
      </c>
      <c r="FG345" s="31">
        <f t="shared" si="266"/>
        <v>223560</v>
      </c>
      <c r="FH345" s="6">
        <f t="shared" si="267"/>
        <v>16556</v>
      </c>
      <c r="FI345" s="6">
        <f t="shared" si="268"/>
        <v>0</v>
      </c>
    </row>
    <row r="346" spans="1:165" s="201" customFormat="1">
      <c r="B346" s="50">
        <v>42491</v>
      </c>
      <c r="C346" s="204">
        <v>0</v>
      </c>
      <c r="D346" s="204">
        <v>0</v>
      </c>
      <c r="E346" s="204">
        <v>0</v>
      </c>
      <c r="F346" s="204">
        <v>0</v>
      </c>
      <c r="G346" s="204">
        <v>1077</v>
      </c>
      <c r="H346" s="204">
        <v>16154</v>
      </c>
      <c r="I346" s="204">
        <v>37977</v>
      </c>
      <c r="J346" s="204">
        <v>1046</v>
      </c>
      <c r="K346" s="204">
        <v>2384</v>
      </c>
      <c r="L346" s="204">
        <v>821</v>
      </c>
      <c r="M346" s="204">
        <v>24700</v>
      </c>
      <c r="N346" s="204">
        <v>1336</v>
      </c>
      <c r="O346" s="204">
        <v>452</v>
      </c>
      <c r="P346" s="204">
        <v>1150</v>
      </c>
      <c r="Q346" s="204">
        <v>11555</v>
      </c>
      <c r="R346" s="204">
        <v>284</v>
      </c>
      <c r="S346" s="204">
        <v>6980</v>
      </c>
      <c r="T346" s="204">
        <v>11791</v>
      </c>
      <c r="U346" s="204">
        <v>32</v>
      </c>
      <c r="V346" s="204">
        <v>2289</v>
      </c>
      <c r="W346" s="204">
        <v>86</v>
      </c>
      <c r="X346" s="204">
        <v>11803</v>
      </c>
      <c r="Y346" s="204">
        <v>451</v>
      </c>
      <c r="Z346" s="204">
        <v>9</v>
      </c>
      <c r="AA346" s="204">
        <v>7</v>
      </c>
      <c r="AB346" s="204">
        <v>7</v>
      </c>
      <c r="AC346" s="204">
        <v>243</v>
      </c>
      <c r="AD346" s="204">
        <v>26</v>
      </c>
      <c r="AE346" s="204">
        <v>37</v>
      </c>
      <c r="AF346" s="204">
        <v>36</v>
      </c>
      <c r="AG346" s="204">
        <v>70</v>
      </c>
      <c r="AH346" s="204">
        <v>54</v>
      </c>
      <c r="AI346" s="204">
        <v>1064</v>
      </c>
      <c r="AJ346" s="204">
        <v>7</v>
      </c>
      <c r="AK346" s="204">
        <v>14375</v>
      </c>
      <c r="AL346" s="204">
        <v>115284</v>
      </c>
      <c r="AM346" s="204">
        <v>2752</v>
      </c>
      <c r="AN346" s="204">
        <v>22098</v>
      </c>
      <c r="AO346" s="204">
        <v>19</v>
      </c>
      <c r="AP346" s="204">
        <v>33</v>
      </c>
      <c r="AQ346" s="204">
        <v>11074</v>
      </c>
      <c r="AR346" s="204">
        <v>0</v>
      </c>
      <c r="AS346" s="204">
        <v>929</v>
      </c>
      <c r="AT346" s="204">
        <v>57</v>
      </c>
      <c r="AU346" s="204">
        <v>11767</v>
      </c>
      <c r="AV346" s="204">
        <v>2614</v>
      </c>
      <c r="AW346" s="204">
        <v>5125</v>
      </c>
      <c r="AX346" s="204">
        <v>16794</v>
      </c>
      <c r="AY346" s="204">
        <v>32</v>
      </c>
      <c r="AZ346" s="204">
        <v>14</v>
      </c>
      <c r="BA346" s="204">
        <v>1005</v>
      </c>
      <c r="BB346" s="204">
        <v>0</v>
      </c>
      <c r="BC346" s="204">
        <v>143</v>
      </c>
      <c r="BD346" s="204">
        <v>630</v>
      </c>
      <c r="BE346" s="204">
        <v>0</v>
      </c>
      <c r="BF346" s="204">
        <v>0</v>
      </c>
      <c r="BG346" s="204">
        <v>7698</v>
      </c>
      <c r="BH346" s="204">
        <v>0</v>
      </c>
      <c r="BI346" s="204">
        <v>0</v>
      </c>
      <c r="BJ346" s="204">
        <v>0</v>
      </c>
      <c r="BK346" s="204">
        <v>62</v>
      </c>
      <c r="BL346" s="204">
        <v>5518</v>
      </c>
      <c r="BM346" s="204">
        <v>0</v>
      </c>
      <c r="BN346" s="204">
        <v>377</v>
      </c>
      <c r="BO346" s="204">
        <v>2</v>
      </c>
      <c r="BP346" s="204">
        <v>108417</v>
      </c>
      <c r="BQ346" s="204">
        <v>76570</v>
      </c>
      <c r="BR346" s="204">
        <v>600</v>
      </c>
      <c r="BS346" s="204">
        <v>81</v>
      </c>
      <c r="BT346" s="204">
        <v>25544</v>
      </c>
      <c r="BU346" s="204">
        <v>428</v>
      </c>
      <c r="BV346" s="204">
        <v>1</v>
      </c>
      <c r="BW346" s="204">
        <v>0</v>
      </c>
      <c r="BX346" s="204">
        <v>4</v>
      </c>
      <c r="BY346" s="204">
        <v>7222</v>
      </c>
      <c r="BZ346" s="204">
        <v>244</v>
      </c>
      <c r="CA346" s="204">
        <v>0</v>
      </c>
      <c r="CB346" s="204">
        <v>23711</v>
      </c>
      <c r="CC346" s="204">
        <v>16672</v>
      </c>
      <c r="CD346" s="204">
        <v>135872</v>
      </c>
      <c r="CE346" s="204">
        <v>277134</v>
      </c>
      <c r="CF346" s="204">
        <v>30650</v>
      </c>
      <c r="CG346" s="204">
        <v>51096</v>
      </c>
      <c r="CH346" s="204">
        <v>0</v>
      </c>
      <c r="CI346" s="204">
        <v>14</v>
      </c>
      <c r="CJ346" s="204">
        <v>4</v>
      </c>
      <c r="CK346" s="204">
        <v>31</v>
      </c>
      <c r="CL346" s="289"/>
      <c r="CM346" s="289"/>
      <c r="CN346" s="289"/>
      <c r="CO346" s="289"/>
      <c r="CP346" s="289"/>
      <c r="CQ346" s="289"/>
      <c r="CR346" s="204">
        <v>292</v>
      </c>
      <c r="CS346" s="204">
        <v>7</v>
      </c>
      <c r="CT346" s="204">
        <v>0</v>
      </c>
      <c r="CU346" s="204">
        <v>0</v>
      </c>
      <c r="CV346" s="204">
        <v>0</v>
      </c>
      <c r="CW346" s="204">
        <v>14</v>
      </c>
      <c r="CX346" s="204">
        <v>0</v>
      </c>
      <c r="CY346" s="204">
        <v>27</v>
      </c>
      <c r="DA346" s="6"/>
      <c r="DC346" s="6"/>
      <c r="DD346" s="6">
        <f t="shared" si="640"/>
        <v>767998</v>
      </c>
      <c r="DE346" s="6">
        <f t="shared" si="641"/>
        <v>277380</v>
      </c>
      <c r="DF346" s="8">
        <f t="shared" ref="DF346" si="689">SUM(DD346:DE346)</f>
        <v>1045378</v>
      </c>
      <c r="DG346" s="204"/>
      <c r="DH346" s="204"/>
      <c r="DI346" s="204"/>
      <c r="DJ346" s="204"/>
      <c r="DK346" s="6">
        <f t="shared" si="459"/>
        <v>60215</v>
      </c>
      <c r="DL346" s="6">
        <f t="shared" ref="DL346" si="690">SUM(Y346:Z346,AB346:AF346,AH346:AM346,AO346,AS346:AW346,BA346:BC346)+CR346+CS346</f>
        <v>156303</v>
      </c>
      <c r="DM346" s="6">
        <f t="shared" ref="DM346" si="691">T346</f>
        <v>11791</v>
      </c>
      <c r="DN346" s="6">
        <f t="shared" ref="DN346" si="692">AG346+AX346+AN346+AP346+AQ346+AR346</f>
        <v>50069</v>
      </c>
      <c r="DO346" s="6">
        <f t="shared" ref="DO346" si="693">SUM(AY346,BF346,BI346,BK346,BO346,BR346:BS346,BU346,BW346,BZ346:CB346,CD346:CF346,CJ346:CK346)</f>
        <v>468851</v>
      </c>
      <c r="DP346" s="6">
        <f t="shared" si="414"/>
        <v>103135</v>
      </c>
      <c r="DQ346" s="6">
        <f t="shared" si="430"/>
        <v>7222</v>
      </c>
      <c r="DR346" s="6">
        <f t="shared" ref="DR346" si="694">CC346+CI346+AA346</f>
        <v>16693</v>
      </c>
      <c r="DS346" s="6">
        <f t="shared" ref="DS346" si="695">BP346+BV346</f>
        <v>108418</v>
      </c>
      <c r="DT346" s="6">
        <f t="shared" ref="DT346" si="696">BG346+BJ346+BL346+BM346+BX346</f>
        <v>13220</v>
      </c>
      <c r="DU346" s="6"/>
      <c r="DV346" s="6"/>
      <c r="DW346" s="6">
        <f t="shared" ref="DW346" si="697">SUM(DK346:DT346)</f>
        <v>995917</v>
      </c>
      <c r="DX346" s="204"/>
      <c r="DY346" s="6">
        <f t="shared" ref="DY346" si="698">DO346+DT346+H346+I346+J346+K346+CG346</f>
        <v>590728</v>
      </c>
      <c r="DZ346" s="6">
        <f t="shared" si="652"/>
        <v>59911</v>
      </c>
      <c r="EA346" s="204"/>
      <c r="EB346" s="6">
        <f t="shared" si="653"/>
        <v>1105289</v>
      </c>
      <c r="EC346" s="6"/>
      <c r="ED346" s="6"/>
      <c r="EE346" s="204"/>
      <c r="EF346" s="6">
        <f t="shared" ref="EF346" si="699">SUM(BE346:CK346)-CG346-BP346</f>
        <v>608439</v>
      </c>
      <c r="EG346" s="6">
        <f t="shared" ref="EG346" si="700">SUM(M346:BC346)-AQ346</f>
        <v>267510</v>
      </c>
      <c r="EH346" s="6">
        <f t="shared" ref="EH346" si="701">SUM(EF346:EG346)</f>
        <v>875949</v>
      </c>
      <c r="EI346" s="36">
        <f t="shared" ref="EI346" si="702">(EF346-EF345)/EF345</f>
        <v>2.8250030903621904E-3</v>
      </c>
      <c r="EJ346" s="36">
        <f t="shared" ref="EJ346" si="703">(EG346-EG345)/EG345</f>
        <v>2.9166292739836669E-4</v>
      </c>
      <c r="EK346" s="204"/>
      <c r="EL346" s="204"/>
      <c r="EM346" s="104"/>
      <c r="EN346" s="104"/>
      <c r="FC346" s="6">
        <f t="shared" si="262"/>
        <v>72006</v>
      </c>
      <c r="FD346" s="6">
        <f t="shared" si="263"/>
        <v>206372</v>
      </c>
      <c r="FE346" s="32">
        <f t="shared" si="264"/>
        <v>468851</v>
      </c>
      <c r="FF346" s="34">
        <f t="shared" si="265"/>
        <v>13220</v>
      </c>
      <c r="FG346" s="31">
        <f t="shared" si="266"/>
        <v>218775</v>
      </c>
      <c r="FH346" s="6">
        <f t="shared" si="267"/>
        <v>16693</v>
      </c>
      <c r="FI346" s="6">
        <f t="shared" si="268"/>
        <v>0</v>
      </c>
    </row>
    <row r="347" spans="1:165" s="204" customFormat="1">
      <c r="B347" s="50">
        <v>42522</v>
      </c>
      <c r="C347" s="242">
        <v>0</v>
      </c>
      <c r="D347" s="242">
        <v>0</v>
      </c>
      <c r="E347" s="242">
        <v>0</v>
      </c>
      <c r="F347" s="242">
        <v>0</v>
      </c>
      <c r="G347" s="242">
        <v>1093</v>
      </c>
      <c r="H347" s="242">
        <v>16359</v>
      </c>
      <c r="I347" s="242">
        <v>38276</v>
      </c>
      <c r="J347" s="242">
        <v>1006</v>
      </c>
      <c r="K347" s="242">
        <v>2371</v>
      </c>
      <c r="L347" s="242">
        <v>851</v>
      </c>
      <c r="M347" s="242">
        <v>24875</v>
      </c>
      <c r="N347" s="242">
        <v>1331</v>
      </c>
      <c r="O347" s="242">
        <v>467</v>
      </c>
      <c r="P347" s="242">
        <v>1170</v>
      </c>
      <c r="Q347" s="242">
        <v>11575</v>
      </c>
      <c r="R347" s="242">
        <v>278</v>
      </c>
      <c r="S347" s="242">
        <v>6902</v>
      </c>
      <c r="T347" s="242">
        <v>11866</v>
      </c>
      <c r="U347" s="242">
        <v>30</v>
      </c>
      <c r="V347" s="242">
        <v>2341</v>
      </c>
      <c r="W347" s="242">
        <v>83</v>
      </c>
      <c r="X347" s="242">
        <v>11975</v>
      </c>
      <c r="Y347" s="242">
        <v>453</v>
      </c>
      <c r="Z347" s="242">
        <v>9</v>
      </c>
      <c r="AA347" s="242">
        <v>13</v>
      </c>
      <c r="AB347" s="242">
        <v>8</v>
      </c>
      <c r="AC347" s="242">
        <v>242</v>
      </c>
      <c r="AD347" s="242">
        <v>25</v>
      </c>
      <c r="AE347" s="242">
        <v>36</v>
      </c>
      <c r="AF347" s="242">
        <v>32</v>
      </c>
      <c r="AG347" s="242">
        <v>73</v>
      </c>
      <c r="AH347" s="242">
        <v>52</v>
      </c>
      <c r="AI347" s="242">
        <v>1077</v>
      </c>
      <c r="AJ347" s="242">
        <v>6</v>
      </c>
      <c r="AK347" s="242">
        <v>14504</v>
      </c>
      <c r="AL347" s="242">
        <v>115161</v>
      </c>
      <c r="AM347" s="242">
        <v>2752</v>
      </c>
      <c r="AN347" s="242">
        <v>21944</v>
      </c>
      <c r="AO347" s="242">
        <v>20</v>
      </c>
      <c r="AP347" s="242">
        <v>37</v>
      </c>
      <c r="AQ347" s="242">
        <v>11213</v>
      </c>
      <c r="AR347" s="242">
        <v>0</v>
      </c>
      <c r="AS347" s="242">
        <v>929</v>
      </c>
      <c r="AT347" s="242">
        <v>58</v>
      </c>
      <c r="AU347" s="242">
        <v>11838</v>
      </c>
      <c r="AV347" s="242">
        <v>2629</v>
      </c>
      <c r="AW347" s="242">
        <v>5098</v>
      </c>
      <c r="AX347" s="242">
        <v>16673</v>
      </c>
      <c r="AY347" s="242">
        <v>32</v>
      </c>
      <c r="AZ347" s="242">
        <v>19</v>
      </c>
      <c r="BA347" s="242">
        <v>991</v>
      </c>
      <c r="BB347" s="242">
        <v>0</v>
      </c>
      <c r="BC347" s="242">
        <v>147</v>
      </c>
      <c r="BD347" s="242">
        <v>627</v>
      </c>
      <c r="BE347" s="242">
        <v>0</v>
      </c>
      <c r="BF347" s="242">
        <v>0</v>
      </c>
      <c r="BG347" s="242">
        <v>7685</v>
      </c>
      <c r="BH347" s="242">
        <v>0</v>
      </c>
      <c r="BI347" s="242">
        <v>0</v>
      </c>
      <c r="BJ347" s="242">
        <v>0</v>
      </c>
      <c r="BK347" s="242">
        <v>55</v>
      </c>
      <c r="BL347" s="242">
        <v>5580</v>
      </c>
      <c r="BM347" s="242">
        <v>0</v>
      </c>
      <c r="BN347" s="242">
        <v>366</v>
      </c>
      <c r="BO347" s="242">
        <v>2</v>
      </c>
      <c r="BP347" s="242">
        <v>106781</v>
      </c>
      <c r="BQ347" s="242">
        <v>76185</v>
      </c>
      <c r="BR347" s="242">
        <v>572</v>
      </c>
      <c r="BS347" s="242">
        <v>67</v>
      </c>
      <c r="BT347" s="242">
        <v>25342</v>
      </c>
      <c r="BU347" s="242">
        <v>400</v>
      </c>
      <c r="BV347" s="242">
        <v>5</v>
      </c>
      <c r="BW347" s="242">
        <v>0</v>
      </c>
      <c r="BX347" s="242">
        <v>4</v>
      </c>
      <c r="BY347" s="242">
        <v>7575</v>
      </c>
      <c r="BZ347" s="242">
        <v>254</v>
      </c>
      <c r="CA347" s="242">
        <v>0</v>
      </c>
      <c r="CB347" s="242">
        <v>23880</v>
      </c>
      <c r="CC347" s="242">
        <v>16507</v>
      </c>
      <c r="CD347" s="242">
        <v>135673</v>
      </c>
      <c r="CE347" s="242">
        <v>278072</v>
      </c>
      <c r="CF347" s="242">
        <v>30567</v>
      </c>
      <c r="CG347" s="242">
        <v>51432</v>
      </c>
      <c r="CH347" s="242">
        <v>0</v>
      </c>
      <c r="CI347" s="242">
        <v>13</v>
      </c>
      <c r="CJ347" s="242">
        <v>4</v>
      </c>
      <c r="CK347" s="242">
        <v>33</v>
      </c>
      <c r="CL347" s="289"/>
      <c r="CM347" s="289"/>
      <c r="CN347" s="289"/>
      <c r="CO347" s="289"/>
      <c r="CP347" s="289"/>
      <c r="CQ347" s="289"/>
      <c r="CR347" s="242">
        <v>310</v>
      </c>
      <c r="CS347" s="242">
        <v>9</v>
      </c>
      <c r="CT347" s="242">
        <v>0</v>
      </c>
      <c r="CU347" s="242">
        <v>0</v>
      </c>
      <c r="CV347" s="242">
        <v>0</v>
      </c>
      <c r="CW347" s="242">
        <v>14</v>
      </c>
      <c r="CX347" s="242">
        <v>0</v>
      </c>
      <c r="CY347" s="242">
        <v>27</v>
      </c>
      <c r="DA347" s="6"/>
      <c r="DC347" s="6"/>
      <c r="DD347" s="6">
        <f t="shared" si="640"/>
        <v>767105</v>
      </c>
      <c r="DE347" s="6">
        <f t="shared" si="641"/>
        <v>277774</v>
      </c>
      <c r="DF347" s="8">
        <f t="shared" ref="DF347" si="704">SUM(DD347:DE347)</f>
        <v>1044879</v>
      </c>
      <c r="DG347" s="242"/>
      <c r="DH347" s="242"/>
      <c r="DI347" s="242"/>
      <c r="DJ347" s="242"/>
      <c r="DK347" s="6">
        <f t="shared" si="459"/>
        <v>60560</v>
      </c>
      <c r="DL347" s="6">
        <f t="shared" ref="DL347" si="705">SUM(Y347:Z347,AB347:AF347,AH347:AM347,AO347,AS347:AW347,BA347:BC347)+CR347+CS347</f>
        <v>156386</v>
      </c>
      <c r="DM347" s="6">
        <f t="shared" ref="DM347" si="706">T347</f>
        <v>11866</v>
      </c>
      <c r="DN347" s="6">
        <f t="shared" ref="DN347" si="707">AG347+AX347+AN347+AP347+AQ347+AR347</f>
        <v>49940</v>
      </c>
      <c r="DO347" s="6">
        <f t="shared" ref="DO347" si="708">SUM(AY347,BF347,BI347,BK347,BO347,BR347:BS347,BU347,BW347,BZ347:CB347,CD347:CF347,CJ347:CK347)</f>
        <v>469611</v>
      </c>
      <c r="DP347" s="6">
        <f t="shared" si="414"/>
        <v>102539</v>
      </c>
      <c r="DQ347" s="6">
        <f t="shared" si="430"/>
        <v>7575</v>
      </c>
      <c r="DR347" s="6">
        <f t="shared" ref="DR347" si="709">CC347+CI347+AA347</f>
        <v>16533</v>
      </c>
      <c r="DS347" s="6">
        <f t="shared" ref="DS347" si="710">BP347+BV347</f>
        <v>106786</v>
      </c>
      <c r="DT347" s="6">
        <f t="shared" ref="DT347" si="711">BG347+BJ347+BL347+BM347+BX347</f>
        <v>13269</v>
      </c>
      <c r="DU347" s="6"/>
      <c r="DV347" s="6"/>
      <c r="DW347" s="6">
        <f t="shared" ref="DW347" si="712">SUM(DK347:DT347)</f>
        <v>995065</v>
      </c>
      <c r="DX347" s="242"/>
      <c r="DY347" s="6">
        <f t="shared" ref="DY347" si="713">DO347+DT347+H347+I347+J347+K347+CG347</f>
        <v>592324</v>
      </c>
      <c r="DZ347" s="6">
        <f t="shared" si="652"/>
        <v>60423</v>
      </c>
      <c r="EA347" s="242"/>
      <c r="EB347" s="6">
        <f t="shared" si="653"/>
        <v>1105302</v>
      </c>
      <c r="EC347" s="6"/>
      <c r="ED347" s="6"/>
      <c r="EE347" s="242"/>
      <c r="EF347" s="6">
        <f t="shared" ref="EF347" si="714">SUM(BE347:CK347)-CG347-BP347</f>
        <v>608841</v>
      </c>
      <c r="EG347" s="6">
        <f t="shared" ref="EG347" si="715">SUM(M347:BC347)-AQ347</f>
        <v>267751</v>
      </c>
      <c r="EH347" s="6">
        <f t="shared" ref="EH347" si="716">SUM(EF347:EG347)</f>
        <v>876592</v>
      </c>
      <c r="EI347" s="36">
        <f t="shared" ref="EI347" si="717">(EF347-EF346)/EF346</f>
        <v>6.6070715388066837E-4</v>
      </c>
      <c r="EJ347" s="36">
        <f t="shared" ref="EJ347" si="718">(EG347-EG346)/EG346</f>
        <v>9.0090090090090091E-4</v>
      </c>
      <c r="EM347" s="104"/>
      <c r="EN347" s="104"/>
      <c r="FC347" s="6">
        <f t="shared" si="262"/>
        <v>72426</v>
      </c>
      <c r="FD347" s="6">
        <f t="shared" si="263"/>
        <v>206326</v>
      </c>
      <c r="FE347" s="32">
        <f t="shared" si="264"/>
        <v>469611</v>
      </c>
      <c r="FF347" s="34">
        <f t="shared" si="265"/>
        <v>13269</v>
      </c>
      <c r="FG347" s="31">
        <f t="shared" si="266"/>
        <v>216900</v>
      </c>
      <c r="FH347" s="6">
        <f t="shared" si="267"/>
        <v>16533</v>
      </c>
      <c r="FI347" s="6">
        <f t="shared" si="268"/>
        <v>0</v>
      </c>
    </row>
    <row r="348" spans="1:165" s="244" customFormat="1">
      <c r="B348" s="50">
        <v>42552</v>
      </c>
      <c r="C348" s="244">
        <v>0</v>
      </c>
      <c r="D348" s="244">
        <v>0</v>
      </c>
      <c r="E348" s="244">
        <v>0</v>
      </c>
      <c r="F348" s="244">
        <v>0</v>
      </c>
      <c r="G348" s="244">
        <v>1086</v>
      </c>
      <c r="H348" s="244">
        <v>16326</v>
      </c>
      <c r="I348" s="244">
        <v>38579</v>
      </c>
      <c r="J348" s="244">
        <v>991</v>
      </c>
      <c r="K348" s="244">
        <v>2323</v>
      </c>
      <c r="L348" s="244">
        <v>889</v>
      </c>
      <c r="M348" s="244">
        <v>25233</v>
      </c>
      <c r="N348" s="244">
        <v>1364</v>
      </c>
      <c r="O348" s="244">
        <v>489</v>
      </c>
      <c r="P348" s="244">
        <v>1180</v>
      </c>
      <c r="Q348" s="244">
        <v>11562</v>
      </c>
      <c r="R348" s="244">
        <v>274</v>
      </c>
      <c r="S348" s="244">
        <v>6819</v>
      </c>
      <c r="T348" s="244">
        <v>11986</v>
      </c>
      <c r="U348" s="244">
        <v>31</v>
      </c>
      <c r="V348" s="244">
        <v>2448</v>
      </c>
      <c r="W348" s="244">
        <v>80</v>
      </c>
      <c r="X348" s="244">
        <v>12348</v>
      </c>
      <c r="Y348" s="244">
        <v>465</v>
      </c>
      <c r="Z348" s="244">
        <v>9</v>
      </c>
      <c r="AA348" s="244">
        <v>14</v>
      </c>
      <c r="AB348" s="244">
        <v>7</v>
      </c>
      <c r="AC348" s="244">
        <v>243</v>
      </c>
      <c r="AD348" s="244">
        <v>25</v>
      </c>
      <c r="AE348" s="244">
        <v>36</v>
      </c>
      <c r="AF348" s="244">
        <v>29</v>
      </c>
      <c r="AG348" s="244">
        <v>72</v>
      </c>
      <c r="AH348" s="244">
        <v>52</v>
      </c>
      <c r="AI348" s="244">
        <v>1139</v>
      </c>
      <c r="AJ348" s="244">
        <v>5</v>
      </c>
      <c r="AK348" s="244">
        <v>14738</v>
      </c>
      <c r="AL348" s="244">
        <v>115101</v>
      </c>
      <c r="AM348" s="244">
        <v>2748</v>
      </c>
      <c r="AN348" s="244">
        <v>21911</v>
      </c>
      <c r="AO348" s="244">
        <v>22</v>
      </c>
      <c r="AP348" s="244">
        <v>51</v>
      </c>
      <c r="AQ348" s="244">
        <v>11322</v>
      </c>
      <c r="AR348" s="244">
        <v>0</v>
      </c>
      <c r="AS348" s="244">
        <v>898</v>
      </c>
      <c r="AT348" s="244">
        <v>60</v>
      </c>
      <c r="AU348" s="244">
        <v>11752</v>
      </c>
      <c r="AV348" s="244">
        <v>2593</v>
      </c>
      <c r="AW348" s="244">
        <v>5007</v>
      </c>
      <c r="AX348" s="244">
        <v>16625</v>
      </c>
      <c r="AY348" s="244">
        <v>36</v>
      </c>
      <c r="AZ348" s="244">
        <v>24</v>
      </c>
      <c r="BA348" s="244">
        <v>995</v>
      </c>
      <c r="BB348" s="244">
        <v>1</v>
      </c>
      <c r="BC348" s="244">
        <v>140</v>
      </c>
      <c r="BD348" s="244">
        <v>644</v>
      </c>
      <c r="BE348" s="244">
        <v>0</v>
      </c>
      <c r="BF348" s="244">
        <v>0</v>
      </c>
      <c r="BG348" s="244">
        <v>7693</v>
      </c>
      <c r="BH348" s="244">
        <v>0</v>
      </c>
      <c r="BI348" s="244">
        <v>0</v>
      </c>
      <c r="BJ348" s="244">
        <v>0</v>
      </c>
      <c r="BK348" s="244">
        <v>57</v>
      </c>
      <c r="BL348" s="244">
        <v>5614</v>
      </c>
      <c r="BM348" s="244">
        <v>0</v>
      </c>
      <c r="BN348" s="244">
        <v>351</v>
      </c>
      <c r="BO348" s="244">
        <v>2</v>
      </c>
      <c r="BP348" s="244">
        <v>108398</v>
      </c>
      <c r="BQ348" s="244">
        <v>76605</v>
      </c>
      <c r="BR348" s="244">
        <v>594</v>
      </c>
      <c r="BS348" s="244">
        <v>56</v>
      </c>
      <c r="BT348" s="244">
        <v>25491</v>
      </c>
      <c r="BU348" s="244">
        <v>437</v>
      </c>
      <c r="BV348" s="244">
        <v>11</v>
      </c>
      <c r="BW348" s="244">
        <v>0</v>
      </c>
      <c r="BX348" s="244">
        <v>4</v>
      </c>
      <c r="BY348" s="244">
        <v>7991</v>
      </c>
      <c r="BZ348" s="244">
        <v>278</v>
      </c>
      <c r="CA348" s="244">
        <v>0</v>
      </c>
      <c r="CB348" s="244">
        <v>24106</v>
      </c>
      <c r="CC348" s="244">
        <v>16599</v>
      </c>
      <c r="CD348" s="244">
        <v>135560</v>
      </c>
      <c r="CE348" s="244">
        <v>278756</v>
      </c>
      <c r="CF348" s="244">
        <v>30775</v>
      </c>
      <c r="CG348" s="244">
        <v>51468</v>
      </c>
      <c r="CH348" s="244">
        <v>0</v>
      </c>
      <c r="CI348" s="244">
        <v>19</v>
      </c>
      <c r="CJ348" s="244">
        <v>4</v>
      </c>
      <c r="CK348" s="244">
        <v>35</v>
      </c>
      <c r="CL348" s="289"/>
      <c r="CM348" s="289"/>
      <c r="CN348" s="289"/>
      <c r="CO348" s="289"/>
      <c r="CP348" s="289"/>
      <c r="CQ348" s="289"/>
      <c r="CR348" s="244">
        <v>326</v>
      </c>
      <c r="CS348" s="244">
        <v>11</v>
      </c>
      <c r="CT348" s="244">
        <v>0</v>
      </c>
      <c r="CU348" s="244">
        <v>0</v>
      </c>
      <c r="CV348" s="244">
        <v>0</v>
      </c>
      <c r="CW348" s="244">
        <v>14</v>
      </c>
      <c r="CX348" s="244">
        <v>0</v>
      </c>
      <c r="CY348" s="244">
        <v>27</v>
      </c>
      <c r="DA348" s="6"/>
      <c r="DC348" s="6"/>
      <c r="DD348" s="6">
        <f t="shared" si="640"/>
        <v>770964</v>
      </c>
      <c r="DE348" s="6">
        <f t="shared" si="641"/>
        <v>278727</v>
      </c>
      <c r="DF348" s="8">
        <f t="shared" ref="DF348" si="719">SUM(DD348:DE348)</f>
        <v>1049691</v>
      </c>
      <c r="DK348" s="6">
        <f t="shared" si="459"/>
        <v>61339</v>
      </c>
      <c r="DL348" s="6">
        <f t="shared" ref="DL348" si="720">SUM(Y348:Z348,AB348:AF348,AH348:AM348,AO348,AS348:AW348,BA348:BC348)+CR348+CS348</f>
        <v>156402</v>
      </c>
      <c r="DM348" s="6">
        <f t="shared" ref="DM348" si="721">T348</f>
        <v>11986</v>
      </c>
      <c r="DN348" s="6">
        <f t="shared" ref="DN348" si="722">AG348+AX348+AN348+AP348+AQ348+AR348</f>
        <v>49981</v>
      </c>
      <c r="DO348" s="6">
        <f>SUM(AY348,BF348,BI348,BK348,BO348,BR348:BS348,BU348,BW348,BZ348:CB348,CD348:CF348,CJ348:CK348)</f>
        <v>470696</v>
      </c>
      <c r="DP348" s="6">
        <f t="shared" si="414"/>
        <v>103115</v>
      </c>
      <c r="DQ348" s="6">
        <f t="shared" si="430"/>
        <v>7991</v>
      </c>
      <c r="DR348" s="6">
        <f t="shared" ref="DR348" si="723">CC348+CI348+AA348</f>
        <v>16632</v>
      </c>
      <c r="DS348" s="6">
        <f t="shared" ref="DS348" si="724">BP348+BV348</f>
        <v>108409</v>
      </c>
      <c r="DT348" s="6">
        <f t="shared" ref="DT348" si="725">BG348+BJ348+BL348+BM348+BX348</f>
        <v>13311</v>
      </c>
      <c r="DU348" s="6"/>
      <c r="DV348" s="6"/>
      <c r="DW348" s="6">
        <f t="shared" ref="DW348" si="726">SUM(DK348:DT348)</f>
        <v>999862</v>
      </c>
      <c r="DY348" s="6">
        <f t="shared" ref="DY348" si="727">DO348+DT348+H348+I348+J348+K348+CG348</f>
        <v>593694</v>
      </c>
      <c r="DZ348" s="6">
        <f t="shared" si="652"/>
        <v>60683</v>
      </c>
      <c r="EB348" s="6">
        <f t="shared" si="653"/>
        <v>1110374</v>
      </c>
      <c r="EC348" s="6"/>
      <c r="ED348" s="6"/>
      <c r="EF348" s="6">
        <f t="shared" ref="EF348" si="728">SUM(BE348:CK348)-CG348-BP348</f>
        <v>611038</v>
      </c>
      <c r="EG348" s="6">
        <f t="shared" ref="EG348" si="729">SUM(M348:BC348)-AQ348</f>
        <v>268612</v>
      </c>
      <c r="EH348" s="6">
        <f t="shared" ref="EH348" si="730">SUM(EF348:EG348)</f>
        <v>879650</v>
      </c>
      <c r="EI348" s="36">
        <f t="shared" ref="EI348" si="731">(EF348-EF347)/EF347</f>
        <v>3.6084954856850969E-3</v>
      </c>
      <c r="EJ348" s="36">
        <f t="shared" ref="EJ348" si="732">(EG348-EG347)/EG347</f>
        <v>3.2156742645218879E-3</v>
      </c>
      <c r="EM348" s="104"/>
      <c r="EN348" s="104"/>
      <c r="FC348" s="6">
        <f t="shared" si="262"/>
        <v>73325</v>
      </c>
      <c r="FD348" s="6">
        <f t="shared" si="263"/>
        <v>206383</v>
      </c>
      <c r="FE348" s="32">
        <f t="shared" si="264"/>
        <v>470696</v>
      </c>
      <c r="FF348" s="34">
        <f t="shared" si="265"/>
        <v>13311</v>
      </c>
      <c r="FG348" s="31">
        <f t="shared" si="266"/>
        <v>219515</v>
      </c>
      <c r="FH348" s="6">
        <f t="shared" si="267"/>
        <v>16632</v>
      </c>
      <c r="FI348" s="6">
        <f t="shared" si="268"/>
        <v>0</v>
      </c>
    </row>
    <row r="349" spans="1:165" s="242" customFormat="1">
      <c r="B349" s="50">
        <v>42583</v>
      </c>
      <c r="C349" s="246">
        <v>0</v>
      </c>
      <c r="D349" s="246">
        <v>0</v>
      </c>
      <c r="E349" s="246">
        <v>0</v>
      </c>
      <c r="F349" s="246">
        <v>0</v>
      </c>
      <c r="G349" s="246">
        <v>1041</v>
      </c>
      <c r="H349" s="246">
        <v>16202</v>
      </c>
      <c r="I349" s="246">
        <v>38506</v>
      </c>
      <c r="J349" s="246">
        <v>987</v>
      </c>
      <c r="K349" s="246">
        <v>2330</v>
      </c>
      <c r="L349" s="246">
        <v>914</v>
      </c>
      <c r="M349" s="246">
        <v>25734</v>
      </c>
      <c r="N349" s="246">
        <v>1360</v>
      </c>
      <c r="O349" s="246">
        <v>523</v>
      </c>
      <c r="P349" s="246">
        <v>1203</v>
      </c>
      <c r="Q349" s="246">
        <v>11317</v>
      </c>
      <c r="R349" s="246">
        <v>273</v>
      </c>
      <c r="S349" s="246">
        <v>6523</v>
      </c>
      <c r="T349" s="246">
        <v>12102</v>
      </c>
      <c r="U349" s="246">
        <v>32</v>
      </c>
      <c r="V349" s="246">
        <v>2622</v>
      </c>
      <c r="W349" s="246">
        <v>75</v>
      </c>
      <c r="X349" s="246">
        <v>12702</v>
      </c>
      <c r="Y349" s="246">
        <v>466</v>
      </c>
      <c r="Z349" s="246">
        <v>8</v>
      </c>
      <c r="AA349" s="246">
        <v>10</v>
      </c>
      <c r="AB349" s="246">
        <v>5</v>
      </c>
      <c r="AC349" s="246">
        <v>235</v>
      </c>
      <c r="AD349" s="246">
        <v>24</v>
      </c>
      <c r="AE349" s="246">
        <v>36</v>
      </c>
      <c r="AF349" s="246">
        <v>30</v>
      </c>
      <c r="AG349" s="246">
        <v>64</v>
      </c>
      <c r="AH349" s="246">
        <v>49</v>
      </c>
      <c r="AI349" s="246">
        <v>1254</v>
      </c>
      <c r="AJ349" s="246">
        <v>3</v>
      </c>
      <c r="AK349" s="246">
        <v>14901</v>
      </c>
      <c r="AL349" s="246">
        <v>114104</v>
      </c>
      <c r="AM349" s="246">
        <v>2709</v>
      </c>
      <c r="AN349" s="246">
        <v>21708</v>
      </c>
      <c r="AO349" s="246">
        <v>27</v>
      </c>
      <c r="AP349" s="246">
        <v>54</v>
      </c>
      <c r="AQ349" s="246">
        <v>11400</v>
      </c>
      <c r="AR349" s="246">
        <v>0</v>
      </c>
      <c r="AS349" s="246">
        <v>879</v>
      </c>
      <c r="AT349" s="246">
        <v>59</v>
      </c>
      <c r="AU349" s="246">
        <v>11576</v>
      </c>
      <c r="AV349" s="246">
        <v>2516</v>
      </c>
      <c r="AW349" s="246">
        <v>4797</v>
      </c>
      <c r="AX349" s="246">
        <v>16462</v>
      </c>
      <c r="AY349" s="246">
        <v>27</v>
      </c>
      <c r="AZ349" s="246">
        <v>30</v>
      </c>
      <c r="BA349" s="246">
        <v>987</v>
      </c>
      <c r="BB349" s="246">
        <v>0</v>
      </c>
      <c r="BC349" s="246">
        <v>124</v>
      </c>
      <c r="BD349" s="246">
        <v>653</v>
      </c>
      <c r="BE349" s="246">
        <v>0</v>
      </c>
      <c r="BF349" s="246">
        <v>0</v>
      </c>
      <c r="BG349" s="246">
        <v>7714</v>
      </c>
      <c r="BH349" s="246">
        <v>0</v>
      </c>
      <c r="BI349" s="246">
        <v>0</v>
      </c>
      <c r="BJ349" s="246">
        <v>0</v>
      </c>
      <c r="BK349" s="246">
        <v>55</v>
      </c>
      <c r="BL349" s="246">
        <v>5612</v>
      </c>
      <c r="BM349" s="246">
        <v>0</v>
      </c>
      <c r="BN349" s="246">
        <v>339</v>
      </c>
      <c r="BO349" s="246">
        <v>2</v>
      </c>
      <c r="BP349" s="246">
        <v>108435</v>
      </c>
      <c r="BQ349" s="246">
        <v>76803</v>
      </c>
      <c r="BR349" s="246">
        <v>711</v>
      </c>
      <c r="BS349" s="246">
        <v>50</v>
      </c>
      <c r="BT349" s="246">
        <v>25780</v>
      </c>
      <c r="BU349" s="246">
        <v>576</v>
      </c>
      <c r="BV349" s="246">
        <v>2</v>
      </c>
      <c r="BW349" s="246">
        <v>0</v>
      </c>
      <c r="BX349" s="246">
        <v>3</v>
      </c>
      <c r="BY349" s="246">
        <v>8265</v>
      </c>
      <c r="BZ349" s="246">
        <v>296</v>
      </c>
      <c r="CA349" s="246">
        <v>0</v>
      </c>
      <c r="CB349" s="246">
        <v>24049</v>
      </c>
      <c r="CC349" s="246">
        <v>16128</v>
      </c>
      <c r="CD349" s="246">
        <v>134209</v>
      </c>
      <c r="CE349" s="246">
        <v>277864</v>
      </c>
      <c r="CF349" s="246">
        <v>30302</v>
      </c>
      <c r="CG349" s="246">
        <v>51310</v>
      </c>
      <c r="CH349" s="246">
        <v>0</v>
      </c>
      <c r="CI349" s="246">
        <v>15</v>
      </c>
      <c r="CJ349" s="246">
        <v>4</v>
      </c>
      <c r="CK349" s="246">
        <v>36</v>
      </c>
      <c r="CL349" s="289"/>
      <c r="CM349" s="289"/>
      <c r="CN349" s="289"/>
      <c r="CO349" s="289"/>
      <c r="CP349" s="289"/>
      <c r="CQ349" s="289"/>
      <c r="CR349" s="246">
        <v>356</v>
      </c>
      <c r="CS349" s="246">
        <v>11</v>
      </c>
      <c r="CT349" s="246">
        <v>0</v>
      </c>
      <c r="CU349" s="246">
        <v>0</v>
      </c>
      <c r="CV349" s="246">
        <v>0</v>
      </c>
      <c r="CW349" s="246">
        <v>14</v>
      </c>
      <c r="CX349" s="246">
        <v>0</v>
      </c>
      <c r="CY349" s="246">
        <v>27</v>
      </c>
      <c r="DA349" s="6"/>
      <c r="DC349" s="6"/>
      <c r="DD349" s="6">
        <f t="shared" ref="DD349" si="733">SUM(AY349:AZ349,BE349:CK349)</f>
        <v>768617</v>
      </c>
      <c r="DE349" s="6">
        <f t="shared" ref="DE349" si="734">SUM(M349:N349,P349:AX349,BB349:BC349)+CR349+CS349</f>
        <v>277810</v>
      </c>
      <c r="DF349" s="8">
        <f t="shared" ref="DF349" si="735">SUM(DD349:DE349)</f>
        <v>1046427</v>
      </c>
      <c r="DG349" s="246"/>
      <c r="DH349" s="246"/>
      <c r="DI349" s="246"/>
      <c r="DJ349" s="246"/>
      <c r="DK349" s="6">
        <f t="shared" si="459"/>
        <v>61841</v>
      </c>
      <c r="DL349" s="6">
        <f t="shared" ref="DL349" si="736">SUM(Y349:Z349,AB349:AF349,AH349:AM349,AO349,AS349:AW349,BA349:BC349)+CR349+CS349</f>
        <v>155156</v>
      </c>
      <c r="DM349" s="6">
        <f t="shared" ref="DM349" si="737">T349</f>
        <v>12102</v>
      </c>
      <c r="DN349" s="6">
        <f t="shared" ref="DN349" si="738">AG349+AX349+AN349+AP349+AQ349+AR349</f>
        <v>49688</v>
      </c>
      <c r="DO349" s="6">
        <f t="shared" ref="DO349" si="739">SUM(AY349,BF349,BI349,BK349,BO349,BR349:BS349,BU349,BW349,BZ349:CB349,CD349:CF349,CJ349:CK349)</f>
        <v>468181</v>
      </c>
      <c r="DP349" s="6">
        <f t="shared" si="414"/>
        <v>103605</v>
      </c>
      <c r="DQ349" s="6">
        <f t="shared" si="430"/>
        <v>8265</v>
      </c>
      <c r="DR349" s="6">
        <f t="shared" ref="DR349" si="740">CC349+CI349+AA349</f>
        <v>16153</v>
      </c>
      <c r="DS349" s="6">
        <f t="shared" ref="DS349" si="741">BP349+BV349</f>
        <v>108437</v>
      </c>
      <c r="DT349" s="6">
        <f t="shared" ref="DT349" si="742">BG349+BJ349+BL349+BM349+BX349</f>
        <v>13329</v>
      </c>
      <c r="DU349" s="6"/>
      <c r="DV349" s="6"/>
      <c r="DW349" s="6">
        <f t="shared" ref="DW349" si="743">SUM(DK349:DT349)</f>
        <v>996757</v>
      </c>
      <c r="DX349" s="246"/>
      <c r="DY349" s="6">
        <f t="shared" ref="DY349" si="744">DO349+DT349+H349+I349+J349+K349+CG349</f>
        <v>590845</v>
      </c>
      <c r="DZ349" s="6">
        <f t="shared" ref="DZ349" si="745">SUM(G349:L349,O349)</f>
        <v>60503</v>
      </c>
      <c r="EA349" s="246"/>
      <c r="EB349" s="6">
        <f t="shared" ref="EB349:EB354" si="746">DZ349+DF349</f>
        <v>1106930</v>
      </c>
      <c r="EC349" s="6"/>
      <c r="ED349" s="6"/>
      <c r="EE349" s="246"/>
      <c r="EF349" s="6">
        <f t="shared" ref="EF349" si="747">SUM(BE349:CK349)-CG349-BP349</f>
        <v>608815</v>
      </c>
      <c r="EG349" s="6">
        <f t="shared" ref="EG349" si="748">SUM(M349:BC349)-AQ349</f>
        <v>267610</v>
      </c>
      <c r="EH349" s="6">
        <f t="shared" ref="EH349" si="749">SUM(EF349:EG349)</f>
        <v>876425</v>
      </c>
      <c r="EI349" s="36">
        <f t="shared" ref="EI349" si="750">(EF349-EF348)/EF348</f>
        <v>-3.6380716092943481E-3</v>
      </c>
      <c r="EJ349" s="36">
        <f t="shared" ref="EJ349" si="751">(EG349-EG348)/EG348</f>
        <v>-3.7302875523059281E-3</v>
      </c>
      <c r="EM349" s="104"/>
      <c r="EN349" s="104"/>
      <c r="FC349" s="6">
        <f t="shared" si="262"/>
        <v>73943</v>
      </c>
      <c r="FD349" s="6">
        <f t="shared" si="263"/>
        <v>204844</v>
      </c>
      <c r="FE349" s="32">
        <f t="shared" si="264"/>
        <v>468181</v>
      </c>
      <c r="FF349" s="34">
        <f t="shared" si="265"/>
        <v>13329</v>
      </c>
      <c r="FG349" s="31">
        <f t="shared" si="266"/>
        <v>220307</v>
      </c>
      <c r="FH349" s="6">
        <f t="shared" si="267"/>
        <v>16153</v>
      </c>
      <c r="FI349" s="6">
        <f t="shared" si="268"/>
        <v>0</v>
      </c>
    </row>
    <row r="350" spans="1:165" s="246" customFormat="1">
      <c r="B350" s="50">
        <v>42614</v>
      </c>
      <c r="C350" s="247">
        <v>0</v>
      </c>
      <c r="D350" s="247">
        <v>0</v>
      </c>
      <c r="E350" s="247">
        <v>0</v>
      </c>
      <c r="F350" s="247">
        <v>0</v>
      </c>
      <c r="G350" s="247">
        <v>1058</v>
      </c>
      <c r="H350" s="247">
        <v>16298</v>
      </c>
      <c r="I350" s="247">
        <v>38659</v>
      </c>
      <c r="J350" s="247">
        <v>972</v>
      </c>
      <c r="K350" s="247">
        <v>2355</v>
      </c>
      <c r="L350" s="247">
        <v>934</v>
      </c>
      <c r="M350" s="247">
        <v>26366</v>
      </c>
      <c r="N350" s="247">
        <v>1370</v>
      </c>
      <c r="O350" s="247">
        <v>520</v>
      </c>
      <c r="P350" s="247">
        <v>1232</v>
      </c>
      <c r="Q350" s="247">
        <v>11054</v>
      </c>
      <c r="R350" s="247">
        <v>266</v>
      </c>
      <c r="S350" s="247">
        <v>6258</v>
      </c>
      <c r="T350" s="247">
        <v>12195</v>
      </c>
      <c r="U350" s="247">
        <v>34</v>
      </c>
      <c r="V350" s="247">
        <v>2812</v>
      </c>
      <c r="W350" s="247">
        <v>73</v>
      </c>
      <c r="X350" s="247">
        <v>13213</v>
      </c>
      <c r="Y350" s="247">
        <v>470</v>
      </c>
      <c r="Z350" s="247">
        <v>9</v>
      </c>
      <c r="AA350" s="247">
        <v>5</v>
      </c>
      <c r="AB350" s="247">
        <v>5</v>
      </c>
      <c r="AC350" s="247">
        <v>235</v>
      </c>
      <c r="AD350" s="247">
        <v>23</v>
      </c>
      <c r="AE350" s="247">
        <v>36</v>
      </c>
      <c r="AF350" s="247">
        <v>30</v>
      </c>
      <c r="AG350" s="247">
        <v>60</v>
      </c>
      <c r="AH350" s="247">
        <v>51</v>
      </c>
      <c r="AI350" s="247">
        <v>1329</v>
      </c>
      <c r="AJ350" s="247">
        <v>3</v>
      </c>
      <c r="AK350" s="247">
        <v>15130</v>
      </c>
      <c r="AL350" s="247">
        <v>112762</v>
      </c>
      <c r="AM350" s="247">
        <v>2699</v>
      </c>
      <c r="AN350" s="247">
        <v>21599</v>
      </c>
      <c r="AO350" s="247">
        <v>25</v>
      </c>
      <c r="AP350" s="247">
        <v>54</v>
      </c>
      <c r="AQ350" s="247">
        <v>11444</v>
      </c>
      <c r="AR350" s="247">
        <v>0</v>
      </c>
      <c r="AS350" s="247">
        <v>892</v>
      </c>
      <c r="AT350" s="247">
        <v>56</v>
      </c>
      <c r="AU350" s="247">
        <v>11409</v>
      </c>
      <c r="AV350" s="247">
        <v>2500</v>
      </c>
      <c r="AW350" s="247">
        <v>4608</v>
      </c>
      <c r="AX350" s="247">
        <v>16273</v>
      </c>
      <c r="AY350" s="247">
        <v>19</v>
      </c>
      <c r="AZ350" s="247">
        <v>6</v>
      </c>
      <c r="BA350" s="247">
        <v>1003</v>
      </c>
      <c r="BB350" s="247">
        <v>0</v>
      </c>
      <c r="BC350" s="247">
        <v>114</v>
      </c>
      <c r="BD350" s="247">
        <v>650</v>
      </c>
      <c r="BE350" s="247">
        <v>0</v>
      </c>
      <c r="BF350" s="247">
        <v>0</v>
      </c>
      <c r="BG350" s="247">
        <v>7735</v>
      </c>
      <c r="BH350" s="247">
        <v>0</v>
      </c>
      <c r="BI350" s="247">
        <v>0</v>
      </c>
      <c r="BJ350" s="247">
        <v>0</v>
      </c>
      <c r="BK350" s="247">
        <v>52</v>
      </c>
      <c r="BL350" s="247">
        <v>5575</v>
      </c>
      <c r="BM350" s="247">
        <v>0</v>
      </c>
      <c r="BN350" s="247">
        <v>345</v>
      </c>
      <c r="BO350" s="247">
        <v>2</v>
      </c>
      <c r="BP350" s="247">
        <v>109373</v>
      </c>
      <c r="BQ350" s="247">
        <v>77659</v>
      </c>
      <c r="BR350" s="247">
        <v>884</v>
      </c>
      <c r="BS350" s="247">
        <v>51</v>
      </c>
      <c r="BT350" s="247">
        <v>26223</v>
      </c>
      <c r="BU350" s="247">
        <v>730</v>
      </c>
      <c r="BV350" s="247">
        <v>1</v>
      </c>
      <c r="BW350" s="247">
        <v>0</v>
      </c>
      <c r="BX350" s="247">
        <v>5</v>
      </c>
      <c r="BY350" s="247">
        <v>8780</v>
      </c>
      <c r="BZ350" s="247">
        <v>312</v>
      </c>
      <c r="CA350" s="247">
        <v>0</v>
      </c>
      <c r="CB350" s="247">
        <v>24217</v>
      </c>
      <c r="CC350" s="247">
        <v>16120</v>
      </c>
      <c r="CD350" s="247">
        <v>133951</v>
      </c>
      <c r="CE350" s="247">
        <v>278499</v>
      </c>
      <c r="CF350" s="247">
        <v>30087</v>
      </c>
      <c r="CG350" s="247">
        <v>51449</v>
      </c>
      <c r="CH350" s="247">
        <v>0</v>
      </c>
      <c r="CI350" s="247">
        <v>14</v>
      </c>
      <c r="CJ350" s="247">
        <v>4</v>
      </c>
      <c r="CK350" s="247">
        <v>35</v>
      </c>
      <c r="CL350" s="289"/>
      <c r="CM350" s="289"/>
      <c r="CN350" s="289"/>
      <c r="CO350" s="289"/>
      <c r="CP350" s="289"/>
      <c r="CQ350" s="289"/>
      <c r="CR350" s="247">
        <v>354</v>
      </c>
      <c r="CS350" s="247">
        <v>11</v>
      </c>
      <c r="CT350" s="247">
        <v>0</v>
      </c>
      <c r="CU350" s="247">
        <v>0</v>
      </c>
      <c r="CV350" s="247">
        <v>0</v>
      </c>
      <c r="CW350" s="247">
        <v>14</v>
      </c>
      <c r="CX350" s="247">
        <v>0</v>
      </c>
      <c r="CY350" s="247">
        <v>27</v>
      </c>
      <c r="DA350" s="6"/>
      <c r="DC350" s="6"/>
      <c r="DD350" s="6">
        <f t="shared" ref="DD350" si="752">SUM(AY350:AZ350,BE350:CK350)</f>
        <v>772128</v>
      </c>
      <c r="DE350" s="6">
        <f t="shared" ref="DE350" si="753">SUM(M350:N350,P350:AX350,BB350:BC350)+CR350+CS350</f>
        <v>277059</v>
      </c>
      <c r="DF350" s="8">
        <f t="shared" ref="DF350" si="754">SUM(DD350:DE350)</f>
        <v>1049187</v>
      </c>
      <c r="DG350" s="247"/>
      <c r="DH350" s="247"/>
      <c r="DI350" s="247"/>
      <c r="DJ350" s="247"/>
      <c r="DK350" s="6">
        <f t="shared" si="459"/>
        <v>62678</v>
      </c>
      <c r="DL350" s="6">
        <f t="shared" ref="DL350" si="755">SUM(Y350:Z350,AB350:AF350,AH350:AM350,AO350,AS350:AW350,BA350:BC350)+CR350+CS350</f>
        <v>153754</v>
      </c>
      <c r="DM350" s="6">
        <f t="shared" ref="DM350" si="756">T350</f>
        <v>12195</v>
      </c>
      <c r="DN350" s="6">
        <f t="shared" ref="DN350" si="757">AG350+AX350+AN350+AP350+AQ350+AR350</f>
        <v>49430</v>
      </c>
      <c r="DO350" s="6">
        <f t="shared" ref="DO350" si="758">SUM(AY350,BF350,BI350,BK350,BO350,BR350:BS350,BU350,BW350,BZ350:CB350,CD350:CF350,CJ350:CK350)</f>
        <v>468843</v>
      </c>
      <c r="DP350" s="6">
        <f t="shared" si="414"/>
        <v>104883</v>
      </c>
      <c r="DQ350" s="6">
        <f t="shared" si="430"/>
        <v>8780</v>
      </c>
      <c r="DR350" s="6">
        <f t="shared" ref="DR350" si="759">CC350+CI350+AA350</f>
        <v>16139</v>
      </c>
      <c r="DS350" s="6">
        <f t="shared" ref="DS350" si="760">BP350+BV350</f>
        <v>109374</v>
      </c>
      <c r="DT350" s="6">
        <f t="shared" ref="DT350" si="761">BG350+BJ350+BL350+BM350+BX350</f>
        <v>13315</v>
      </c>
      <c r="DU350" s="6"/>
      <c r="DV350" s="6"/>
      <c r="DW350" s="6">
        <f t="shared" ref="DW350" si="762">SUM(DK350:DT350)</f>
        <v>999391</v>
      </c>
      <c r="DX350" s="247"/>
      <c r="DY350" s="6">
        <f t="shared" ref="DY350" si="763">DO350+DT350+H350+I350+J350+K350+CG350</f>
        <v>591891</v>
      </c>
      <c r="DZ350" s="6">
        <f t="shared" ref="DZ350" si="764">SUM(G350:L350,O350)</f>
        <v>60796</v>
      </c>
      <c r="EA350" s="247"/>
      <c r="EB350" s="6">
        <f t="shared" si="746"/>
        <v>1109983</v>
      </c>
      <c r="EC350" s="6"/>
      <c r="ED350" s="6"/>
      <c r="EE350" s="247"/>
      <c r="EF350" s="6">
        <f t="shared" ref="EF350" si="765">SUM(BE350:CK350)-CG350-BP350</f>
        <v>611281</v>
      </c>
      <c r="EG350" s="6">
        <f t="shared" ref="EG350" si="766">SUM(M350:BC350)-AQ350</f>
        <v>266798</v>
      </c>
      <c r="EH350" s="6">
        <f t="shared" ref="EH350" si="767">SUM(EF350:EG350)</f>
        <v>878079</v>
      </c>
      <c r="EI350" s="36">
        <f t="shared" ref="EI350" si="768">(EF350-EF349)/EF349</f>
        <v>4.0504915286252805E-3</v>
      </c>
      <c r="EJ350" s="36">
        <f t="shared" ref="EJ350" si="769">(EG350-EG349)/EG349</f>
        <v>-3.0342662830238035E-3</v>
      </c>
      <c r="EM350" s="104"/>
      <c r="EN350" s="104"/>
      <c r="FC350" s="6">
        <f t="shared" si="262"/>
        <v>74873</v>
      </c>
      <c r="FD350" s="6">
        <f t="shared" si="263"/>
        <v>203184</v>
      </c>
      <c r="FE350" s="32">
        <f t="shared" si="264"/>
        <v>468843</v>
      </c>
      <c r="FF350" s="34">
        <f t="shared" si="265"/>
        <v>13315</v>
      </c>
      <c r="FG350" s="31">
        <f t="shared" si="266"/>
        <v>223037</v>
      </c>
      <c r="FH350" s="6">
        <f t="shared" si="267"/>
        <v>16139</v>
      </c>
      <c r="FI350" s="6">
        <f t="shared" si="268"/>
        <v>0</v>
      </c>
    </row>
    <row r="351" spans="1:165" s="248" customFormat="1">
      <c r="B351" s="50">
        <v>42644</v>
      </c>
      <c r="C351" s="248">
        <v>0</v>
      </c>
      <c r="D351" s="248">
        <v>0</v>
      </c>
      <c r="E351" s="248">
        <v>0</v>
      </c>
      <c r="F351" s="248">
        <v>0</v>
      </c>
      <c r="G351" s="248">
        <v>1026</v>
      </c>
      <c r="H351" s="248">
        <v>16373</v>
      </c>
      <c r="I351" s="248">
        <v>38866</v>
      </c>
      <c r="J351" s="248">
        <v>1001</v>
      </c>
      <c r="K351" s="248">
        <v>2371</v>
      </c>
      <c r="L351" s="248">
        <v>1009</v>
      </c>
      <c r="M351" s="248">
        <v>26999</v>
      </c>
      <c r="N351" s="248">
        <v>1387</v>
      </c>
      <c r="O351" s="248">
        <v>556</v>
      </c>
      <c r="P351" s="248">
        <v>1296</v>
      </c>
      <c r="Q351" s="248">
        <v>10844</v>
      </c>
      <c r="R351" s="248">
        <v>261</v>
      </c>
      <c r="S351" s="248">
        <v>6036</v>
      </c>
      <c r="T351" s="248">
        <v>12230</v>
      </c>
      <c r="U351" s="248">
        <v>37</v>
      </c>
      <c r="V351" s="248">
        <v>3040</v>
      </c>
      <c r="W351" s="248">
        <v>73</v>
      </c>
      <c r="X351" s="248">
        <v>13682</v>
      </c>
      <c r="Y351" s="248">
        <v>464</v>
      </c>
      <c r="Z351" s="248">
        <v>8</v>
      </c>
      <c r="AA351" s="248">
        <v>10</v>
      </c>
      <c r="AB351" s="248">
        <v>3</v>
      </c>
      <c r="AC351" s="248">
        <v>225</v>
      </c>
      <c r="AD351" s="248">
        <v>19</v>
      </c>
      <c r="AE351" s="248">
        <v>35</v>
      </c>
      <c r="AF351" s="248">
        <v>29</v>
      </c>
      <c r="AG351" s="248">
        <v>55</v>
      </c>
      <c r="AH351" s="248">
        <v>50</v>
      </c>
      <c r="AI351" s="248">
        <v>1469</v>
      </c>
      <c r="AJ351" s="248">
        <v>3</v>
      </c>
      <c r="AK351" s="248">
        <v>15301</v>
      </c>
      <c r="AL351" s="248">
        <v>112530</v>
      </c>
      <c r="AM351" s="248">
        <v>2672</v>
      </c>
      <c r="AN351" s="248">
        <v>21424</v>
      </c>
      <c r="AO351" s="248">
        <v>27</v>
      </c>
      <c r="AP351" s="248">
        <v>60</v>
      </c>
      <c r="AQ351" s="248">
        <v>11487</v>
      </c>
      <c r="AR351" s="248">
        <v>0</v>
      </c>
      <c r="AS351" s="248">
        <v>917</v>
      </c>
      <c r="AT351" s="248">
        <v>58</v>
      </c>
      <c r="AU351" s="248">
        <v>11267</v>
      </c>
      <c r="AV351" s="248">
        <v>2454</v>
      </c>
      <c r="AW351" s="248">
        <v>4431</v>
      </c>
      <c r="AX351" s="248">
        <v>16088</v>
      </c>
      <c r="AY351" s="248">
        <v>12</v>
      </c>
      <c r="AZ351" s="248">
        <v>2</v>
      </c>
      <c r="BA351" s="248">
        <v>995</v>
      </c>
      <c r="BB351" s="248">
        <v>0</v>
      </c>
      <c r="BC351" s="248">
        <v>122</v>
      </c>
      <c r="BD351" s="248">
        <v>656</v>
      </c>
      <c r="BE351" s="248">
        <v>0</v>
      </c>
      <c r="BF351" s="248">
        <v>0</v>
      </c>
      <c r="BG351" s="248">
        <v>7785</v>
      </c>
      <c r="BH351" s="248">
        <v>0</v>
      </c>
      <c r="BI351" s="248">
        <v>0</v>
      </c>
      <c r="BJ351" s="248">
        <v>0</v>
      </c>
      <c r="BK351" s="248">
        <v>51</v>
      </c>
      <c r="BL351" s="248">
        <v>5581</v>
      </c>
      <c r="BM351" s="248">
        <v>0</v>
      </c>
      <c r="BN351" s="248">
        <v>341</v>
      </c>
      <c r="BO351" s="248">
        <v>0</v>
      </c>
      <c r="BP351" s="248">
        <v>109981</v>
      </c>
      <c r="BQ351" s="248">
        <v>78551</v>
      </c>
      <c r="BR351" s="248">
        <v>1051</v>
      </c>
      <c r="BS351" s="248">
        <v>49</v>
      </c>
      <c r="BT351" s="248">
        <v>26582</v>
      </c>
      <c r="BU351" s="248">
        <v>858</v>
      </c>
      <c r="BV351" s="248">
        <v>0</v>
      </c>
      <c r="BW351" s="248">
        <v>0</v>
      </c>
      <c r="BX351" s="248">
        <v>5</v>
      </c>
      <c r="BY351" s="248">
        <v>9059</v>
      </c>
      <c r="BZ351" s="248">
        <v>336</v>
      </c>
      <c r="CA351" s="248">
        <v>0</v>
      </c>
      <c r="CB351" s="248">
        <v>24382</v>
      </c>
      <c r="CC351" s="248">
        <v>15999</v>
      </c>
      <c r="CD351" s="248">
        <v>133870</v>
      </c>
      <c r="CE351" s="248">
        <v>278763</v>
      </c>
      <c r="CF351" s="248">
        <v>31861</v>
      </c>
      <c r="CG351" s="248">
        <v>51651</v>
      </c>
      <c r="CH351" s="248">
        <v>0</v>
      </c>
      <c r="CI351" s="248">
        <v>16</v>
      </c>
      <c r="CJ351" s="248">
        <v>4</v>
      </c>
      <c r="CK351" s="248">
        <v>38</v>
      </c>
      <c r="CL351" s="289"/>
      <c r="CM351" s="289"/>
      <c r="CN351" s="289"/>
      <c r="CO351" s="289"/>
      <c r="CP351" s="289"/>
      <c r="CQ351" s="289"/>
      <c r="CR351" s="248">
        <v>374</v>
      </c>
      <c r="CS351" s="248">
        <v>11</v>
      </c>
      <c r="CT351" s="248">
        <v>0</v>
      </c>
      <c r="CU351" s="248">
        <v>0</v>
      </c>
      <c r="CV351" s="248">
        <v>0</v>
      </c>
      <c r="CW351" s="248">
        <v>14</v>
      </c>
      <c r="CX351" s="248">
        <v>0</v>
      </c>
      <c r="CY351" s="248">
        <v>27</v>
      </c>
      <c r="DA351" s="6"/>
      <c r="DC351" s="6"/>
      <c r="DD351" s="6">
        <f t="shared" ref="DD351" si="770">SUM(AY351:AZ351,BE351:CK351)</f>
        <v>776828</v>
      </c>
      <c r="DE351" s="6">
        <f t="shared" ref="DE351" si="771">SUM(M351:N351,P351:AX351,BB351:BC351)+CR351+CS351</f>
        <v>277478</v>
      </c>
      <c r="DF351" s="8">
        <f t="shared" ref="DF351" si="772">SUM(DD351:DE351)</f>
        <v>1054306</v>
      </c>
      <c r="DK351" s="6">
        <f t="shared" si="459"/>
        <v>63655</v>
      </c>
      <c r="DL351" s="6">
        <f t="shared" ref="DL351" si="773">SUM(Y351:Z351,AB351:AF351,AH351:AM351,AO351,AS351:AW351,BA351:BC351)+CR351+CS351</f>
        <v>153464</v>
      </c>
      <c r="DM351" s="6">
        <f t="shared" ref="DM351" si="774">T351</f>
        <v>12230</v>
      </c>
      <c r="DN351" s="6">
        <f t="shared" ref="DN351" si="775">AG351+AX351+AN351+AP351+AQ351+AR351</f>
        <v>49114</v>
      </c>
      <c r="DO351" s="6">
        <f t="shared" ref="DO351" si="776">SUM(AY351,BF351,BI351,BK351,BO351,BR351:BS351,BU351,BW351,BZ351:CB351,CD351:CF351,CJ351:CK351)</f>
        <v>471275</v>
      </c>
      <c r="DP351" s="6">
        <f t="shared" si="414"/>
        <v>106132</v>
      </c>
      <c r="DQ351" s="6">
        <f t="shared" si="430"/>
        <v>9059</v>
      </c>
      <c r="DR351" s="6">
        <f t="shared" ref="DR351" si="777">CC351+CI351+AA351</f>
        <v>16025</v>
      </c>
      <c r="DS351" s="6">
        <f t="shared" ref="DS351" si="778">BP351+BV351</f>
        <v>109981</v>
      </c>
      <c r="DT351" s="6">
        <f t="shared" ref="DT351" si="779">BG351+BJ351+BL351+BM351+BX351</f>
        <v>13371</v>
      </c>
      <c r="DU351" s="6"/>
      <c r="DV351" s="6"/>
      <c r="DW351" s="6">
        <f t="shared" ref="DW351" si="780">SUM(DK351:DT351)</f>
        <v>1004306</v>
      </c>
      <c r="DY351" s="6">
        <f t="shared" ref="DY351" si="781">DO351+DT351+H351+I351+J351+K351+CG351</f>
        <v>594908</v>
      </c>
      <c r="DZ351" s="6">
        <f t="shared" ref="DZ351" si="782">SUM(G351:L351,O351)</f>
        <v>61202</v>
      </c>
      <c r="EB351" s="6">
        <f t="shared" si="746"/>
        <v>1115508</v>
      </c>
      <c r="EC351" s="6"/>
      <c r="ED351" s="6"/>
      <c r="EF351" s="6">
        <f t="shared" ref="EF351" si="783">SUM(BE351:CK351)-CG351-BP351</f>
        <v>615182</v>
      </c>
      <c r="EG351" s="6">
        <f t="shared" ref="EG351" si="784">SUM(M351:BC351)-AQ351</f>
        <v>267171</v>
      </c>
      <c r="EH351" s="6">
        <f t="shared" ref="EH351" si="785">SUM(EF351:EG351)</f>
        <v>882353</v>
      </c>
      <c r="EI351" s="36">
        <f t="shared" ref="EI351" si="786">(EF351-EF350)/EF350</f>
        <v>6.3816804382926997E-3</v>
      </c>
      <c r="EJ351" s="36">
        <f t="shared" ref="EJ351" si="787">(EG351-EG350)/EG350</f>
        <v>1.3980614547335437E-3</v>
      </c>
      <c r="EM351" s="104"/>
      <c r="EN351" s="104"/>
      <c r="FC351" s="6">
        <f t="shared" si="262"/>
        <v>75885</v>
      </c>
      <c r="FD351" s="6">
        <f t="shared" si="263"/>
        <v>202578</v>
      </c>
      <c r="FE351" s="32">
        <f t="shared" si="264"/>
        <v>471275</v>
      </c>
      <c r="FF351" s="34">
        <f t="shared" si="265"/>
        <v>13371</v>
      </c>
      <c r="FG351" s="31">
        <f t="shared" si="266"/>
        <v>225172</v>
      </c>
      <c r="FH351" s="6">
        <f t="shared" si="267"/>
        <v>16025</v>
      </c>
      <c r="FI351" s="6">
        <f t="shared" si="268"/>
        <v>0</v>
      </c>
    </row>
    <row r="352" spans="1:165" s="247" customFormat="1">
      <c r="B352" s="50">
        <v>42675</v>
      </c>
      <c r="C352" s="249">
        <v>0</v>
      </c>
      <c r="D352" s="249">
        <v>0</v>
      </c>
      <c r="E352" s="249">
        <v>0</v>
      </c>
      <c r="F352" s="249">
        <v>0</v>
      </c>
      <c r="G352" s="249">
        <v>995</v>
      </c>
      <c r="H352" s="249">
        <v>16356</v>
      </c>
      <c r="I352" s="249">
        <v>39163</v>
      </c>
      <c r="J352" s="249">
        <v>996</v>
      </c>
      <c r="K352" s="249">
        <v>2387</v>
      </c>
      <c r="L352" s="249">
        <v>1025</v>
      </c>
      <c r="M352" s="249">
        <v>27589</v>
      </c>
      <c r="N352" s="249">
        <v>1410</v>
      </c>
      <c r="O352" s="249">
        <v>578</v>
      </c>
      <c r="P352" s="249">
        <v>1346</v>
      </c>
      <c r="Q352" s="249">
        <v>10797</v>
      </c>
      <c r="R352" s="249">
        <v>257</v>
      </c>
      <c r="S352" s="249">
        <v>5917</v>
      </c>
      <c r="T352" s="249">
        <v>12337</v>
      </c>
      <c r="U352" s="249">
        <v>36</v>
      </c>
      <c r="V352" s="249">
        <v>3248</v>
      </c>
      <c r="W352" s="249">
        <v>71</v>
      </c>
      <c r="X352" s="249">
        <v>14031</v>
      </c>
      <c r="Y352" s="249">
        <v>468</v>
      </c>
      <c r="Z352" s="249">
        <v>8</v>
      </c>
      <c r="AA352" s="249">
        <v>6</v>
      </c>
      <c r="AB352" s="249">
        <v>2</v>
      </c>
      <c r="AC352" s="249">
        <v>220</v>
      </c>
      <c r="AD352" s="249">
        <v>21</v>
      </c>
      <c r="AE352" s="249">
        <v>31</v>
      </c>
      <c r="AF352" s="249">
        <v>27</v>
      </c>
      <c r="AG352" s="249">
        <v>55</v>
      </c>
      <c r="AH352" s="249">
        <v>71</v>
      </c>
      <c r="AI352" s="249">
        <v>1575</v>
      </c>
      <c r="AJ352" s="249">
        <v>3</v>
      </c>
      <c r="AK352" s="249">
        <v>15310</v>
      </c>
      <c r="AL352" s="249">
        <v>112087</v>
      </c>
      <c r="AM352" s="249">
        <v>2656</v>
      </c>
      <c r="AN352" s="249">
        <v>21403</v>
      </c>
      <c r="AO352" s="249">
        <v>28</v>
      </c>
      <c r="AP352" s="249">
        <v>65</v>
      </c>
      <c r="AQ352" s="249">
        <v>11532</v>
      </c>
      <c r="AR352" s="249">
        <v>0</v>
      </c>
      <c r="AS352" s="249">
        <v>896</v>
      </c>
      <c r="AT352" s="249">
        <v>51</v>
      </c>
      <c r="AU352" s="249">
        <v>11149</v>
      </c>
      <c r="AV352" s="249">
        <v>2410</v>
      </c>
      <c r="AW352" s="249">
        <v>4264</v>
      </c>
      <c r="AX352" s="249">
        <v>15903</v>
      </c>
      <c r="AY352" s="249">
        <v>8</v>
      </c>
      <c r="AZ352" s="249">
        <v>2</v>
      </c>
      <c r="BA352" s="249">
        <v>980</v>
      </c>
      <c r="BB352" s="249">
        <v>0</v>
      </c>
      <c r="BC352" s="249">
        <v>134</v>
      </c>
      <c r="BD352" s="249">
        <v>683</v>
      </c>
      <c r="BE352" s="249">
        <v>0</v>
      </c>
      <c r="BF352" s="249">
        <v>0</v>
      </c>
      <c r="BG352" s="249">
        <v>7798</v>
      </c>
      <c r="BH352" s="249">
        <v>0</v>
      </c>
      <c r="BI352" s="249">
        <v>0</v>
      </c>
      <c r="BJ352" s="249">
        <v>0</v>
      </c>
      <c r="BK352" s="249">
        <v>53</v>
      </c>
      <c r="BL352" s="249">
        <v>5630</v>
      </c>
      <c r="BM352" s="249">
        <v>0</v>
      </c>
      <c r="BN352" s="249">
        <v>384</v>
      </c>
      <c r="BO352" s="249">
        <v>0</v>
      </c>
      <c r="BP352" s="249">
        <v>110975</v>
      </c>
      <c r="BQ352" s="249">
        <v>79184</v>
      </c>
      <c r="BR352" s="249">
        <v>1213</v>
      </c>
      <c r="BS352" s="249">
        <v>47</v>
      </c>
      <c r="BT352" s="249">
        <v>26874</v>
      </c>
      <c r="BU352" s="249">
        <v>981</v>
      </c>
      <c r="BV352" s="249">
        <v>1</v>
      </c>
      <c r="BW352" s="249">
        <v>0</v>
      </c>
      <c r="BX352" s="249">
        <v>5</v>
      </c>
      <c r="BY352" s="249">
        <v>9362</v>
      </c>
      <c r="BZ352" s="249">
        <v>352</v>
      </c>
      <c r="CA352" s="249">
        <v>0</v>
      </c>
      <c r="CB352" s="249">
        <v>24393</v>
      </c>
      <c r="CC352" s="249">
        <v>15418</v>
      </c>
      <c r="CD352" s="249">
        <v>133335</v>
      </c>
      <c r="CE352" s="249">
        <v>279117</v>
      </c>
      <c r="CF352" s="249">
        <v>32919</v>
      </c>
      <c r="CG352" s="249">
        <v>51950</v>
      </c>
      <c r="CH352" s="249">
        <v>0</v>
      </c>
      <c r="CI352" s="249">
        <v>14</v>
      </c>
      <c r="CJ352" s="249">
        <v>3</v>
      </c>
      <c r="CK352" s="249">
        <v>45</v>
      </c>
      <c r="CL352" s="289"/>
      <c r="CM352" s="289"/>
      <c r="CN352" s="289"/>
      <c r="CO352" s="289"/>
      <c r="CP352" s="289"/>
      <c r="CQ352" s="289"/>
      <c r="CR352" s="249">
        <v>384</v>
      </c>
      <c r="CS352" s="249">
        <v>11</v>
      </c>
      <c r="CT352" s="249">
        <v>0</v>
      </c>
      <c r="CU352" s="249">
        <v>0</v>
      </c>
      <c r="CV352" s="249">
        <v>0</v>
      </c>
      <c r="CW352" s="249">
        <v>14</v>
      </c>
      <c r="CX352" s="249">
        <v>0</v>
      </c>
      <c r="CY352" s="249">
        <v>27</v>
      </c>
      <c r="DA352" s="6"/>
      <c r="DC352" s="6"/>
      <c r="DD352" s="6">
        <f t="shared" ref="DD352" si="788">SUM(AY352:AZ352,BE352:CK352)</f>
        <v>780063</v>
      </c>
      <c r="DE352" s="6">
        <f t="shared" ref="DE352" si="789">SUM(M352:N352,P352:AX352,BB352:BC352)+CR352+CS352</f>
        <v>277809</v>
      </c>
      <c r="DF352" s="8">
        <f t="shared" ref="DF352" si="790">SUM(DD352:DE352)</f>
        <v>1057872</v>
      </c>
      <c r="DG352" s="249"/>
      <c r="DH352" s="249"/>
      <c r="DI352" s="249"/>
      <c r="DJ352" s="249"/>
      <c r="DK352" s="6">
        <f t="shared" si="459"/>
        <v>64702</v>
      </c>
      <c r="DL352" s="6">
        <f t="shared" ref="DL352" si="791">SUM(Y352:Z352,AB352:AF352,AH352:AM352,AO352,AS352:AW352,BA352:BC352)+CR352+CS352</f>
        <v>152786</v>
      </c>
      <c r="DM352" s="6">
        <f t="shared" ref="DM352" si="792">T352</f>
        <v>12337</v>
      </c>
      <c r="DN352" s="6">
        <f t="shared" ref="DN352" si="793">AG352+AX352+AN352+AP352+AQ352+AR352</f>
        <v>48958</v>
      </c>
      <c r="DO352" s="6">
        <f t="shared" ref="DO352" si="794">SUM(AY352,BF352,BI352,BK352,BO352,BR352:BS352,BU352,BW352,BZ352:CB352,CD352:CF352,CJ352:CK352)</f>
        <v>472466</v>
      </c>
      <c r="DP352" s="6">
        <f t="shared" ref="DP352:DP357" si="795">SUM(AZ352,BD352:BE352,BH352,BN352,BQ352,BT352)</f>
        <v>107127</v>
      </c>
      <c r="DQ352" s="6">
        <f t="shared" ref="DQ352:DQ357" si="796">BY352</f>
        <v>9362</v>
      </c>
      <c r="DR352" s="6">
        <f t="shared" ref="DR352" si="797">CC352+CI352+AA352</f>
        <v>15438</v>
      </c>
      <c r="DS352" s="6">
        <f t="shared" ref="DS352" si="798">BP352+BV352</f>
        <v>110976</v>
      </c>
      <c r="DT352" s="6">
        <f t="shared" ref="DT352" si="799">BG352+BJ352+BL352+BM352+BX352</f>
        <v>13433</v>
      </c>
      <c r="DU352" s="6"/>
      <c r="DV352" s="6"/>
      <c r="DW352" s="6">
        <f t="shared" ref="DW352" si="800">SUM(DK352:DT352)</f>
        <v>1007585</v>
      </c>
      <c r="DX352" s="249"/>
      <c r="DY352" s="6">
        <f t="shared" ref="DY352" si="801">DO352+DT352+H352+I352+J352+K352+CG352</f>
        <v>596751</v>
      </c>
      <c r="DZ352" s="6">
        <f t="shared" ref="DZ352" si="802">SUM(G352:L352,O352)</f>
        <v>61500</v>
      </c>
      <c r="EA352" s="249"/>
      <c r="EB352" s="6">
        <f t="shared" si="746"/>
        <v>1119372</v>
      </c>
      <c r="EC352" s="6"/>
      <c r="ED352" s="6"/>
      <c r="EE352" s="249"/>
      <c r="EF352" s="6">
        <f t="shared" ref="EF352" si="803">SUM(BE352:CK352)-CG352-BP352</f>
        <v>617128</v>
      </c>
      <c r="EG352" s="6">
        <f t="shared" ref="EG352" si="804">SUM(M352:BC352)-AQ352</f>
        <v>267450</v>
      </c>
      <c r="EH352" s="6">
        <f t="shared" ref="EH352" si="805">SUM(EF352:EG352)</f>
        <v>884578</v>
      </c>
      <c r="EI352" s="36">
        <f t="shared" ref="EI352" si="806">(EF352-EF351)/EF351</f>
        <v>3.1632915137308959E-3</v>
      </c>
      <c r="EJ352" s="36">
        <f t="shared" ref="EJ352" si="807">(EG352-EG351)/EG351</f>
        <v>1.0442750148781119E-3</v>
      </c>
      <c r="EM352" s="104"/>
      <c r="EN352" s="104"/>
      <c r="FC352" s="6">
        <f t="shared" si="262"/>
        <v>77039</v>
      </c>
      <c r="FD352" s="6">
        <f t="shared" si="263"/>
        <v>201744</v>
      </c>
      <c r="FE352" s="32">
        <f t="shared" si="264"/>
        <v>472466</v>
      </c>
      <c r="FF352" s="34">
        <f t="shared" si="265"/>
        <v>13433</v>
      </c>
      <c r="FG352" s="31">
        <f t="shared" si="266"/>
        <v>227465</v>
      </c>
      <c r="FH352" s="6">
        <f t="shared" si="267"/>
        <v>15438</v>
      </c>
      <c r="FI352" s="6">
        <f t="shared" si="268"/>
        <v>0</v>
      </c>
    </row>
    <row r="353" spans="2:166" s="252" customFormat="1">
      <c r="B353" s="50">
        <v>42705</v>
      </c>
      <c r="C353" s="252">
        <v>0</v>
      </c>
      <c r="D353" s="252">
        <v>0</v>
      </c>
      <c r="E353" s="252">
        <v>0</v>
      </c>
      <c r="F353" s="252">
        <v>0</v>
      </c>
      <c r="G353" s="252">
        <v>960</v>
      </c>
      <c r="H353" s="252">
        <v>16265</v>
      </c>
      <c r="I353" s="252">
        <v>39283</v>
      </c>
      <c r="J353" s="252">
        <v>992</v>
      </c>
      <c r="K353" s="252">
        <v>2335</v>
      </c>
      <c r="L353" s="252">
        <v>1075</v>
      </c>
      <c r="M353" s="252">
        <v>28206</v>
      </c>
      <c r="N353" s="252">
        <v>1432</v>
      </c>
      <c r="O353" s="252">
        <v>575</v>
      </c>
      <c r="P353" s="252">
        <v>1405</v>
      </c>
      <c r="Q353" s="252">
        <v>10602</v>
      </c>
      <c r="R353" s="252">
        <v>254</v>
      </c>
      <c r="S353" s="252">
        <v>5724</v>
      </c>
      <c r="T353" s="252">
        <v>12473</v>
      </c>
      <c r="U353" s="252">
        <v>32</v>
      </c>
      <c r="V353" s="252">
        <v>3437</v>
      </c>
      <c r="W353" s="252">
        <v>63</v>
      </c>
      <c r="X353" s="252">
        <v>14480</v>
      </c>
      <c r="Y353" s="252">
        <v>466</v>
      </c>
      <c r="Z353" s="252">
        <v>8</v>
      </c>
      <c r="AA353" s="252">
        <v>3</v>
      </c>
      <c r="AB353" s="252">
        <v>2</v>
      </c>
      <c r="AC353" s="252">
        <v>203</v>
      </c>
      <c r="AD353" s="252">
        <v>22</v>
      </c>
      <c r="AE353" s="252">
        <v>31</v>
      </c>
      <c r="AF353" s="252">
        <v>26</v>
      </c>
      <c r="AG353" s="252">
        <v>55</v>
      </c>
      <c r="AH353" s="252">
        <v>86</v>
      </c>
      <c r="AI353" s="252">
        <v>1690</v>
      </c>
      <c r="AJ353" s="252">
        <v>5</v>
      </c>
      <c r="AK353" s="252">
        <v>15289</v>
      </c>
      <c r="AL353" s="252">
        <v>111943</v>
      </c>
      <c r="AM353" s="252">
        <v>2618</v>
      </c>
      <c r="AN353" s="252">
        <v>21388</v>
      </c>
      <c r="AO353" s="252">
        <v>26</v>
      </c>
      <c r="AP353" s="252">
        <v>74</v>
      </c>
      <c r="AQ353" s="252">
        <v>11475</v>
      </c>
      <c r="AR353" s="252">
        <v>0</v>
      </c>
      <c r="AS353" s="252">
        <v>864</v>
      </c>
      <c r="AT353" s="252">
        <v>50</v>
      </c>
      <c r="AU353" s="252">
        <v>10969</v>
      </c>
      <c r="AV353" s="252">
        <v>2392</v>
      </c>
      <c r="AW353" s="252">
        <v>4074</v>
      </c>
      <c r="AX353" s="252">
        <v>15768</v>
      </c>
      <c r="AY353" s="252">
        <v>5</v>
      </c>
      <c r="AZ353" s="252">
        <v>3</v>
      </c>
      <c r="BA353" s="252">
        <v>948</v>
      </c>
      <c r="BB353" s="252">
        <v>0</v>
      </c>
      <c r="BC353" s="252">
        <v>133</v>
      </c>
      <c r="BD353" s="252">
        <v>710</v>
      </c>
      <c r="BE353" s="252">
        <v>0</v>
      </c>
      <c r="BF353" s="252">
        <v>0</v>
      </c>
      <c r="BG353" s="252">
        <v>7790</v>
      </c>
      <c r="BH353" s="252">
        <v>0</v>
      </c>
      <c r="BI353" s="252">
        <v>0</v>
      </c>
      <c r="BJ353" s="252">
        <v>0</v>
      </c>
      <c r="BK353" s="252">
        <v>45</v>
      </c>
      <c r="BL353" s="252">
        <v>5608</v>
      </c>
      <c r="BM353" s="252">
        <v>0</v>
      </c>
      <c r="BN353" s="252">
        <v>433</v>
      </c>
      <c r="BO353" s="252">
        <v>0</v>
      </c>
      <c r="BP353" s="252">
        <v>110973</v>
      </c>
      <c r="BQ353" s="252">
        <v>79751</v>
      </c>
      <c r="BR353" s="252">
        <v>1414</v>
      </c>
      <c r="BS353" s="252">
        <v>43</v>
      </c>
      <c r="BT353" s="252">
        <v>27162</v>
      </c>
      <c r="BU353" s="252">
        <v>1069</v>
      </c>
      <c r="BV353" s="252">
        <v>0</v>
      </c>
      <c r="BW353" s="252">
        <v>0</v>
      </c>
      <c r="BX353" s="252">
        <v>4</v>
      </c>
      <c r="BY353" s="252">
        <v>9734</v>
      </c>
      <c r="BZ353" s="252">
        <v>363</v>
      </c>
      <c r="CA353" s="252">
        <v>0</v>
      </c>
      <c r="CB353" s="252">
        <v>24522</v>
      </c>
      <c r="CC353" s="252">
        <v>15205</v>
      </c>
      <c r="CD353" s="252">
        <v>132639</v>
      </c>
      <c r="CE353" s="252">
        <v>278992</v>
      </c>
      <c r="CF353" s="252">
        <v>33599</v>
      </c>
      <c r="CG353" s="252">
        <v>52176</v>
      </c>
      <c r="CH353" s="252">
        <v>0</v>
      </c>
      <c r="CI353" s="252">
        <v>13</v>
      </c>
      <c r="CJ353" s="252">
        <v>3</v>
      </c>
      <c r="CK353" s="252">
        <v>46</v>
      </c>
      <c r="CL353" s="289"/>
      <c r="CM353" s="289"/>
      <c r="CN353" s="289"/>
      <c r="CO353" s="289"/>
      <c r="CP353" s="289"/>
      <c r="CQ353" s="289"/>
      <c r="CR353" s="252">
        <v>400</v>
      </c>
      <c r="CS353" s="252">
        <v>10</v>
      </c>
      <c r="CT353" s="252">
        <v>0</v>
      </c>
      <c r="CU353" s="252">
        <v>0</v>
      </c>
      <c r="CV353" s="252">
        <v>0</v>
      </c>
      <c r="CW353" s="252">
        <v>14</v>
      </c>
      <c r="CX353" s="252">
        <v>0</v>
      </c>
      <c r="CY353" s="252">
        <v>27</v>
      </c>
      <c r="DB353" s="6"/>
      <c r="DD353" s="6">
        <f t="shared" ref="DD353:DD354" si="808">SUM(AY353:AZ353,BE353:CK353)</f>
        <v>781592</v>
      </c>
      <c r="DE353" s="6">
        <f t="shared" ref="DE353" si="809">SUM(M353:N353,P353:AX353,BB353:BC353)+CR353+CS353</f>
        <v>278178</v>
      </c>
      <c r="DF353" s="8">
        <f t="shared" ref="DF353" si="810">SUM(DD353:DE353)</f>
        <v>1059770</v>
      </c>
      <c r="DG353" s="8"/>
      <c r="DK353" s="6">
        <f t="shared" si="459"/>
        <v>65635</v>
      </c>
      <c r="DL353" s="6">
        <f t="shared" ref="DL353" si="811">SUM(Y353:Z353,AB353:AF353,AH353:AM353,AO353,AS353:AW353,BA353:BC353)+CR353+CS353</f>
        <v>152255</v>
      </c>
      <c r="DM353" s="6">
        <f t="shared" ref="DM353" si="812">T353</f>
        <v>12473</v>
      </c>
      <c r="DN353" s="6">
        <f t="shared" ref="DN353" si="813">AG353+AX353+AN353+AP353+AQ353+AR353</f>
        <v>48760</v>
      </c>
      <c r="DO353" s="6">
        <f t="shared" ref="DO353" si="814">SUM(AY353,BF353,BI353,BK353,BO353,BR353:BS353,BU353,BW353,BZ353:CB353,CD353:CF353,CJ353:CK353)</f>
        <v>472740</v>
      </c>
      <c r="DP353" s="6">
        <f t="shared" si="795"/>
        <v>108059</v>
      </c>
      <c r="DQ353" s="6">
        <f t="shared" si="796"/>
        <v>9734</v>
      </c>
      <c r="DR353" s="6">
        <f t="shared" ref="DR353" si="815">CC353+CI353+AA353</f>
        <v>15221</v>
      </c>
      <c r="DS353" s="6">
        <f t="shared" ref="DS353" si="816">BP353+BV353</f>
        <v>110973</v>
      </c>
      <c r="DT353" s="6">
        <f t="shared" ref="DT353" si="817">BG353+BJ353+BL353+BM353+BX353</f>
        <v>13402</v>
      </c>
      <c r="DU353" s="6"/>
      <c r="DV353" s="6"/>
      <c r="DW353" s="6">
        <f t="shared" ref="DW353" si="818">SUM(DK353:DT353)</f>
        <v>1009252</v>
      </c>
      <c r="DX353" s="6"/>
      <c r="DY353" s="6">
        <f t="shared" ref="DY353" si="819">DO353+DT353+H353+I353+J353+K353+CG353</f>
        <v>597193</v>
      </c>
      <c r="DZ353" s="6">
        <f t="shared" ref="DZ353" si="820">SUM(G353:L353,O353)</f>
        <v>61485</v>
      </c>
      <c r="EB353" s="6">
        <f t="shared" si="746"/>
        <v>1121255</v>
      </c>
      <c r="EC353" s="6"/>
      <c r="ED353" s="6"/>
      <c r="EE353" s="6"/>
      <c r="EF353" s="6">
        <f t="shared" ref="EF353" si="821">SUM(BE353:CK353)-CG353-BP353</f>
        <v>618435</v>
      </c>
      <c r="EG353" s="6">
        <f t="shared" ref="EG353" si="822">SUM(M353:BC353)-AQ353</f>
        <v>267824</v>
      </c>
      <c r="EH353" s="6">
        <f t="shared" ref="EH353" si="823">SUM(EF353:EG353)</f>
        <v>886259</v>
      </c>
      <c r="EI353" s="36">
        <f t="shared" ref="EI353" si="824">(EF353-EF352)/EF352</f>
        <v>2.1178750599551471E-3</v>
      </c>
      <c r="EJ353" s="36">
        <f t="shared" ref="EJ353" si="825">(EG353-EG352)/EG352</f>
        <v>1.3983922228453917E-3</v>
      </c>
      <c r="EK353" s="36"/>
      <c r="EN353" s="104"/>
      <c r="EO353" s="104"/>
      <c r="FC353" s="6">
        <f t="shared" si="262"/>
        <v>78108</v>
      </c>
      <c r="FD353" s="6">
        <f t="shared" si="263"/>
        <v>201015</v>
      </c>
      <c r="FE353" s="32">
        <f t="shared" si="264"/>
        <v>472740</v>
      </c>
      <c r="FF353" s="34">
        <f t="shared" si="265"/>
        <v>13402</v>
      </c>
      <c r="FG353" s="31">
        <f t="shared" si="266"/>
        <v>228766</v>
      </c>
      <c r="FH353" s="6">
        <f t="shared" si="267"/>
        <v>15221</v>
      </c>
      <c r="FI353" s="6">
        <f t="shared" si="268"/>
        <v>0</v>
      </c>
    </row>
    <row r="354" spans="2:166" s="253" customFormat="1">
      <c r="B354" s="50">
        <v>42736</v>
      </c>
      <c r="C354" s="253">
        <v>0</v>
      </c>
      <c r="D354" s="253">
        <v>0</v>
      </c>
      <c r="E354" s="253">
        <v>0</v>
      </c>
      <c r="F354" s="253">
        <v>0</v>
      </c>
      <c r="G354" s="253">
        <v>1041</v>
      </c>
      <c r="H354" s="253">
        <v>16160</v>
      </c>
      <c r="I354" s="253">
        <v>39208</v>
      </c>
      <c r="J354" s="253">
        <v>977</v>
      </c>
      <c r="K354" s="253">
        <v>2359</v>
      </c>
      <c r="L354" s="253">
        <v>1091</v>
      </c>
      <c r="M354" s="253">
        <v>29078</v>
      </c>
      <c r="N354" s="253">
        <v>1470</v>
      </c>
      <c r="O354" s="253">
        <v>591</v>
      </c>
      <c r="P354" s="253">
        <v>1448</v>
      </c>
      <c r="Q354" s="253">
        <v>10433</v>
      </c>
      <c r="R354" s="253">
        <v>238</v>
      </c>
      <c r="S354" s="253">
        <v>5592</v>
      </c>
      <c r="T354" s="253">
        <v>12692</v>
      </c>
      <c r="U354" s="253">
        <v>29</v>
      </c>
      <c r="V354" s="253">
        <v>3639</v>
      </c>
      <c r="W354" s="253">
        <v>58</v>
      </c>
      <c r="X354" s="253">
        <v>14887</v>
      </c>
      <c r="Y354" s="253">
        <v>466</v>
      </c>
      <c r="Z354" s="253">
        <v>7</v>
      </c>
      <c r="AA354" s="253">
        <v>3</v>
      </c>
      <c r="AB354" s="253">
        <v>2</v>
      </c>
      <c r="AC354" s="253">
        <v>196</v>
      </c>
      <c r="AD354" s="253">
        <v>19</v>
      </c>
      <c r="AE354" s="253">
        <v>30</v>
      </c>
      <c r="AF354" s="253">
        <v>25</v>
      </c>
      <c r="AG354" s="253">
        <v>58</v>
      </c>
      <c r="AH354" s="253">
        <v>93</v>
      </c>
      <c r="AI354" s="253">
        <v>1817</v>
      </c>
      <c r="AJ354" s="253">
        <v>3</v>
      </c>
      <c r="AK354" s="253">
        <v>15224</v>
      </c>
      <c r="AL354" s="253">
        <v>111293</v>
      </c>
      <c r="AM354" s="253">
        <v>2582</v>
      </c>
      <c r="AN354" s="253">
        <v>21349</v>
      </c>
      <c r="AO354" s="253">
        <v>21</v>
      </c>
      <c r="AP354" s="253">
        <v>96</v>
      </c>
      <c r="AQ354" s="253">
        <v>10165</v>
      </c>
      <c r="AR354" s="253">
        <v>0</v>
      </c>
      <c r="AS354" s="253">
        <v>863</v>
      </c>
      <c r="AT354" s="253">
        <v>46</v>
      </c>
      <c r="AU354" s="253">
        <v>10701</v>
      </c>
      <c r="AV354" s="253">
        <v>2313</v>
      </c>
      <c r="AW354" s="253">
        <v>3863</v>
      </c>
      <c r="AX354" s="253">
        <v>15696</v>
      </c>
      <c r="AY354" s="253">
        <v>5</v>
      </c>
      <c r="AZ354" s="253">
        <v>2</v>
      </c>
      <c r="BA354" s="253">
        <v>956</v>
      </c>
      <c r="BB354" s="253">
        <v>0</v>
      </c>
      <c r="BC354" s="253">
        <v>129</v>
      </c>
      <c r="BD354" s="253">
        <v>723</v>
      </c>
      <c r="BE354" s="253">
        <v>0</v>
      </c>
      <c r="BF354" s="253">
        <v>0</v>
      </c>
      <c r="BG354" s="253">
        <v>7801</v>
      </c>
      <c r="BH354" s="253">
        <v>0</v>
      </c>
      <c r="BI354" s="253">
        <v>0</v>
      </c>
      <c r="BJ354" s="253">
        <v>0</v>
      </c>
      <c r="BK354" s="253">
        <v>50</v>
      </c>
      <c r="BL354" s="253">
        <v>5519</v>
      </c>
      <c r="BM354" s="253">
        <v>0</v>
      </c>
      <c r="BN354" s="253">
        <v>474</v>
      </c>
      <c r="BO354" s="253">
        <v>0</v>
      </c>
      <c r="BP354" s="253">
        <v>112457</v>
      </c>
      <c r="BQ354" s="253">
        <v>80264</v>
      </c>
      <c r="BR354" s="253">
        <v>1523</v>
      </c>
      <c r="BS354" s="253">
        <v>39</v>
      </c>
      <c r="BT354" s="253">
        <v>27453</v>
      </c>
      <c r="BU354" s="253">
        <v>1149</v>
      </c>
      <c r="BV354" s="253">
        <v>0</v>
      </c>
      <c r="BW354" s="253">
        <v>0</v>
      </c>
      <c r="BX354" s="253">
        <v>4</v>
      </c>
      <c r="BY354" s="253">
        <v>9947</v>
      </c>
      <c r="BZ354" s="253">
        <v>370</v>
      </c>
      <c r="CA354" s="253">
        <v>0</v>
      </c>
      <c r="CB354" s="253">
        <v>24306</v>
      </c>
      <c r="CC354" s="253">
        <v>15347</v>
      </c>
      <c r="CD354" s="253">
        <v>132126</v>
      </c>
      <c r="CE354" s="253">
        <v>279347</v>
      </c>
      <c r="CF354" s="253">
        <v>34410</v>
      </c>
      <c r="CG354" s="253">
        <v>52107</v>
      </c>
      <c r="CH354" s="253">
        <v>0</v>
      </c>
      <c r="CI354" s="253">
        <v>10</v>
      </c>
      <c r="CJ354" s="253">
        <v>3</v>
      </c>
      <c r="CK354" s="253">
        <v>55</v>
      </c>
      <c r="CL354" s="289"/>
      <c r="CM354" s="289"/>
      <c r="CN354" s="289"/>
      <c r="CO354" s="289"/>
      <c r="CP354" s="289"/>
      <c r="CQ354" s="289"/>
      <c r="CR354" s="253">
        <v>390</v>
      </c>
      <c r="CS354" s="253">
        <v>11</v>
      </c>
      <c r="CT354" s="253">
        <v>0</v>
      </c>
      <c r="CU354" s="253">
        <v>0</v>
      </c>
      <c r="CV354" s="253">
        <v>0</v>
      </c>
      <c r="CW354" s="253">
        <v>14</v>
      </c>
      <c r="CX354" s="253">
        <v>0</v>
      </c>
      <c r="CY354" s="253">
        <v>26</v>
      </c>
      <c r="DC354" s="6"/>
      <c r="DD354" s="6">
        <f t="shared" si="808"/>
        <v>784768</v>
      </c>
      <c r="DE354" s="6">
        <f t="shared" ref="DE354" si="826">SUM(M354:N354,P354:AX354,BB354:BC354)+CR354+CS354</f>
        <v>277025</v>
      </c>
      <c r="DF354" s="8">
        <f t="shared" ref="DF354" si="827">SUM(DD354:DE354)</f>
        <v>1061793</v>
      </c>
      <c r="DG354" s="8"/>
      <c r="DH354" s="8"/>
      <c r="DK354" s="6">
        <f t="shared" si="459"/>
        <v>66872</v>
      </c>
      <c r="DL354" s="6">
        <f t="shared" ref="DL354" si="828">SUM(Y354:Z354,AB354:AF354,AH354:AM354,AO354,AS354:AW354,BA354:BC354)+CR354+CS354</f>
        <v>151050</v>
      </c>
      <c r="DM354" s="6">
        <f t="shared" ref="DM354" si="829">T354</f>
        <v>12692</v>
      </c>
      <c r="DN354" s="6">
        <f t="shared" ref="DN354" si="830">AG354+AX354+AN354+AP354+AQ354+AR354</f>
        <v>47364</v>
      </c>
      <c r="DO354" s="6">
        <f t="shared" ref="DO354" si="831">SUM(AY354,BF354,BI354,BK354,BO354,BR354:BS354,BU354,BW354,BZ354:CB354,CD354:CF354,CJ354:CK354)</f>
        <v>473383</v>
      </c>
      <c r="DP354" s="6">
        <f t="shared" si="795"/>
        <v>108916</v>
      </c>
      <c r="DQ354" s="6">
        <f t="shared" si="796"/>
        <v>9947</v>
      </c>
      <c r="DR354" s="6">
        <f t="shared" ref="DR354" si="832">CC354+CI354+AA354</f>
        <v>15360</v>
      </c>
      <c r="DS354" s="6">
        <f t="shared" ref="DS354" si="833">BP354+BV354</f>
        <v>112457</v>
      </c>
      <c r="DT354" s="6">
        <f t="shared" ref="DT354" si="834">BG354+BJ354+BL354+BM354+BX354</f>
        <v>13324</v>
      </c>
      <c r="DU354" s="6"/>
      <c r="DV354" s="6"/>
      <c r="DW354" s="6">
        <f t="shared" ref="DW354" si="835">SUM(DK354:DT354)</f>
        <v>1011365</v>
      </c>
      <c r="DX354" s="6"/>
      <c r="DY354" s="6">
        <f t="shared" ref="DY354" si="836">DO354+DT354+H354+I354+J354+K354+CG354</f>
        <v>597518</v>
      </c>
      <c r="DZ354" s="6">
        <f t="shared" ref="DZ354" si="837">SUM(G354:L354,O354)</f>
        <v>61427</v>
      </c>
      <c r="EB354" s="6">
        <f t="shared" si="746"/>
        <v>1123220</v>
      </c>
      <c r="EC354" s="6"/>
      <c r="ED354" s="6"/>
      <c r="EE354" s="6"/>
      <c r="EF354" s="6">
        <f t="shared" ref="EF354" si="838">SUM(BE354:CK354)-CG354-BP354</f>
        <v>620197</v>
      </c>
      <c r="EG354" s="6">
        <f t="shared" ref="EG354" si="839">SUM(M354:BC354)-AQ354</f>
        <v>268013</v>
      </c>
      <c r="EH354" s="6">
        <f t="shared" ref="EH354" si="840">SUM(EF354:EG354)</f>
        <v>888210</v>
      </c>
      <c r="EI354" s="36">
        <f t="shared" ref="EI354" si="841">(EF354-EF353)/EF353</f>
        <v>2.849127232449651E-3</v>
      </c>
      <c r="EJ354" s="36">
        <f t="shared" ref="EJ354" si="842">(EG354-EG353)/EG353</f>
        <v>7.0568731704402892E-4</v>
      </c>
      <c r="EK354" s="36"/>
      <c r="EL354" s="36"/>
      <c r="EO354" s="104"/>
      <c r="EP354" s="104"/>
      <c r="FC354" s="6">
        <f t="shared" ref="FC354:FC355" si="843">SUM(DK354,DM354)</f>
        <v>79564</v>
      </c>
      <c r="FD354" s="6">
        <f t="shared" ref="FD354:FD355" si="844">SUM(DL354,DN354)</f>
        <v>198414</v>
      </c>
      <c r="FE354" s="32">
        <f t="shared" ref="FE354:FE355" si="845">SUM(DO354)</f>
        <v>473383</v>
      </c>
      <c r="FF354" s="34">
        <f t="shared" ref="FF354:FF355" si="846">SUM(DT354)</f>
        <v>13324</v>
      </c>
      <c r="FG354" s="31">
        <f t="shared" ref="FG354:FG355" si="847">SUM(DP354,DS354,DQ354)</f>
        <v>231320</v>
      </c>
      <c r="FH354" s="6">
        <f t="shared" ref="FH354:FH355" si="848">SUM(DR354)</f>
        <v>15360</v>
      </c>
      <c r="FI354" s="6">
        <f t="shared" ref="FI354:FI355" si="849">SUM(FC354:FH354)-DW354</f>
        <v>0</v>
      </c>
      <c r="FJ354" s="6"/>
    </row>
    <row r="355" spans="2:166" s="253" customFormat="1">
      <c r="B355" s="50">
        <v>42767</v>
      </c>
      <c r="C355" s="254">
        <v>0</v>
      </c>
      <c r="D355" s="254">
        <v>0</v>
      </c>
      <c r="E355" s="254">
        <v>0</v>
      </c>
      <c r="F355" s="254">
        <v>0</v>
      </c>
      <c r="G355" s="254">
        <v>1088</v>
      </c>
      <c r="H355" s="254">
        <v>16118</v>
      </c>
      <c r="I355" s="254">
        <v>39279</v>
      </c>
      <c r="J355" s="254">
        <v>943</v>
      </c>
      <c r="K355" s="254">
        <v>2293</v>
      </c>
      <c r="L355" s="255">
        <v>1129</v>
      </c>
      <c r="M355" s="254">
        <v>29437</v>
      </c>
      <c r="N355" s="254">
        <v>1470</v>
      </c>
      <c r="O355" s="254">
        <v>604</v>
      </c>
      <c r="P355" s="254">
        <v>1466</v>
      </c>
      <c r="Q355" s="254">
        <v>10435</v>
      </c>
      <c r="R355" s="254">
        <v>234</v>
      </c>
      <c r="S355" s="254">
        <v>5524</v>
      </c>
      <c r="T355" s="254">
        <v>12753</v>
      </c>
      <c r="U355" s="254">
        <v>31</v>
      </c>
      <c r="V355" s="254">
        <v>3780</v>
      </c>
      <c r="W355" s="254">
        <v>55</v>
      </c>
      <c r="X355" s="254">
        <v>15239</v>
      </c>
      <c r="Y355" s="254">
        <v>474</v>
      </c>
      <c r="Z355" s="254">
        <v>7</v>
      </c>
      <c r="AA355" s="254">
        <v>6</v>
      </c>
      <c r="AB355" s="254">
        <v>2</v>
      </c>
      <c r="AC355" s="254">
        <v>196</v>
      </c>
      <c r="AD355" s="254">
        <v>19</v>
      </c>
      <c r="AE355" s="254">
        <v>31</v>
      </c>
      <c r="AF355" s="254">
        <v>23</v>
      </c>
      <c r="AG355" s="254">
        <v>58</v>
      </c>
      <c r="AH355" s="254">
        <v>91</v>
      </c>
      <c r="AI355" s="254">
        <v>1908</v>
      </c>
      <c r="AJ355" s="254">
        <v>3</v>
      </c>
      <c r="AK355" s="254">
        <v>15417</v>
      </c>
      <c r="AL355" s="254">
        <v>111435</v>
      </c>
      <c r="AM355" s="254">
        <v>2565</v>
      </c>
      <c r="AN355" s="254">
        <v>21381</v>
      </c>
      <c r="AO355" s="254">
        <v>22</v>
      </c>
      <c r="AP355" s="254">
        <v>113</v>
      </c>
      <c r="AQ355" s="254">
        <v>10128</v>
      </c>
      <c r="AR355" s="254">
        <v>0</v>
      </c>
      <c r="AS355" s="254">
        <v>849</v>
      </c>
      <c r="AT355" s="254">
        <v>48</v>
      </c>
      <c r="AU355" s="254">
        <v>10675</v>
      </c>
      <c r="AV355" s="254">
        <v>2262</v>
      </c>
      <c r="AW355" s="254">
        <v>3770</v>
      </c>
      <c r="AX355" s="254">
        <v>15655</v>
      </c>
      <c r="AY355" s="254">
        <v>5</v>
      </c>
      <c r="AZ355" s="254">
        <v>1</v>
      </c>
      <c r="BA355" s="254">
        <v>958</v>
      </c>
      <c r="BB355" s="254">
        <v>1</v>
      </c>
      <c r="BC355" s="254">
        <v>127</v>
      </c>
      <c r="BD355" s="254">
        <v>757</v>
      </c>
      <c r="BE355" s="254">
        <v>0</v>
      </c>
      <c r="BF355" s="254">
        <v>0</v>
      </c>
      <c r="BG355" s="254">
        <v>7790</v>
      </c>
      <c r="BH355" s="254">
        <v>0</v>
      </c>
      <c r="BI355" s="254">
        <v>0</v>
      </c>
      <c r="BJ355" s="254">
        <v>0</v>
      </c>
      <c r="BK355" s="254">
        <v>48</v>
      </c>
      <c r="BL355" s="254">
        <v>5530</v>
      </c>
      <c r="BM355" s="254">
        <v>0</v>
      </c>
      <c r="BN355" s="254">
        <v>521</v>
      </c>
      <c r="BO355" s="254">
        <v>0</v>
      </c>
      <c r="BP355" s="254">
        <v>112093</v>
      </c>
      <c r="BQ355" s="254">
        <v>81417</v>
      </c>
      <c r="BR355" s="254">
        <v>1685</v>
      </c>
      <c r="BS355" s="254">
        <v>37</v>
      </c>
      <c r="BT355" s="254">
        <v>28076</v>
      </c>
      <c r="BU355" s="254">
        <v>1299</v>
      </c>
      <c r="BV355" s="254">
        <v>0</v>
      </c>
      <c r="BW355" s="254">
        <v>0</v>
      </c>
      <c r="BX355" s="254">
        <v>4</v>
      </c>
      <c r="BY355" s="254">
        <v>10086</v>
      </c>
      <c r="BZ355" s="254">
        <v>376</v>
      </c>
      <c r="CA355" s="254">
        <v>0</v>
      </c>
      <c r="CB355" s="254">
        <v>24360</v>
      </c>
      <c r="CC355" s="254">
        <v>15444</v>
      </c>
      <c r="CD355" s="254">
        <v>132107</v>
      </c>
      <c r="CE355" s="254">
        <v>280939</v>
      </c>
      <c r="CF355" s="254">
        <v>35460</v>
      </c>
      <c r="CG355" s="254">
        <v>52422</v>
      </c>
      <c r="CH355" s="254">
        <v>0</v>
      </c>
      <c r="CI355" s="254">
        <v>8</v>
      </c>
      <c r="CJ355" s="254">
        <v>3</v>
      </c>
      <c r="CK355" s="254">
        <v>60</v>
      </c>
      <c r="CL355" s="289"/>
      <c r="CM355" s="289"/>
      <c r="CN355" s="289"/>
      <c r="CO355" s="289"/>
      <c r="CP355" s="289"/>
      <c r="CQ355" s="289"/>
      <c r="CR355" s="254">
        <v>389</v>
      </c>
      <c r="CS355" s="254">
        <v>13</v>
      </c>
      <c r="CT355" s="254">
        <v>0</v>
      </c>
      <c r="CU355" s="254">
        <v>0</v>
      </c>
      <c r="CV355" s="254">
        <v>0</v>
      </c>
      <c r="CW355" s="254">
        <v>14</v>
      </c>
      <c r="CX355" s="254">
        <v>0</v>
      </c>
      <c r="CY355" s="254">
        <v>26</v>
      </c>
      <c r="DB355" s="6"/>
      <c r="DD355" s="6">
        <f t="shared" ref="DD355:DD356" si="850">SUM(AY355:AZ355,BE355:CK355)</f>
        <v>789771</v>
      </c>
      <c r="DE355" s="6">
        <f t="shared" ref="DE355:DE356" si="851">SUM(M355:N355,P355:AX355,BB355:BC355)+CR355+CS355</f>
        <v>278092</v>
      </c>
      <c r="DF355" s="8">
        <f t="shared" ref="DF355:DF356" si="852">SUM(DD355:DE355)</f>
        <v>1067863</v>
      </c>
      <c r="DG355" s="8"/>
      <c r="DK355" s="6">
        <f t="shared" si="459"/>
        <v>67671</v>
      </c>
      <c r="DL355" s="6">
        <f t="shared" ref="DL355" si="853">SUM(Y355:Z355,AB355:AF355,AH355:AM355,AO355,AS355:AW355,BA355:BC355)+CR355+CS355</f>
        <v>151285</v>
      </c>
      <c r="DM355" s="6">
        <f t="shared" ref="DM355" si="854">T355</f>
        <v>12753</v>
      </c>
      <c r="DN355" s="6">
        <f t="shared" ref="DN355" si="855">AG355+AX355+AN355+AP355+AQ355+AR355</f>
        <v>47335</v>
      </c>
      <c r="DO355" s="6">
        <f t="shared" ref="DO355" si="856">SUM(AY355,BF355,BI355,BK355,BO355,BR355:BS355,BU355,BW355,BZ355:CB355,CD355:CF355,CJ355:CK355)</f>
        <v>476379</v>
      </c>
      <c r="DP355" s="6">
        <f t="shared" si="795"/>
        <v>110772</v>
      </c>
      <c r="DQ355" s="6">
        <f t="shared" si="796"/>
        <v>10086</v>
      </c>
      <c r="DR355" s="6">
        <f t="shared" ref="DR355" si="857">CC355+CI355+AA355</f>
        <v>15458</v>
      </c>
      <c r="DS355" s="6">
        <f t="shared" ref="DS355" si="858">BP355+BV355</f>
        <v>112093</v>
      </c>
      <c r="DT355" s="6">
        <f t="shared" ref="DT355" si="859">BG355+BJ355+BL355+BM355+BX355</f>
        <v>13324</v>
      </c>
      <c r="DU355" s="6"/>
      <c r="DV355" s="6"/>
      <c r="DW355" s="6">
        <f t="shared" ref="DW355" si="860">SUM(DK355:DT355)</f>
        <v>1017156</v>
      </c>
      <c r="DX355" s="6"/>
      <c r="DY355" s="6">
        <f t="shared" ref="DY355" si="861">DO355+DT355+H355+I355+J355+K355+CG355</f>
        <v>600758</v>
      </c>
      <c r="DZ355" s="6">
        <f t="shared" ref="DZ355" si="862">SUM(G355:L355,O355)</f>
        <v>61454</v>
      </c>
      <c r="EA355" s="254"/>
      <c r="EB355" s="6">
        <f t="shared" ref="EB355" si="863">DZ355+DF355</f>
        <v>1129317</v>
      </c>
      <c r="EC355" s="6"/>
      <c r="ED355" s="6"/>
      <c r="EE355" s="6"/>
      <c r="EF355" s="6">
        <f t="shared" ref="EF355:EF360" si="864">SUM(BE355:CK355)-CG355-BP355</f>
        <v>625250</v>
      </c>
      <c r="EG355" s="6">
        <f t="shared" ref="EG355" si="865">SUM(M355:BC355)-AQ355</f>
        <v>269130</v>
      </c>
      <c r="EH355" s="6">
        <f t="shared" ref="EH355" si="866">SUM(EF355:EG355)</f>
        <v>894380</v>
      </c>
      <c r="EI355" s="36">
        <f t="shared" ref="EI355" si="867">(EF355-EF354)/EF354</f>
        <v>8.1474112257879355E-3</v>
      </c>
      <c r="EJ355" s="36">
        <f t="shared" ref="EJ355" si="868">(EG355-EG354)/EG354</f>
        <v>4.167708282807177E-3</v>
      </c>
      <c r="EK355" s="36"/>
      <c r="EN355" s="104"/>
      <c r="EO355" s="104"/>
      <c r="FC355" s="6">
        <f t="shared" si="843"/>
        <v>80424</v>
      </c>
      <c r="FD355" s="6">
        <f t="shared" si="844"/>
        <v>198620</v>
      </c>
      <c r="FE355" s="32">
        <f t="shared" si="845"/>
        <v>476379</v>
      </c>
      <c r="FF355" s="34">
        <f t="shared" si="846"/>
        <v>13324</v>
      </c>
      <c r="FG355" s="31">
        <f t="shared" si="847"/>
        <v>232951</v>
      </c>
      <c r="FH355" s="6">
        <f t="shared" si="848"/>
        <v>15458</v>
      </c>
      <c r="FI355" s="6">
        <f t="shared" si="849"/>
        <v>0</v>
      </c>
    </row>
    <row r="356" spans="2:166" s="255" customFormat="1">
      <c r="B356" s="50">
        <v>42795</v>
      </c>
      <c r="C356" s="255">
        <v>0</v>
      </c>
      <c r="D356" s="255">
        <v>0</v>
      </c>
      <c r="E356" s="255">
        <v>0</v>
      </c>
      <c r="F356" s="255">
        <v>0</v>
      </c>
      <c r="G356" s="255">
        <v>1102</v>
      </c>
      <c r="H356" s="255">
        <v>16019</v>
      </c>
      <c r="I356" s="255">
        <v>39304</v>
      </c>
      <c r="J356" s="255">
        <v>944</v>
      </c>
      <c r="K356" s="255">
        <v>2273</v>
      </c>
      <c r="L356" s="255">
        <v>1138</v>
      </c>
      <c r="M356" s="255">
        <v>29854</v>
      </c>
      <c r="N356" s="255">
        <v>1468</v>
      </c>
      <c r="O356" s="255">
        <v>619</v>
      </c>
      <c r="P356" s="255">
        <v>1467</v>
      </c>
      <c r="Q356" s="255">
        <v>10171</v>
      </c>
      <c r="R356" s="255">
        <v>236</v>
      </c>
      <c r="S356" s="255">
        <v>5283</v>
      </c>
      <c r="T356" s="255">
        <v>12868</v>
      </c>
      <c r="U356" s="255">
        <v>25</v>
      </c>
      <c r="V356" s="255">
        <v>3887</v>
      </c>
      <c r="W356" s="255">
        <v>54</v>
      </c>
      <c r="X356" s="255">
        <v>15562</v>
      </c>
      <c r="Y356" s="255">
        <v>467</v>
      </c>
      <c r="Z356" s="255">
        <v>6</v>
      </c>
      <c r="AA356" s="184">
        <v>7</v>
      </c>
      <c r="AB356" s="255">
        <v>1</v>
      </c>
      <c r="AC356" s="255">
        <v>191</v>
      </c>
      <c r="AD356" s="255">
        <v>18</v>
      </c>
      <c r="AE356" s="255">
        <v>29</v>
      </c>
      <c r="AF356" s="255">
        <v>21</v>
      </c>
      <c r="AG356" s="255">
        <v>60</v>
      </c>
      <c r="AH356" s="255">
        <v>92</v>
      </c>
      <c r="AI356" s="255">
        <v>2026</v>
      </c>
      <c r="AJ356" s="255">
        <v>2</v>
      </c>
      <c r="AK356" s="255">
        <v>15623</v>
      </c>
      <c r="AL356" s="255">
        <v>110732</v>
      </c>
      <c r="AM356" s="255">
        <v>2539</v>
      </c>
      <c r="AN356" s="255">
        <v>21343</v>
      </c>
      <c r="AO356" s="255">
        <v>20</v>
      </c>
      <c r="AP356" s="255">
        <v>120</v>
      </c>
      <c r="AQ356" s="255">
        <v>10293</v>
      </c>
      <c r="AR356" s="255">
        <v>0</v>
      </c>
      <c r="AS356" s="255">
        <v>813</v>
      </c>
      <c r="AT356" s="255">
        <v>41</v>
      </c>
      <c r="AU356" s="255">
        <v>10472</v>
      </c>
      <c r="AV356" s="255">
        <v>2256</v>
      </c>
      <c r="AW356" s="255">
        <v>3618</v>
      </c>
      <c r="AX356" s="255">
        <v>15443</v>
      </c>
      <c r="AY356" s="184">
        <v>1</v>
      </c>
      <c r="AZ356" s="184">
        <v>0</v>
      </c>
      <c r="BA356" s="255">
        <v>957</v>
      </c>
      <c r="BB356" s="184">
        <v>0</v>
      </c>
      <c r="BC356" s="255">
        <v>121</v>
      </c>
      <c r="BD356" s="184">
        <v>786</v>
      </c>
      <c r="BE356" s="255">
        <v>0</v>
      </c>
      <c r="BF356" s="255">
        <v>0</v>
      </c>
      <c r="BG356" s="255">
        <v>7852</v>
      </c>
      <c r="BH356" s="255">
        <v>0</v>
      </c>
      <c r="BI356" s="255">
        <v>0</v>
      </c>
      <c r="BJ356" s="255">
        <v>0</v>
      </c>
      <c r="BK356" s="255">
        <v>44</v>
      </c>
      <c r="BL356" s="255">
        <v>5444</v>
      </c>
      <c r="BM356" s="184">
        <v>0</v>
      </c>
      <c r="BN356" s="255">
        <v>554</v>
      </c>
      <c r="BO356" s="255">
        <v>0</v>
      </c>
      <c r="BP356" s="255">
        <v>111404</v>
      </c>
      <c r="BQ356" s="255">
        <v>82158</v>
      </c>
      <c r="BR356" s="255">
        <v>1915</v>
      </c>
      <c r="BS356" s="255">
        <v>33</v>
      </c>
      <c r="BT356" s="255">
        <v>28536</v>
      </c>
      <c r="BU356" s="255">
        <v>1394</v>
      </c>
      <c r="BV356" s="184">
        <v>0</v>
      </c>
      <c r="BW356" s="255">
        <v>0</v>
      </c>
      <c r="BX356" s="255">
        <v>4</v>
      </c>
      <c r="BY356" s="184">
        <v>10467</v>
      </c>
      <c r="BZ356" s="255">
        <v>385</v>
      </c>
      <c r="CA356" s="255">
        <v>0</v>
      </c>
      <c r="CB356" s="255">
        <v>24338</v>
      </c>
      <c r="CC356" s="255">
        <v>15288</v>
      </c>
      <c r="CD356" s="255">
        <v>131376</v>
      </c>
      <c r="CE356" s="255">
        <v>280218</v>
      </c>
      <c r="CF356" s="255">
        <v>35712</v>
      </c>
      <c r="CG356" s="255">
        <v>52601</v>
      </c>
      <c r="CH356" s="255">
        <v>0</v>
      </c>
      <c r="CI356" s="255">
        <v>10</v>
      </c>
      <c r="CJ356" s="255">
        <v>3</v>
      </c>
      <c r="CK356" s="255">
        <v>66</v>
      </c>
      <c r="CL356" s="289"/>
      <c r="CM356" s="289"/>
      <c r="CN356" s="289"/>
      <c r="CO356" s="289"/>
      <c r="CP356" s="289"/>
      <c r="CQ356" s="289"/>
      <c r="CR356" s="184">
        <v>387</v>
      </c>
      <c r="CS356" s="184">
        <v>9</v>
      </c>
      <c r="CT356" s="255">
        <v>0</v>
      </c>
      <c r="CU356" s="255">
        <v>0</v>
      </c>
      <c r="CV356" s="255">
        <v>0</v>
      </c>
      <c r="CW356" s="255">
        <v>14</v>
      </c>
      <c r="CX356" s="255">
        <v>0</v>
      </c>
      <c r="CY356" s="255">
        <v>26</v>
      </c>
      <c r="DB356" s="6"/>
      <c r="DD356" s="6">
        <f t="shared" si="850"/>
        <v>789803</v>
      </c>
      <c r="DE356" s="6">
        <f t="shared" si="851"/>
        <v>277625</v>
      </c>
      <c r="DF356" s="8">
        <f t="shared" si="852"/>
        <v>1067428</v>
      </c>
      <c r="DG356" s="8"/>
      <c r="DK356" s="6">
        <f t="shared" si="459"/>
        <v>68007</v>
      </c>
      <c r="DL356" s="6">
        <f t="shared" ref="DL356" si="869">SUM(Y356:Z356,AB356:AF356,AH356:AM356,AO356,AS356:AW356,BA356:BC356)+CR356+CS356</f>
        <v>150441</v>
      </c>
      <c r="DM356" s="6">
        <f t="shared" ref="DM356" si="870">T356</f>
        <v>12868</v>
      </c>
      <c r="DN356" s="6">
        <f t="shared" ref="DN356" si="871">AG356+AX356+AN356+AP356+AQ356+AR356</f>
        <v>47259</v>
      </c>
      <c r="DO356" s="6">
        <f t="shared" ref="DO356" si="872">SUM(AY356,BF356,BI356,BK356,BO356,BR356:BS356,BU356,BW356,BZ356:CB356,CD356:CF356,CJ356:CK356)</f>
        <v>475485</v>
      </c>
      <c r="DP356" s="6">
        <f t="shared" si="795"/>
        <v>112034</v>
      </c>
      <c r="DQ356" s="6">
        <f t="shared" si="796"/>
        <v>10467</v>
      </c>
      <c r="DR356" s="6">
        <f t="shared" ref="DR356" si="873">CC356+CI356+AA356</f>
        <v>15305</v>
      </c>
      <c r="DS356" s="6">
        <f t="shared" ref="DS356" si="874">BP356+BV356</f>
        <v>111404</v>
      </c>
      <c r="DT356" s="6">
        <f t="shared" ref="DT356" si="875">BG356+BJ356+BL356+BM356+BX356</f>
        <v>13300</v>
      </c>
      <c r="DU356" s="6"/>
      <c r="DV356" s="6"/>
      <c r="DW356" s="6">
        <f t="shared" ref="DW356" si="876">SUM(DK356:DT356)</f>
        <v>1016570</v>
      </c>
      <c r="DX356" s="6"/>
      <c r="DY356" s="6">
        <f t="shared" ref="DY356" si="877">DO356+DT356+H356+I356+J356+K356+CG356</f>
        <v>599926</v>
      </c>
      <c r="DZ356" s="6">
        <f t="shared" ref="DZ356" si="878">SUM(G356:L356,O356)</f>
        <v>61399</v>
      </c>
      <c r="EB356" s="6">
        <f t="shared" ref="EB356" si="879">DZ356+DF356</f>
        <v>1128827</v>
      </c>
      <c r="EC356" s="6"/>
      <c r="ED356" s="6"/>
      <c r="EE356" s="6"/>
      <c r="EF356" s="6">
        <f t="shared" si="864"/>
        <v>625797</v>
      </c>
      <c r="EG356" s="6">
        <f t="shared" ref="EG356" si="880">SUM(M356:BC356)-AQ356</f>
        <v>268513</v>
      </c>
      <c r="EH356" s="6">
        <f t="shared" ref="EH356" si="881">SUM(EF356:EG356)</f>
        <v>894310</v>
      </c>
      <c r="EI356" s="36">
        <f t="shared" ref="EI356" si="882">(EF356-EF355)/EF355</f>
        <v>8.7485005997600955E-4</v>
      </c>
      <c r="EJ356" s="36">
        <f t="shared" ref="EJ356" si="883">(EG356-EG355)/EG355</f>
        <v>-2.2925723627986476E-3</v>
      </c>
      <c r="EK356" s="36"/>
      <c r="EN356" s="104"/>
      <c r="EO356" s="104"/>
      <c r="FC356" s="6">
        <f t="shared" ref="FC356:FC375" si="884">SUM(DK356,DM356)</f>
        <v>80875</v>
      </c>
      <c r="FD356" s="6">
        <f t="shared" ref="FD356:FD375" si="885">SUM(DL356,DN356)</f>
        <v>197700</v>
      </c>
      <c r="FE356" s="32">
        <f t="shared" ref="FE356:FE375" si="886">SUM(DO356)</f>
        <v>475485</v>
      </c>
      <c r="FF356" s="34">
        <f t="shared" ref="FF356:FF375" si="887">SUM(DT356)</f>
        <v>13300</v>
      </c>
      <c r="FG356" s="31">
        <f t="shared" ref="FG356:FG375" si="888">SUM(DP356,DS356,DQ356)</f>
        <v>233905</v>
      </c>
      <c r="FH356" s="6">
        <f t="shared" ref="FH356:FH375" si="889">SUM(DR356)</f>
        <v>15305</v>
      </c>
      <c r="FI356" s="6">
        <f t="shared" ref="FI356:FI383" si="890">SUM(FC356:FH356)-DW356</f>
        <v>0</v>
      </c>
    </row>
    <row r="357" spans="2:166" s="255" customFormat="1">
      <c r="B357" s="50">
        <v>42826</v>
      </c>
      <c r="C357" s="257">
        <v>0</v>
      </c>
      <c r="D357" s="257">
        <v>0</v>
      </c>
      <c r="E357" s="257">
        <v>0</v>
      </c>
      <c r="F357" s="257">
        <v>0</v>
      </c>
      <c r="G357" s="257">
        <v>1122</v>
      </c>
      <c r="H357" s="257">
        <v>16353</v>
      </c>
      <c r="I357" s="257">
        <v>39842</v>
      </c>
      <c r="J357" s="257">
        <v>941</v>
      </c>
      <c r="K357" s="257">
        <v>2248</v>
      </c>
      <c r="L357" s="257">
        <v>1186</v>
      </c>
      <c r="M357" s="257">
        <v>30398</v>
      </c>
      <c r="N357" s="257">
        <v>1475</v>
      </c>
      <c r="O357" s="257">
        <v>637</v>
      </c>
      <c r="P357" s="257">
        <v>1525</v>
      </c>
      <c r="Q357" s="257">
        <v>10091</v>
      </c>
      <c r="R357" s="257">
        <v>232</v>
      </c>
      <c r="S357" s="257">
        <v>5214</v>
      </c>
      <c r="T357" s="257">
        <v>13081</v>
      </c>
      <c r="U357" s="257">
        <v>30</v>
      </c>
      <c r="V357" s="257">
        <v>4033</v>
      </c>
      <c r="W357" s="257">
        <v>46</v>
      </c>
      <c r="X357" s="257">
        <v>16019</v>
      </c>
      <c r="Y357" s="257">
        <v>460</v>
      </c>
      <c r="Z357" s="257">
        <v>5</v>
      </c>
      <c r="AA357" s="257">
        <v>2</v>
      </c>
      <c r="AB357" s="257">
        <v>1</v>
      </c>
      <c r="AC357" s="257">
        <v>189</v>
      </c>
      <c r="AD357" s="257">
        <v>19</v>
      </c>
      <c r="AE357" s="257">
        <v>29</v>
      </c>
      <c r="AF357" s="257">
        <v>19</v>
      </c>
      <c r="AG357" s="257">
        <v>55</v>
      </c>
      <c r="AH357" s="257">
        <v>79</v>
      </c>
      <c r="AI357" s="257">
        <v>2127</v>
      </c>
      <c r="AJ357" s="257">
        <v>2</v>
      </c>
      <c r="AK357" s="257">
        <v>15942</v>
      </c>
      <c r="AL357" s="257">
        <v>110537</v>
      </c>
      <c r="AM357" s="257">
        <v>2517</v>
      </c>
      <c r="AN357" s="257">
        <v>21400</v>
      </c>
      <c r="AO357" s="257">
        <v>18</v>
      </c>
      <c r="AP357" s="257">
        <v>135</v>
      </c>
      <c r="AQ357" s="257">
        <v>10471</v>
      </c>
      <c r="AR357" s="257">
        <v>0</v>
      </c>
      <c r="AS357" s="257">
        <v>850</v>
      </c>
      <c r="AT357" s="257">
        <v>43</v>
      </c>
      <c r="AU357" s="257">
        <v>10438</v>
      </c>
      <c r="AV357" s="257">
        <v>2232</v>
      </c>
      <c r="AW357" s="257">
        <v>3546</v>
      </c>
      <c r="AX357" s="257">
        <v>15418</v>
      </c>
      <c r="AY357" s="257">
        <v>4</v>
      </c>
      <c r="AZ357" s="257">
        <v>4</v>
      </c>
      <c r="BA357" s="257">
        <v>969</v>
      </c>
      <c r="BB357" s="257">
        <v>1</v>
      </c>
      <c r="BC357" s="257">
        <v>119</v>
      </c>
      <c r="BD357" s="257">
        <v>796</v>
      </c>
      <c r="BE357" s="257">
        <v>0</v>
      </c>
      <c r="BF357" s="257">
        <v>0</v>
      </c>
      <c r="BG357" s="257">
        <v>7871</v>
      </c>
      <c r="BH357" s="257">
        <v>0</v>
      </c>
      <c r="BI357" s="257">
        <v>0</v>
      </c>
      <c r="BJ357" s="257">
        <v>0</v>
      </c>
      <c r="BK357" s="257">
        <v>41</v>
      </c>
      <c r="BL357" s="257">
        <v>5449</v>
      </c>
      <c r="BM357" s="257">
        <v>0</v>
      </c>
      <c r="BN357" s="257">
        <v>583</v>
      </c>
      <c r="BO357" s="257">
        <v>0</v>
      </c>
      <c r="BP357" s="257">
        <v>112470</v>
      </c>
      <c r="BQ357" s="257">
        <v>83392</v>
      </c>
      <c r="BR357" s="257">
        <v>2099</v>
      </c>
      <c r="BS357" s="257">
        <v>33</v>
      </c>
      <c r="BT357" s="257">
        <v>29331</v>
      </c>
      <c r="BU357" s="257">
        <v>1475</v>
      </c>
      <c r="BV357" s="257">
        <v>0</v>
      </c>
      <c r="BW357" s="257">
        <v>0</v>
      </c>
      <c r="BX357" s="257">
        <v>4</v>
      </c>
      <c r="BY357" s="257">
        <v>10821</v>
      </c>
      <c r="BZ357" s="257">
        <v>387</v>
      </c>
      <c r="CA357" s="257">
        <v>0</v>
      </c>
      <c r="CB357" s="257">
        <v>24632</v>
      </c>
      <c r="CC357" s="257">
        <v>15514</v>
      </c>
      <c r="CD357" s="257">
        <v>132004</v>
      </c>
      <c r="CE357" s="257">
        <v>281288</v>
      </c>
      <c r="CF357" s="257">
        <v>36134</v>
      </c>
      <c r="CG357" s="257">
        <v>53432</v>
      </c>
      <c r="CH357" s="257">
        <v>0</v>
      </c>
      <c r="CI357" s="257">
        <v>10</v>
      </c>
      <c r="CJ357" s="257">
        <v>3</v>
      </c>
      <c r="CK357" s="257">
        <v>67</v>
      </c>
      <c r="CL357" s="289"/>
      <c r="CM357" s="289"/>
      <c r="CN357" s="289"/>
      <c r="CO357" s="289"/>
      <c r="CP357" s="289"/>
      <c r="CQ357" s="289"/>
      <c r="CR357" s="257">
        <v>375</v>
      </c>
      <c r="CS357" s="257">
        <v>13</v>
      </c>
      <c r="CT357" s="257">
        <v>0</v>
      </c>
      <c r="CU357" s="257">
        <v>0</v>
      </c>
      <c r="CV357" s="257">
        <v>0</v>
      </c>
      <c r="CW357" s="257">
        <v>14</v>
      </c>
      <c r="CX357" s="257">
        <v>0</v>
      </c>
      <c r="CY357" s="257">
        <v>26</v>
      </c>
      <c r="DA357" s="6"/>
      <c r="DC357" s="6"/>
      <c r="DD357" s="6">
        <f t="shared" ref="DD357" si="891">SUM(AY357:AZ357,BE357:CK357)</f>
        <v>797048</v>
      </c>
      <c r="DE357" s="6">
        <f t="shared" ref="DE357" si="892">SUM(M357:N357,P357:AX357,BB357:BC357)+CR357+CS357</f>
        <v>279186</v>
      </c>
      <c r="DF357" s="8">
        <f t="shared" ref="DF357" si="893">SUM(DD357:DE357)</f>
        <v>1076234</v>
      </c>
      <c r="DK357" s="6">
        <f t="shared" si="459"/>
        <v>69063</v>
      </c>
      <c r="DL357" s="6">
        <f t="shared" ref="DL357" si="894">SUM(Y357:Z357,AB357:AF357,AH357:AM357,AO357,AS357:AW357,BA357:BC357)+CR357+CS357</f>
        <v>150530</v>
      </c>
      <c r="DM357" s="6">
        <f t="shared" ref="DM357" si="895">T357</f>
        <v>13081</v>
      </c>
      <c r="DN357" s="6">
        <f t="shared" ref="DN357" si="896">AG357+AX357+AN357+AP357+AQ357+AR357</f>
        <v>47479</v>
      </c>
      <c r="DO357" s="6">
        <f t="shared" ref="DO357" si="897">SUM(AY357,BF357,BI357,BK357,BO357,BR357:BS357,BU357,BW357,BZ357:CB357,CD357:CF357,CJ357:CK357)</f>
        <v>478167</v>
      </c>
      <c r="DP357" s="6">
        <f t="shared" si="795"/>
        <v>114106</v>
      </c>
      <c r="DQ357" s="6">
        <f t="shared" si="796"/>
        <v>10821</v>
      </c>
      <c r="DR357" s="6">
        <f t="shared" ref="DR357" si="898">CC357+CI357+AA357</f>
        <v>15526</v>
      </c>
      <c r="DS357" s="6">
        <f t="shared" ref="DS357" si="899">BP357+BV357</f>
        <v>112470</v>
      </c>
      <c r="DT357" s="6">
        <f t="shared" ref="DT357" si="900">BG357+BJ357+BL357+BM357+BX357</f>
        <v>13324</v>
      </c>
      <c r="DU357" s="6"/>
      <c r="DV357" s="6"/>
      <c r="DW357" s="6">
        <f t="shared" ref="DW357" si="901">SUM(DK357:DT357)</f>
        <v>1024567</v>
      </c>
      <c r="DY357" s="6">
        <f t="shared" ref="DY357" si="902">DO357+DT357+H357+I357+J357+K357+CG357</f>
        <v>604307</v>
      </c>
      <c r="DZ357" s="6">
        <f t="shared" ref="DZ357" si="903">SUM(G357:L357,O357)</f>
        <v>62329</v>
      </c>
      <c r="EA357" s="257"/>
      <c r="EB357" s="6">
        <f t="shared" ref="EB357" si="904">DZ357+DF357</f>
        <v>1138563</v>
      </c>
      <c r="EC357" s="6"/>
      <c r="ED357" s="6"/>
      <c r="EF357" s="6">
        <f t="shared" si="864"/>
        <v>631138</v>
      </c>
      <c r="EG357" s="6">
        <f t="shared" ref="EG357" si="905">SUM(M357:BC357)-AQ357</f>
        <v>269941</v>
      </c>
      <c r="EH357" s="6">
        <f t="shared" ref="EH357" si="906">SUM(EF357:EG357)</f>
        <v>901079</v>
      </c>
      <c r="EI357" s="36">
        <f t="shared" ref="EI357" si="907">(EF357-EF356)/EF356</f>
        <v>8.5347165294816056E-3</v>
      </c>
      <c r="EJ357" s="36">
        <f t="shared" ref="EJ357" si="908">(EG357-EG356)/EG356</f>
        <v>5.3181782632498236E-3</v>
      </c>
      <c r="EM357" s="104"/>
      <c r="EN357" s="104"/>
      <c r="FC357" s="6">
        <f t="shared" si="884"/>
        <v>82144</v>
      </c>
      <c r="FD357" s="6">
        <f t="shared" si="885"/>
        <v>198009</v>
      </c>
      <c r="FE357" s="32">
        <f t="shared" si="886"/>
        <v>478167</v>
      </c>
      <c r="FF357" s="34">
        <f t="shared" si="887"/>
        <v>13324</v>
      </c>
      <c r="FG357" s="31">
        <f t="shared" si="888"/>
        <v>237397</v>
      </c>
      <c r="FH357" s="6">
        <f t="shared" si="889"/>
        <v>15526</v>
      </c>
      <c r="FI357" s="6">
        <f t="shared" si="890"/>
        <v>0</v>
      </c>
    </row>
    <row r="358" spans="2:166" s="257" customFormat="1">
      <c r="B358" s="50">
        <v>42856</v>
      </c>
      <c r="C358" s="258">
        <v>0</v>
      </c>
      <c r="D358" s="258">
        <v>0</v>
      </c>
      <c r="E358" s="258">
        <v>0</v>
      </c>
      <c r="F358" s="258">
        <v>0</v>
      </c>
      <c r="G358" s="258">
        <v>1139</v>
      </c>
      <c r="H358" s="258">
        <v>16542</v>
      </c>
      <c r="I358" s="258">
        <v>40286</v>
      </c>
      <c r="J358" s="258">
        <v>916</v>
      </c>
      <c r="K358" s="258">
        <v>2223</v>
      </c>
      <c r="L358" s="258">
        <v>1223</v>
      </c>
      <c r="M358" s="258">
        <v>30969</v>
      </c>
      <c r="N358" s="258">
        <v>1474</v>
      </c>
      <c r="O358" s="258">
        <v>645</v>
      </c>
      <c r="P358" s="258">
        <v>1555</v>
      </c>
      <c r="Q358" s="258">
        <v>10033</v>
      </c>
      <c r="R358" s="258">
        <v>238</v>
      </c>
      <c r="S358" s="258">
        <v>5126</v>
      </c>
      <c r="T358" s="258">
        <v>13198</v>
      </c>
      <c r="U358" s="258">
        <v>35</v>
      </c>
      <c r="V358" s="258">
        <v>4149</v>
      </c>
      <c r="W358" s="258">
        <v>39</v>
      </c>
      <c r="X358" s="258">
        <v>16258</v>
      </c>
      <c r="Y358" s="258">
        <v>433</v>
      </c>
      <c r="Z358" s="258">
        <v>5</v>
      </c>
      <c r="AA358" s="258">
        <v>3</v>
      </c>
      <c r="AB358" s="258">
        <v>0</v>
      </c>
      <c r="AC358" s="258">
        <v>175</v>
      </c>
      <c r="AD358" s="258">
        <v>19</v>
      </c>
      <c r="AE358" s="258">
        <v>29</v>
      </c>
      <c r="AF358" s="258">
        <v>19</v>
      </c>
      <c r="AG358" s="258">
        <v>51</v>
      </c>
      <c r="AH358" s="258">
        <v>88</v>
      </c>
      <c r="AI358" s="258">
        <v>2216</v>
      </c>
      <c r="AJ358" s="258">
        <v>2</v>
      </c>
      <c r="AK358" s="258">
        <v>16070</v>
      </c>
      <c r="AL358" s="258">
        <v>109901</v>
      </c>
      <c r="AM358" s="258">
        <v>2478</v>
      </c>
      <c r="AN358" s="258">
        <v>21275</v>
      </c>
      <c r="AO358" s="258">
        <v>20</v>
      </c>
      <c r="AP358" s="258">
        <v>133</v>
      </c>
      <c r="AQ358" s="258">
        <v>10549</v>
      </c>
      <c r="AR358" s="258">
        <v>0</v>
      </c>
      <c r="AS358" s="258">
        <v>875</v>
      </c>
      <c r="AT358" s="258">
        <v>41</v>
      </c>
      <c r="AU358" s="258">
        <v>10347</v>
      </c>
      <c r="AV358" s="258">
        <v>2196</v>
      </c>
      <c r="AW358" s="258">
        <v>3429</v>
      </c>
      <c r="AX358" s="258">
        <v>15248</v>
      </c>
      <c r="AY358" s="258">
        <v>18</v>
      </c>
      <c r="AZ358" s="258">
        <v>2</v>
      </c>
      <c r="BA358" s="258">
        <v>968</v>
      </c>
      <c r="BB358" s="258">
        <v>1</v>
      </c>
      <c r="BC358" s="258">
        <v>113</v>
      </c>
      <c r="BD358" s="258">
        <v>821</v>
      </c>
      <c r="BE358" s="258">
        <v>0</v>
      </c>
      <c r="BF358" s="258">
        <v>0</v>
      </c>
      <c r="BG358" s="258">
        <v>7867</v>
      </c>
      <c r="BH358" s="258">
        <v>0</v>
      </c>
      <c r="BI358" s="258">
        <v>0</v>
      </c>
      <c r="BJ358" s="258">
        <v>0</v>
      </c>
      <c r="BK358" s="258">
        <v>39</v>
      </c>
      <c r="BL358" s="258">
        <v>5462</v>
      </c>
      <c r="BM358" s="258">
        <v>0</v>
      </c>
      <c r="BN358" s="258">
        <v>545</v>
      </c>
      <c r="BO358" s="258">
        <v>0</v>
      </c>
      <c r="BP358" s="258">
        <v>112405</v>
      </c>
      <c r="BQ358" s="258">
        <v>83473</v>
      </c>
      <c r="BR358" s="258">
        <v>2250</v>
      </c>
      <c r="BS358" s="258">
        <v>30</v>
      </c>
      <c r="BT358" s="258">
        <v>29741</v>
      </c>
      <c r="BU358" s="258">
        <v>1615</v>
      </c>
      <c r="BV358" s="258">
        <v>0</v>
      </c>
      <c r="BW358" s="258">
        <v>0</v>
      </c>
      <c r="BX358" s="258">
        <v>4</v>
      </c>
      <c r="BY358" s="258">
        <v>11077</v>
      </c>
      <c r="BZ358" s="258">
        <v>396</v>
      </c>
      <c r="CA358" s="258">
        <v>0</v>
      </c>
      <c r="CB358" s="258">
        <v>24869</v>
      </c>
      <c r="CC358" s="258">
        <v>15702</v>
      </c>
      <c r="CD358" s="258">
        <v>131186</v>
      </c>
      <c r="CE358" s="258">
        <v>279736</v>
      </c>
      <c r="CF358" s="258">
        <v>35812</v>
      </c>
      <c r="CG358" s="258">
        <v>53906</v>
      </c>
      <c r="CH358" s="258">
        <v>0</v>
      </c>
      <c r="CI358" s="258">
        <v>6</v>
      </c>
      <c r="CJ358" s="258">
        <v>2</v>
      </c>
      <c r="CK358" s="258">
        <v>71</v>
      </c>
      <c r="CL358" s="289"/>
      <c r="CM358" s="289"/>
      <c r="CN358" s="289"/>
      <c r="CO358" s="289"/>
      <c r="CP358" s="289"/>
      <c r="CQ358" s="289"/>
      <c r="CR358" s="258">
        <v>380</v>
      </c>
      <c r="CS358" s="258">
        <v>12</v>
      </c>
      <c r="CT358" s="258">
        <v>0</v>
      </c>
      <c r="CU358" s="258">
        <v>0</v>
      </c>
      <c r="CV358" s="258">
        <v>0</v>
      </c>
      <c r="CW358" s="258">
        <v>14</v>
      </c>
      <c r="CX358" s="258">
        <v>0</v>
      </c>
      <c r="CY358" s="258">
        <v>26</v>
      </c>
      <c r="DA358" s="6"/>
      <c r="DC358" s="6"/>
      <c r="DD358" s="6">
        <f t="shared" ref="DD358" si="909">SUM(AY358:AZ358,BE358:CK358)</f>
        <v>796214</v>
      </c>
      <c r="DE358" s="6">
        <f t="shared" ref="DE358" si="910">SUM(M358:N358,P358:AX358,BB358:BC358)+CR358+CS358</f>
        <v>279182</v>
      </c>
      <c r="DF358" s="8">
        <f t="shared" ref="DF358" si="911">SUM(DD358:DE358)</f>
        <v>1075396</v>
      </c>
      <c r="DK358" s="6">
        <f t="shared" ref="DK358:DK363" si="912">SUM(M358:N358,P358:S358,U358:X358)</f>
        <v>69876</v>
      </c>
      <c r="DL358" s="6">
        <f t="shared" ref="DL358" si="913">SUM(Y358:Z358,AB358:AF358,AH358:AM358,AO358,AS358:AW358,BA358:BC358)+CR358+CS358</f>
        <v>149817</v>
      </c>
      <c r="DM358" s="6">
        <f t="shared" ref="DM358" si="914">T358</f>
        <v>13198</v>
      </c>
      <c r="DN358" s="6">
        <f t="shared" ref="DN358" si="915">AG358+AX358+AN358+AP358+AQ358+AR358</f>
        <v>47256</v>
      </c>
      <c r="DO358" s="6">
        <f t="shared" ref="DO358" si="916">SUM(AY358,BF358,BI358,BK358,BO358,BR358:BS358,BU358,BW358,BZ358:CB358,CD358:CF358,CJ358:CK358)</f>
        <v>476024</v>
      </c>
      <c r="DP358" s="6">
        <f t="shared" ref="DP358" si="917">SUM(AZ358,BD358:BE358,BH358,BN358,BQ358,BT358)</f>
        <v>114582</v>
      </c>
      <c r="DQ358" s="6">
        <f t="shared" ref="DQ358" si="918">BY358</f>
        <v>11077</v>
      </c>
      <c r="DR358" s="6">
        <f t="shared" ref="DR358" si="919">CC358+CI358+AA358</f>
        <v>15711</v>
      </c>
      <c r="DS358" s="6">
        <f t="shared" ref="DS358" si="920">BP358+BV358</f>
        <v>112405</v>
      </c>
      <c r="DT358" s="6">
        <f t="shared" ref="DT358" si="921">BG358+BJ358+BL358+BM358+BX358</f>
        <v>13333</v>
      </c>
      <c r="DU358" s="6"/>
      <c r="DV358" s="6"/>
      <c r="DW358" s="6">
        <f t="shared" ref="DW358" si="922">SUM(DK358:DT358)</f>
        <v>1023279</v>
      </c>
      <c r="DX358" s="258"/>
      <c r="DY358" s="6">
        <f t="shared" ref="DY358" si="923">DO358+DT358+H358+I358+J358+K358+CG358</f>
        <v>603230</v>
      </c>
      <c r="DZ358" s="6">
        <f t="shared" ref="DZ358" si="924">SUM(G358:L358,O358)</f>
        <v>62974</v>
      </c>
      <c r="EA358" s="258"/>
      <c r="EB358" s="6">
        <f t="shared" ref="EB358" si="925">DZ358+DF358</f>
        <v>1138370</v>
      </c>
      <c r="EC358" s="6"/>
      <c r="ED358" s="6"/>
      <c r="EE358" s="258"/>
      <c r="EF358" s="6">
        <f t="shared" si="864"/>
        <v>629883</v>
      </c>
      <c r="EG358" s="6">
        <f t="shared" ref="EG358" si="926">SUM(M358:BC358)-AQ358</f>
        <v>269874</v>
      </c>
      <c r="EH358" s="6">
        <f t="shared" ref="EH358" si="927">SUM(EF358:EG358)</f>
        <v>899757</v>
      </c>
      <c r="EI358" s="36">
        <f t="shared" ref="EI358" si="928">(EF358-EF357)/EF357</f>
        <v>-1.9884716179345879E-3</v>
      </c>
      <c r="EJ358" s="36">
        <f t="shared" ref="EJ358" si="929">(EG358-EG357)/EG357</f>
        <v>-2.482023849656036E-4</v>
      </c>
      <c r="EM358" s="104"/>
      <c r="EN358" s="104"/>
      <c r="FC358" s="6">
        <f t="shared" si="884"/>
        <v>83074</v>
      </c>
      <c r="FD358" s="6">
        <f t="shared" si="885"/>
        <v>197073</v>
      </c>
      <c r="FE358" s="32">
        <f t="shared" si="886"/>
        <v>476024</v>
      </c>
      <c r="FF358" s="34">
        <f t="shared" si="887"/>
        <v>13333</v>
      </c>
      <c r="FG358" s="31">
        <f t="shared" si="888"/>
        <v>238064</v>
      </c>
      <c r="FH358" s="6">
        <f t="shared" si="889"/>
        <v>15711</v>
      </c>
      <c r="FI358" s="6">
        <f t="shared" si="890"/>
        <v>0</v>
      </c>
    </row>
    <row r="359" spans="2:166" s="260" customFormat="1">
      <c r="B359" s="50">
        <v>42887</v>
      </c>
      <c r="C359" s="260">
        <v>0</v>
      </c>
      <c r="D359" s="260">
        <v>0</v>
      </c>
      <c r="E359" s="260">
        <v>0</v>
      </c>
      <c r="F359" s="260">
        <v>0</v>
      </c>
      <c r="G359" s="260">
        <v>1115</v>
      </c>
      <c r="H359" s="260">
        <v>16653</v>
      </c>
      <c r="I359" s="260">
        <v>40642</v>
      </c>
      <c r="J359" s="260">
        <v>870</v>
      </c>
      <c r="K359" s="260">
        <v>2125</v>
      </c>
      <c r="L359" s="260">
        <v>1172</v>
      </c>
      <c r="M359" s="260">
        <v>31498</v>
      </c>
      <c r="N359" s="260">
        <v>1500</v>
      </c>
      <c r="O359" s="260">
        <v>640</v>
      </c>
      <c r="P359" s="260">
        <v>1607</v>
      </c>
      <c r="Q359" s="260">
        <v>10025</v>
      </c>
      <c r="R359" s="260">
        <v>237</v>
      </c>
      <c r="S359" s="260">
        <v>5067</v>
      </c>
      <c r="T359" s="260">
        <v>13334</v>
      </c>
      <c r="U359" s="260">
        <v>44</v>
      </c>
      <c r="V359" s="260">
        <v>4256</v>
      </c>
      <c r="W359" s="260">
        <v>42</v>
      </c>
      <c r="X359" s="260">
        <v>16578</v>
      </c>
      <c r="Y359" s="260">
        <v>431</v>
      </c>
      <c r="Z359" s="260">
        <v>5</v>
      </c>
      <c r="AA359" s="260">
        <v>3</v>
      </c>
      <c r="AB359" s="260">
        <v>1</v>
      </c>
      <c r="AC359" s="260">
        <v>167</v>
      </c>
      <c r="AD359" s="260">
        <v>20</v>
      </c>
      <c r="AE359" s="260">
        <v>27</v>
      </c>
      <c r="AF359" s="260">
        <v>17</v>
      </c>
      <c r="AG359" s="260">
        <v>48</v>
      </c>
      <c r="AH359" s="260">
        <v>98</v>
      </c>
      <c r="AI359" s="260">
        <v>2287</v>
      </c>
      <c r="AJ359" s="260">
        <v>1</v>
      </c>
      <c r="AK359" s="260">
        <v>16193</v>
      </c>
      <c r="AL359" s="260">
        <v>109719</v>
      </c>
      <c r="AM359" s="260">
        <v>2419</v>
      </c>
      <c r="AN359" s="260">
        <v>21280</v>
      </c>
      <c r="AO359" s="260">
        <v>16</v>
      </c>
      <c r="AP359" s="260">
        <v>142</v>
      </c>
      <c r="AQ359" s="260">
        <v>10602</v>
      </c>
      <c r="AR359" s="260">
        <v>0</v>
      </c>
      <c r="AS359" s="260">
        <v>868</v>
      </c>
      <c r="AT359" s="260">
        <v>37</v>
      </c>
      <c r="AU359" s="260">
        <v>10237</v>
      </c>
      <c r="AV359" s="260">
        <v>2157</v>
      </c>
      <c r="AW359" s="260">
        <v>3342</v>
      </c>
      <c r="AX359" s="260">
        <v>15168</v>
      </c>
      <c r="AY359" s="260">
        <v>11</v>
      </c>
      <c r="AZ359" s="260">
        <v>8</v>
      </c>
      <c r="BA359" s="260">
        <v>964</v>
      </c>
      <c r="BB359" s="260">
        <v>2</v>
      </c>
      <c r="BC359" s="260">
        <v>123</v>
      </c>
      <c r="BD359" s="260">
        <v>843</v>
      </c>
      <c r="BE359" s="260">
        <v>0</v>
      </c>
      <c r="BF359" s="260">
        <v>0</v>
      </c>
      <c r="BG359" s="260">
        <v>7888</v>
      </c>
      <c r="BH359" s="260">
        <v>0</v>
      </c>
      <c r="BI359" s="260">
        <v>0</v>
      </c>
      <c r="BJ359" s="260">
        <v>0</v>
      </c>
      <c r="BK359" s="260">
        <v>44</v>
      </c>
      <c r="BL359" s="260">
        <v>5493</v>
      </c>
      <c r="BM359" s="260">
        <v>0</v>
      </c>
      <c r="BN359" s="260">
        <v>443</v>
      </c>
      <c r="BO359" s="260">
        <v>0</v>
      </c>
      <c r="BP359" s="260">
        <v>112320</v>
      </c>
      <c r="BQ359" s="260">
        <v>84151</v>
      </c>
      <c r="BR359" s="260">
        <v>2523</v>
      </c>
      <c r="BS359" s="260">
        <v>29</v>
      </c>
      <c r="BT359" s="260">
        <v>30344</v>
      </c>
      <c r="BU359" s="260">
        <v>1806</v>
      </c>
      <c r="BV359" s="260">
        <v>0</v>
      </c>
      <c r="BW359" s="260">
        <v>0</v>
      </c>
      <c r="BX359" s="260">
        <v>3</v>
      </c>
      <c r="BY359" s="260">
        <v>11425</v>
      </c>
      <c r="BZ359" s="260">
        <v>382</v>
      </c>
      <c r="CA359" s="260">
        <v>0</v>
      </c>
      <c r="CB359" s="260">
        <v>25231</v>
      </c>
      <c r="CC359" s="260">
        <v>15927</v>
      </c>
      <c r="CD359" s="260">
        <v>131099</v>
      </c>
      <c r="CE359" s="260">
        <v>278784</v>
      </c>
      <c r="CF359" s="260">
        <v>34990</v>
      </c>
      <c r="CG359" s="260">
        <v>54576</v>
      </c>
      <c r="CH359" s="260">
        <v>0</v>
      </c>
      <c r="CI359" s="260">
        <v>6</v>
      </c>
      <c r="CJ359" s="260">
        <v>2</v>
      </c>
      <c r="CK359" s="260">
        <v>78</v>
      </c>
      <c r="CL359" s="289"/>
      <c r="CM359" s="289"/>
      <c r="CN359" s="289"/>
      <c r="CO359" s="289"/>
      <c r="CP359" s="289"/>
      <c r="CQ359" s="289"/>
      <c r="CR359" s="260">
        <v>391</v>
      </c>
      <c r="CS359" s="260">
        <v>16</v>
      </c>
      <c r="CT359" s="260">
        <v>0</v>
      </c>
      <c r="CU359" s="260">
        <v>0</v>
      </c>
      <c r="CV359" s="260">
        <v>0</v>
      </c>
      <c r="CW359" s="260">
        <v>14</v>
      </c>
      <c r="CX359" s="260">
        <v>0</v>
      </c>
      <c r="CY359" s="260">
        <v>26</v>
      </c>
      <c r="DA359" s="6"/>
      <c r="DC359" s="6"/>
      <c r="DD359" s="6">
        <f t="shared" ref="DD359" si="930">SUM(AY359:AZ359,BE359:CK359)</f>
        <v>797563</v>
      </c>
      <c r="DE359" s="6">
        <f t="shared" ref="DE359" si="931">SUM(M359:N359,P359:AX359,BB359:BC359)+CR359+CS359</f>
        <v>280005</v>
      </c>
      <c r="DF359" s="8">
        <f t="shared" ref="DF359" si="932">SUM(DD359:DE359)</f>
        <v>1077568</v>
      </c>
      <c r="DK359" s="6">
        <f t="shared" si="912"/>
        <v>70854</v>
      </c>
      <c r="DL359" s="6">
        <f t="shared" ref="DL359" si="933">SUM(Y359:Z359,AB359:AF359,AH359:AM359,AO359,AS359:AW359,BA359:BC359)+CR359+CS359</f>
        <v>149538</v>
      </c>
      <c r="DM359" s="6">
        <f t="shared" ref="DM359" si="934">T359</f>
        <v>13334</v>
      </c>
      <c r="DN359" s="6">
        <f t="shared" ref="DN359" si="935">AG359+AX359+AN359+AP359+AQ359+AR359</f>
        <v>47240</v>
      </c>
      <c r="DO359" s="6">
        <f t="shared" ref="DO359" si="936">SUM(AY359,BF359,BI359,BK359,BO359,BR359:BS359,BU359,BW359,BZ359:CB359,CD359:CF359,CJ359:CK359)</f>
        <v>474979</v>
      </c>
      <c r="DP359" s="6">
        <f t="shared" ref="DP359" si="937">SUM(AZ359,BD359:BE359,BH359,BN359,BQ359,BT359)</f>
        <v>115789</v>
      </c>
      <c r="DQ359" s="6">
        <f t="shared" ref="DQ359" si="938">BY359</f>
        <v>11425</v>
      </c>
      <c r="DR359" s="6">
        <f t="shared" ref="DR359" si="939">CC359+CI359+AA359</f>
        <v>15936</v>
      </c>
      <c r="DS359" s="6">
        <f t="shared" ref="DS359" si="940">BP359+BV359</f>
        <v>112320</v>
      </c>
      <c r="DT359" s="6">
        <f t="shared" ref="DT359" si="941">BG359+BJ359+BL359+BM359+BX359</f>
        <v>13384</v>
      </c>
      <c r="DU359" s="6"/>
      <c r="DV359" s="6"/>
      <c r="DW359" s="6">
        <f t="shared" ref="DW359" si="942">SUM(DK359:DT359)</f>
        <v>1024799</v>
      </c>
      <c r="DY359" s="6">
        <f t="shared" ref="DY359" si="943">DO359+DT359+H359+I359+J359+K359+CG359</f>
        <v>603229</v>
      </c>
      <c r="DZ359" s="6">
        <f t="shared" ref="DZ359" si="944">SUM(G359:L359,O359)</f>
        <v>63217</v>
      </c>
      <c r="EB359" s="6">
        <f t="shared" ref="EB359" si="945">DZ359+DF359</f>
        <v>1140785</v>
      </c>
      <c r="EC359" s="6"/>
      <c r="ED359" s="6"/>
      <c r="EF359" s="6">
        <f t="shared" si="864"/>
        <v>630648</v>
      </c>
      <c r="EG359" s="6">
        <f t="shared" ref="EG359" si="946">SUM(M359:BC359)-AQ359</f>
        <v>270619</v>
      </c>
      <c r="EH359" s="6">
        <f t="shared" ref="EH359" si="947">SUM(EF359:EG359)</f>
        <v>901267</v>
      </c>
      <c r="EI359" s="36">
        <f t="shared" ref="EI359" si="948">(EF359-EF358)/EF358</f>
        <v>1.2145112663780417E-3</v>
      </c>
      <c r="EJ359" s="36">
        <f t="shared" ref="EJ359" si="949">(EG359-EG358)/EG358</f>
        <v>2.7605475147661502E-3</v>
      </c>
      <c r="EM359" s="104"/>
      <c r="EN359" s="104"/>
      <c r="FC359" s="6">
        <f t="shared" si="884"/>
        <v>84188</v>
      </c>
      <c r="FD359" s="6">
        <f t="shared" si="885"/>
        <v>196778</v>
      </c>
      <c r="FE359" s="32">
        <f t="shared" si="886"/>
        <v>474979</v>
      </c>
      <c r="FF359" s="34">
        <f t="shared" si="887"/>
        <v>13384</v>
      </c>
      <c r="FG359" s="31">
        <f t="shared" si="888"/>
        <v>239534</v>
      </c>
      <c r="FH359" s="6">
        <f t="shared" si="889"/>
        <v>15936</v>
      </c>
      <c r="FI359" s="6">
        <f t="shared" si="890"/>
        <v>0</v>
      </c>
    </row>
    <row r="360" spans="2:166" s="261" customFormat="1">
      <c r="B360" s="50">
        <v>42917</v>
      </c>
      <c r="C360" s="261">
        <v>0</v>
      </c>
      <c r="D360" s="261">
        <v>0</v>
      </c>
      <c r="E360" s="261">
        <v>0</v>
      </c>
      <c r="F360" s="261">
        <v>0</v>
      </c>
      <c r="G360" s="261">
        <v>1160</v>
      </c>
      <c r="H360" s="261">
        <v>16974</v>
      </c>
      <c r="I360" s="261">
        <v>41381</v>
      </c>
      <c r="J360" s="261">
        <v>879</v>
      </c>
      <c r="K360" s="261">
        <v>2119</v>
      </c>
      <c r="L360" s="261">
        <v>1149</v>
      </c>
      <c r="M360" s="261">
        <v>31892</v>
      </c>
      <c r="N360" s="261">
        <v>1525</v>
      </c>
      <c r="O360" s="261">
        <v>656</v>
      </c>
      <c r="P360" s="261">
        <v>1621</v>
      </c>
      <c r="Q360" s="261">
        <v>10059</v>
      </c>
      <c r="R360" s="261">
        <v>237</v>
      </c>
      <c r="S360" s="261">
        <v>5048</v>
      </c>
      <c r="T360" s="261">
        <v>13478</v>
      </c>
      <c r="U360" s="261">
        <v>35</v>
      </c>
      <c r="V360" s="261">
        <v>4325</v>
      </c>
      <c r="W360" s="261">
        <v>46</v>
      </c>
      <c r="X360" s="261">
        <v>16812</v>
      </c>
      <c r="Y360" s="261">
        <v>421</v>
      </c>
      <c r="Z360" s="261">
        <v>4</v>
      </c>
      <c r="AA360" s="261">
        <v>4</v>
      </c>
      <c r="AB360" s="261">
        <v>1</v>
      </c>
      <c r="AC360" s="261">
        <v>153</v>
      </c>
      <c r="AD360" s="261">
        <v>19</v>
      </c>
      <c r="AE360" s="261">
        <v>29</v>
      </c>
      <c r="AF360" s="261">
        <v>18</v>
      </c>
      <c r="AG360" s="261">
        <v>45</v>
      </c>
      <c r="AH360" s="261">
        <v>97</v>
      </c>
      <c r="AI360" s="261">
        <v>2344</v>
      </c>
      <c r="AJ360" s="261">
        <v>2</v>
      </c>
      <c r="AK360" s="261">
        <v>16392</v>
      </c>
      <c r="AL360" s="261">
        <v>109586</v>
      </c>
      <c r="AM360" s="261">
        <v>2356</v>
      </c>
      <c r="AN360" s="261">
        <v>21221</v>
      </c>
      <c r="AO360" s="261">
        <v>14</v>
      </c>
      <c r="AP360" s="261">
        <v>155</v>
      </c>
      <c r="AQ360" s="261">
        <v>10674</v>
      </c>
      <c r="AR360" s="261">
        <v>0</v>
      </c>
      <c r="AS360" s="261">
        <v>831</v>
      </c>
      <c r="AT360" s="261">
        <v>35</v>
      </c>
      <c r="AU360" s="261">
        <v>10156</v>
      </c>
      <c r="AV360" s="261">
        <v>2134</v>
      </c>
      <c r="AW360" s="261">
        <v>3264</v>
      </c>
      <c r="AX360" s="261">
        <v>15057</v>
      </c>
      <c r="AY360" s="261">
        <v>7</v>
      </c>
      <c r="AZ360" s="261">
        <v>3</v>
      </c>
      <c r="BA360" s="261">
        <v>963</v>
      </c>
      <c r="BB360" s="261">
        <v>1</v>
      </c>
      <c r="BC360" s="261">
        <v>133</v>
      </c>
      <c r="BD360" s="261">
        <v>851</v>
      </c>
      <c r="BE360" s="261">
        <v>0</v>
      </c>
      <c r="BF360" s="261">
        <v>0</v>
      </c>
      <c r="BG360" s="261">
        <v>7917</v>
      </c>
      <c r="BH360" s="261">
        <v>0</v>
      </c>
      <c r="BI360" s="261">
        <v>0</v>
      </c>
      <c r="BJ360" s="261">
        <v>0</v>
      </c>
      <c r="BK360" s="261">
        <v>42</v>
      </c>
      <c r="BL360" s="261">
        <v>5496</v>
      </c>
      <c r="BM360" s="261">
        <v>0</v>
      </c>
      <c r="BN360" s="261">
        <v>410</v>
      </c>
      <c r="BO360" s="261">
        <v>0</v>
      </c>
      <c r="BP360" s="261">
        <v>113129</v>
      </c>
      <c r="BQ360" s="261">
        <v>84812</v>
      </c>
      <c r="BR360" s="261">
        <v>2706</v>
      </c>
      <c r="BS360" s="261">
        <v>28</v>
      </c>
      <c r="BT360" s="261">
        <v>30753</v>
      </c>
      <c r="BU360" s="261">
        <v>1921</v>
      </c>
      <c r="BV360" s="261">
        <v>0</v>
      </c>
      <c r="BW360" s="261">
        <v>0</v>
      </c>
      <c r="BX360" s="261">
        <v>3</v>
      </c>
      <c r="BY360" s="261">
        <v>11734</v>
      </c>
      <c r="BZ360" s="261">
        <v>375</v>
      </c>
      <c r="CA360" s="261">
        <v>0</v>
      </c>
      <c r="CB360" s="261">
        <v>25580</v>
      </c>
      <c r="CC360" s="261">
        <v>16145</v>
      </c>
      <c r="CD360" s="261">
        <v>130927</v>
      </c>
      <c r="CE360" s="261">
        <v>278023</v>
      </c>
      <c r="CF360" s="261">
        <v>35268</v>
      </c>
      <c r="CG360" s="261">
        <v>55896</v>
      </c>
      <c r="CH360" s="261">
        <v>0</v>
      </c>
      <c r="CI360" s="261">
        <v>6</v>
      </c>
      <c r="CJ360" s="261">
        <v>1</v>
      </c>
      <c r="CK360" s="261">
        <v>75</v>
      </c>
      <c r="CL360" s="289"/>
      <c r="CM360" s="289"/>
      <c r="CN360" s="289"/>
      <c r="CO360" s="289"/>
      <c r="CP360" s="289"/>
      <c r="CQ360" s="289"/>
      <c r="CR360" s="261">
        <v>404</v>
      </c>
      <c r="CS360" s="261">
        <v>18</v>
      </c>
      <c r="CT360" s="261">
        <v>0</v>
      </c>
      <c r="CU360" s="261">
        <v>0</v>
      </c>
      <c r="CV360" s="261">
        <v>0</v>
      </c>
      <c r="CW360" s="261">
        <v>14</v>
      </c>
      <c r="CX360" s="261">
        <v>0</v>
      </c>
      <c r="CY360" s="261">
        <v>26</v>
      </c>
      <c r="DA360" s="6"/>
      <c r="DC360" s="6"/>
      <c r="DD360" s="6">
        <f t="shared" ref="DD360" si="950">SUM(AY360:AZ360,BE360:CK360)</f>
        <v>801257</v>
      </c>
      <c r="DE360" s="6">
        <f t="shared" ref="DE360" si="951">SUM(M360:N360,P360:AX360,BB360:BC360)+CR360+CS360</f>
        <v>280646</v>
      </c>
      <c r="DF360" s="8">
        <f t="shared" ref="DF360" si="952">SUM(DD360:DE360)</f>
        <v>1081903</v>
      </c>
      <c r="DK360" s="6">
        <f t="shared" si="912"/>
        <v>71600</v>
      </c>
      <c r="DL360" s="6">
        <f t="shared" ref="DL360" si="953">SUM(Y360:Z360,AB360:AF360,AH360:AM360,AO360,AS360:AW360,BA360:BC360)+CR360+CS360</f>
        <v>149375</v>
      </c>
      <c r="DM360" s="6">
        <f t="shared" ref="DM360" si="954">T360</f>
        <v>13478</v>
      </c>
      <c r="DN360" s="6">
        <f t="shared" ref="DN360" si="955">AG360+AX360+AN360+AP360+AQ360+AR360</f>
        <v>47152</v>
      </c>
      <c r="DO360" s="6">
        <f t="shared" ref="DO360" si="956">SUM(AY360,BF360,BI360,BK360,BO360,BR360:BS360,BU360,BW360,BZ360:CB360,CD360:CF360,CJ360:CK360)</f>
        <v>474953</v>
      </c>
      <c r="DP360" s="6">
        <f t="shared" ref="DP360" si="957">SUM(AZ360,BD360:BE360,BH360,BN360,BQ360,BT360)</f>
        <v>116829</v>
      </c>
      <c r="DQ360" s="6">
        <f t="shared" ref="DQ360" si="958">BY360</f>
        <v>11734</v>
      </c>
      <c r="DR360" s="6">
        <f t="shared" ref="DR360" si="959">CC360+CI360+AA360</f>
        <v>16155</v>
      </c>
      <c r="DS360" s="6">
        <f t="shared" ref="DS360" si="960">BP360+BV360</f>
        <v>113129</v>
      </c>
      <c r="DT360" s="6">
        <f t="shared" ref="DT360" si="961">BG360+BJ360+BL360+BM360+BX360</f>
        <v>13416</v>
      </c>
      <c r="DU360" s="6"/>
      <c r="DV360" s="6"/>
      <c r="DW360" s="6">
        <f t="shared" ref="DW360:DW365" si="962">SUM(DK360:DT360)</f>
        <v>1027821</v>
      </c>
      <c r="DY360" s="6">
        <f t="shared" ref="DY360" si="963">DO360+DT360+H360+I360+J360+K360+CG360</f>
        <v>605618</v>
      </c>
      <c r="DZ360" s="6">
        <f t="shared" ref="DZ360" si="964">SUM(G360:L360,O360)</f>
        <v>64318</v>
      </c>
      <c r="EB360" s="6">
        <f t="shared" ref="EB360" si="965">DZ360+DF360</f>
        <v>1146221</v>
      </c>
      <c r="EC360" s="6"/>
      <c r="ED360" s="6"/>
      <c r="EF360" s="6">
        <f t="shared" si="864"/>
        <v>632222</v>
      </c>
      <c r="EG360" s="6">
        <f t="shared" ref="EG360" si="966">SUM(M360:BC360)-AQ360</f>
        <v>271179</v>
      </c>
      <c r="EH360" s="6">
        <f t="shared" ref="EH360" si="967">SUM(EF360:EG360)</f>
        <v>903401</v>
      </c>
      <c r="EI360" s="36">
        <f t="shared" ref="EI360" si="968">(EF360-EF359)/EF359</f>
        <v>2.4958455429970445E-3</v>
      </c>
      <c r="EJ360" s="36">
        <f t="shared" ref="EJ360" si="969">(EG360-EG359)/EG359</f>
        <v>2.0693299435738067E-3</v>
      </c>
      <c r="EM360" s="104"/>
      <c r="EN360" s="104"/>
      <c r="FC360" s="6">
        <f t="shared" si="884"/>
        <v>85078</v>
      </c>
      <c r="FD360" s="6">
        <f t="shared" si="885"/>
        <v>196527</v>
      </c>
      <c r="FE360" s="32">
        <f t="shared" si="886"/>
        <v>474953</v>
      </c>
      <c r="FF360" s="34">
        <f t="shared" si="887"/>
        <v>13416</v>
      </c>
      <c r="FG360" s="31">
        <f t="shared" si="888"/>
        <v>241692</v>
      </c>
      <c r="FH360" s="6">
        <f t="shared" si="889"/>
        <v>16155</v>
      </c>
      <c r="FI360" s="6">
        <f t="shared" si="890"/>
        <v>0</v>
      </c>
    </row>
    <row r="361" spans="2:166" s="262" customFormat="1">
      <c r="B361" s="50">
        <v>42948</v>
      </c>
      <c r="C361" s="262">
        <v>0</v>
      </c>
      <c r="D361" s="262">
        <v>0</v>
      </c>
      <c r="E361" s="262">
        <v>0</v>
      </c>
      <c r="F361" s="262">
        <v>0</v>
      </c>
      <c r="G361" s="262">
        <v>1154</v>
      </c>
      <c r="H361" s="262">
        <v>17180</v>
      </c>
      <c r="I361" s="262">
        <v>41982</v>
      </c>
      <c r="J361" s="262">
        <v>898</v>
      </c>
      <c r="K361" s="262">
        <v>2070</v>
      </c>
      <c r="L361" s="262">
        <v>1174</v>
      </c>
      <c r="M361" s="262">
        <v>32039</v>
      </c>
      <c r="N361" s="262">
        <v>1532</v>
      </c>
      <c r="O361" s="262">
        <v>666</v>
      </c>
      <c r="P361" s="262">
        <v>1638</v>
      </c>
      <c r="Q361" s="262">
        <v>10057</v>
      </c>
      <c r="R361" s="262">
        <v>232</v>
      </c>
      <c r="S361" s="262">
        <v>5033</v>
      </c>
      <c r="T361" s="262">
        <v>13536</v>
      </c>
      <c r="U361" s="262">
        <v>36</v>
      </c>
      <c r="V361" s="262">
        <v>4388</v>
      </c>
      <c r="W361" s="262">
        <v>47</v>
      </c>
      <c r="X361" s="262">
        <v>16991</v>
      </c>
      <c r="Y361" s="262">
        <v>408</v>
      </c>
      <c r="Z361" s="262">
        <v>4</v>
      </c>
      <c r="AA361" s="262">
        <v>1</v>
      </c>
      <c r="AB361" s="262">
        <v>0</v>
      </c>
      <c r="AC361" s="262">
        <v>150</v>
      </c>
      <c r="AD361" s="262">
        <v>19</v>
      </c>
      <c r="AE361" s="262">
        <v>28</v>
      </c>
      <c r="AF361" s="262">
        <v>17</v>
      </c>
      <c r="AG361" s="262">
        <v>45</v>
      </c>
      <c r="AH361" s="262">
        <v>101</v>
      </c>
      <c r="AI361" s="262">
        <v>2368</v>
      </c>
      <c r="AJ361" s="262">
        <v>2</v>
      </c>
      <c r="AK361" s="262">
        <v>16454</v>
      </c>
      <c r="AL361" s="262">
        <v>109950</v>
      </c>
      <c r="AM361" s="262">
        <v>2319</v>
      </c>
      <c r="AN361" s="262">
        <v>21301</v>
      </c>
      <c r="AO361" s="262">
        <v>13</v>
      </c>
      <c r="AP361" s="262">
        <v>165</v>
      </c>
      <c r="AQ361" s="262">
        <v>10715</v>
      </c>
      <c r="AR361" s="262">
        <v>0</v>
      </c>
      <c r="AS361" s="262">
        <v>811</v>
      </c>
      <c r="AT361" s="262">
        <v>35</v>
      </c>
      <c r="AU361" s="262">
        <v>10145</v>
      </c>
      <c r="AV361" s="262">
        <v>2142</v>
      </c>
      <c r="AW361" s="262">
        <v>3258</v>
      </c>
      <c r="AX361" s="262">
        <v>15101</v>
      </c>
      <c r="AY361" s="262">
        <v>7</v>
      </c>
      <c r="AZ361" s="262">
        <v>3</v>
      </c>
      <c r="BA361" s="262">
        <v>957</v>
      </c>
      <c r="BB361" s="262">
        <v>1</v>
      </c>
      <c r="BC361" s="262">
        <v>112</v>
      </c>
      <c r="BD361" s="262">
        <v>869</v>
      </c>
      <c r="BE361" s="262">
        <v>0</v>
      </c>
      <c r="BF361" s="262">
        <v>0</v>
      </c>
      <c r="BG361" s="262">
        <v>7901</v>
      </c>
      <c r="BH361" s="262">
        <v>0</v>
      </c>
      <c r="BI361" s="262">
        <v>0</v>
      </c>
      <c r="BJ361" s="262">
        <v>0</v>
      </c>
      <c r="BK361" s="262">
        <v>40</v>
      </c>
      <c r="BL361" s="262">
        <v>5449</v>
      </c>
      <c r="BM361" s="262">
        <v>0</v>
      </c>
      <c r="BN361" s="262">
        <v>351</v>
      </c>
      <c r="BO361" s="262">
        <v>0</v>
      </c>
      <c r="BP361" s="262">
        <v>113898</v>
      </c>
      <c r="BQ361" s="262">
        <v>85364</v>
      </c>
      <c r="BR361" s="262">
        <v>2811</v>
      </c>
      <c r="BS361" s="262">
        <v>28</v>
      </c>
      <c r="BT361" s="262">
        <v>31106</v>
      </c>
      <c r="BU361" s="262">
        <v>2023</v>
      </c>
      <c r="BV361" s="262">
        <v>0</v>
      </c>
      <c r="BW361" s="262">
        <v>0</v>
      </c>
      <c r="BX361" s="262">
        <v>2</v>
      </c>
      <c r="BY361" s="262">
        <v>11940</v>
      </c>
      <c r="BZ361" s="262">
        <v>356</v>
      </c>
      <c r="CA361" s="262">
        <v>0</v>
      </c>
      <c r="CB361" s="262">
        <v>25868</v>
      </c>
      <c r="CC361" s="262">
        <v>16209</v>
      </c>
      <c r="CD361" s="262">
        <v>130687</v>
      </c>
      <c r="CE361" s="262">
        <v>278014</v>
      </c>
      <c r="CF361" s="262">
        <v>35691</v>
      </c>
      <c r="CG361" s="262">
        <v>56921</v>
      </c>
      <c r="CH361" s="262">
        <v>0</v>
      </c>
      <c r="CI361" s="262">
        <v>8</v>
      </c>
      <c r="CJ361" s="262">
        <v>0</v>
      </c>
      <c r="CK361" s="262">
        <v>72</v>
      </c>
      <c r="CL361" s="289"/>
      <c r="CM361" s="289"/>
      <c r="CN361" s="289"/>
      <c r="CO361" s="289"/>
      <c r="CP361" s="289"/>
      <c r="CQ361" s="289"/>
      <c r="CR361" s="262">
        <v>425</v>
      </c>
      <c r="CS361" s="262">
        <v>24</v>
      </c>
      <c r="CT361" s="262">
        <v>0</v>
      </c>
      <c r="CU361" s="262">
        <v>0</v>
      </c>
      <c r="CV361" s="262">
        <v>0</v>
      </c>
      <c r="CW361" s="262">
        <v>14</v>
      </c>
      <c r="CX361" s="262">
        <v>0</v>
      </c>
      <c r="CY361" s="262">
        <v>26</v>
      </c>
      <c r="DA361" s="6"/>
      <c r="DC361" s="6"/>
      <c r="DD361" s="6">
        <f t="shared" ref="DD361" si="970">SUM(AY361:AZ361,BE361:CK361)</f>
        <v>804749</v>
      </c>
      <c r="DE361" s="6">
        <f t="shared" ref="DE361" si="971">SUM(M361:N361,P361:AX361,BB361:BC361)+CR361+CS361</f>
        <v>281643</v>
      </c>
      <c r="DF361" s="8">
        <f t="shared" ref="DF361" si="972">SUM(DD361:DE361)</f>
        <v>1086392</v>
      </c>
      <c r="DK361" s="6">
        <f t="shared" si="912"/>
        <v>71993</v>
      </c>
      <c r="DL361" s="6">
        <f t="shared" ref="DL361" si="973">SUM(Y361:Z361,AB361:AF361,AH361:AM361,AO361,AS361:AW361,BA361:BC361)+CR361+CS361</f>
        <v>149743</v>
      </c>
      <c r="DM361" s="6">
        <f t="shared" ref="DM361" si="974">T361</f>
        <v>13536</v>
      </c>
      <c r="DN361" s="6">
        <f t="shared" ref="DN361" si="975">AG361+AX361+AN361+AP361+AQ361+AR361</f>
        <v>47327</v>
      </c>
      <c r="DO361" s="6">
        <f t="shared" ref="DO361" si="976">SUM(AY361,BF361,BI361,BK361,BO361,BR361:BS361,BU361,BW361,BZ361:CB361,CD361:CF361,CJ361:CK361)</f>
        <v>475597</v>
      </c>
      <c r="DP361" s="6">
        <f t="shared" ref="DP361" si="977">SUM(AZ361,BD361:BE361,BH361,BN361,BQ361,BT361)</f>
        <v>117693</v>
      </c>
      <c r="DQ361" s="6">
        <f t="shared" ref="DQ361" si="978">BY361</f>
        <v>11940</v>
      </c>
      <c r="DR361" s="6">
        <f t="shared" ref="DR361" si="979">CC361+CI361+AA361</f>
        <v>16218</v>
      </c>
      <c r="DS361" s="6">
        <f t="shared" ref="DS361" si="980">BP361+BV361</f>
        <v>113898</v>
      </c>
      <c r="DT361" s="6">
        <f t="shared" ref="DT361" si="981">BG361+BJ361+BL361+BM361+BX361</f>
        <v>13352</v>
      </c>
      <c r="DU361" s="6"/>
      <c r="DV361" s="6"/>
      <c r="DW361" s="6">
        <f t="shared" si="962"/>
        <v>1031297</v>
      </c>
      <c r="DY361" s="6">
        <f t="shared" ref="DY361" si="982">DO361+DT361+H361+I361+J361+K361+CG361</f>
        <v>608000</v>
      </c>
      <c r="DZ361" s="6">
        <f t="shared" ref="DZ361" si="983">SUM(G361:L361,O361)</f>
        <v>65124</v>
      </c>
      <c r="EB361" s="6">
        <f t="shared" ref="EB361" si="984">DZ361+DF361</f>
        <v>1151516</v>
      </c>
      <c r="EC361" s="6"/>
      <c r="ED361" s="6"/>
      <c r="EF361" s="6">
        <f t="shared" ref="EF361" si="985">SUM(BE361:CK361)-CG361-BP361</f>
        <v>633920</v>
      </c>
      <c r="EG361" s="6">
        <f t="shared" ref="EG361" si="986">SUM(M361:BC361)-AQ361</f>
        <v>272112</v>
      </c>
      <c r="EH361" s="6">
        <f t="shared" ref="EH361" si="987">SUM(EF361:EG361)</f>
        <v>906032</v>
      </c>
      <c r="EI361" s="36">
        <f t="shared" ref="EI361" si="988">(EF361-EF360)/EF360</f>
        <v>2.6857654431512983E-3</v>
      </c>
      <c r="EJ361" s="36">
        <f t="shared" ref="EJ361" si="989">(EG361-EG360)/EG360</f>
        <v>3.4405318995939949E-3</v>
      </c>
      <c r="EM361" s="104"/>
      <c r="EN361" s="104"/>
      <c r="FC361" s="6">
        <f t="shared" si="884"/>
        <v>85529</v>
      </c>
      <c r="FD361" s="6">
        <f t="shared" si="885"/>
        <v>197070</v>
      </c>
      <c r="FE361" s="32">
        <f t="shared" si="886"/>
        <v>475597</v>
      </c>
      <c r="FF361" s="34">
        <f t="shared" si="887"/>
        <v>13352</v>
      </c>
      <c r="FG361" s="31">
        <f t="shared" si="888"/>
        <v>243531</v>
      </c>
      <c r="FH361" s="6">
        <f t="shared" si="889"/>
        <v>16218</v>
      </c>
      <c r="FI361" s="6">
        <f t="shared" si="890"/>
        <v>0</v>
      </c>
    </row>
    <row r="362" spans="2:166" s="258" customFormat="1">
      <c r="B362" s="50">
        <v>42979</v>
      </c>
      <c r="C362" s="263">
        <v>0</v>
      </c>
      <c r="D362" s="263">
        <v>0</v>
      </c>
      <c r="E362" s="263">
        <v>0</v>
      </c>
      <c r="F362" s="263">
        <v>0</v>
      </c>
      <c r="G362" s="263">
        <v>1146</v>
      </c>
      <c r="H362" s="263">
        <v>17510</v>
      </c>
      <c r="I362" s="263">
        <v>42745</v>
      </c>
      <c r="J362" s="263">
        <v>881</v>
      </c>
      <c r="K362" s="263">
        <v>2029</v>
      </c>
      <c r="L362" s="263">
        <v>1193</v>
      </c>
      <c r="M362" s="263">
        <v>32168</v>
      </c>
      <c r="N362" s="263">
        <v>1536</v>
      </c>
      <c r="O362" s="263">
        <v>674</v>
      </c>
      <c r="P362" s="263">
        <v>1658</v>
      </c>
      <c r="Q362" s="263">
        <v>9989</v>
      </c>
      <c r="R362" s="263">
        <v>230</v>
      </c>
      <c r="S362" s="263">
        <v>5027</v>
      </c>
      <c r="T362" s="263">
        <v>13620</v>
      </c>
      <c r="U362" s="263">
        <v>35</v>
      </c>
      <c r="V362" s="263">
        <v>4377</v>
      </c>
      <c r="W362" s="263">
        <v>43</v>
      </c>
      <c r="X362" s="263">
        <v>17118</v>
      </c>
      <c r="Y362" s="263">
        <v>396</v>
      </c>
      <c r="Z362" s="263">
        <v>4</v>
      </c>
      <c r="AA362" s="263">
        <v>1</v>
      </c>
      <c r="AB362" s="263">
        <v>0</v>
      </c>
      <c r="AC362" s="263">
        <v>142</v>
      </c>
      <c r="AD362" s="263">
        <v>18</v>
      </c>
      <c r="AE362" s="263">
        <v>30</v>
      </c>
      <c r="AF362" s="263">
        <v>18</v>
      </c>
      <c r="AG362" s="263">
        <v>41</v>
      </c>
      <c r="AH362" s="263">
        <v>101</v>
      </c>
      <c r="AI362" s="263">
        <v>2387</v>
      </c>
      <c r="AJ362" s="263">
        <v>2</v>
      </c>
      <c r="AK362" s="263">
        <v>16566</v>
      </c>
      <c r="AL362" s="263">
        <v>110172</v>
      </c>
      <c r="AM362" s="263">
        <v>2331</v>
      </c>
      <c r="AN362" s="263">
        <v>21314</v>
      </c>
      <c r="AO362" s="263">
        <v>13</v>
      </c>
      <c r="AP362" s="263">
        <v>186</v>
      </c>
      <c r="AQ362" s="263">
        <v>10834</v>
      </c>
      <c r="AR362" s="263">
        <v>0</v>
      </c>
      <c r="AS362" s="263">
        <v>845</v>
      </c>
      <c r="AT362" s="263">
        <v>35</v>
      </c>
      <c r="AU362" s="263">
        <v>10174</v>
      </c>
      <c r="AV362" s="263">
        <v>2148</v>
      </c>
      <c r="AW362" s="263">
        <v>3227</v>
      </c>
      <c r="AX362" s="263">
        <v>15091</v>
      </c>
      <c r="AY362" s="263">
        <v>15</v>
      </c>
      <c r="AZ362" s="263">
        <v>8</v>
      </c>
      <c r="BA362" s="263">
        <v>944</v>
      </c>
      <c r="BB362" s="263">
        <v>1</v>
      </c>
      <c r="BC362" s="263">
        <v>133</v>
      </c>
      <c r="BD362" s="263">
        <v>891</v>
      </c>
      <c r="BE362" s="263">
        <v>0</v>
      </c>
      <c r="BF362" s="263">
        <v>0</v>
      </c>
      <c r="BG362" s="263">
        <v>7892</v>
      </c>
      <c r="BH362" s="263">
        <v>0</v>
      </c>
      <c r="BI362" s="263">
        <v>0</v>
      </c>
      <c r="BJ362" s="263">
        <v>0</v>
      </c>
      <c r="BK362" s="263">
        <v>42</v>
      </c>
      <c r="BL362" s="263">
        <v>5422</v>
      </c>
      <c r="BM362" s="263">
        <v>0</v>
      </c>
      <c r="BN362" s="263">
        <v>288</v>
      </c>
      <c r="BO362" s="263">
        <v>0</v>
      </c>
      <c r="BP362" s="263">
        <v>115070</v>
      </c>
      <c r="BQ362" s="263">
        <v>85937</v>
      </c>
      <c r="BR362" s="263">
        <v>2943</v>
      </c>
      <c r="BS362" s="263">
        <v>28</v>
      </c>
      <c r="BT362" s="263">
        <v>31211</v>
      </c>
      <c r="BU362" s="263">
        <v>2112</v>
      </c>
      <c r="BV362" s="263">
        <v>0</v>
      </c>
      <c r="BW362" s="263">
        <v>0</v>
      </c>
      <c r="BX362" s="263">
        <v>3</v>
      </c>
      <c r="BY362" s="263">
        <v>12314</v>
      </c>
      <c r="BZ362" s="263">
        <v>338</v>
      </c>
      <c r="CA362" s="263">
        <v>0</v>
      </c>
      <c r="CB362" s="263">
        <v>26381</v>
      </c>
      <c r="CC362" s="263">
        <v>16516</v>
      </c>
      <c r="CD362" s="263">
        <v>130984</v>
      </c>
      <c r="CE362" s="263">
        <v>278422</v>
      </c>
      <c r="CF362" s="263">
        <v>36192</v>
      </c>
      <c r="CG362" s="263">
        <v>58224</v>
      </c>
      <c r="CH362" s="263">
        <v>0</v>
      </c>
      <c r="CI362" s="263">
        <v>3</v>
      </c>
      <c r="CJ362" s="263">
        <v>0</v>
      </c>
      <c r="CK362" s="263">
        <v>70</v>
      </c>
      <c r="CL362" s="289"/>
      <c r="CM362" s="289"/>
      <c r="CN362" s="289"/>
      <c r="CO362" s="289"/>
      <c r="CP362" s="289"/>
      <c r="CQ362" s="289"/>
      <c r="CR362" s="263">
        <v>424</v>
      </c>
      <c r="CS362" s="263">
        <v>21</v>
      </c>
      <c r="CT362" s="263">
        <v>0</v>
      </c>
      <c r="CU362" s="263">
        <v>0</v>
      </c>
      <c r="CV362" s="263">
        <v>0</v>
      </c>
      <c r="CW362" s="263">
        <v>14</v>
      </c>
      <c r="CX362" s="263">
        <v>0</v>
      </c>
      <c r="CY362" s="263">
        <v>26</v>
      </c>
      <c r="DA362" s="6"/>
      <c r="DC362" s="6"/>
      <c r="DD362" s="6">
        <f t="shared" ref="DD362" si="990">SUM(AY362:AZ362,BE362:CK362)</f>
        <v>810415</v>
      </c>
      <c r="DE362" s="6">
        <f t="shared" ref="DE362" si="991">SUM(M362:N362,P362:AX362,BB362:BC362)+CR362+CS362</f>
        <v>282456</v>
      </c>
      <c r="DF362" s="8">
        <f t="shared" ref="DF362" si="992">SUM(DD362:DE362)</f>
        <v>1092871</v>
      </c>
      <c r="DK362" s="6">
        <f t="shared" si="912"/>
        <v>72181</v>
      </c>
      <c r="DL362" s="6">
        <f t="shared" ref="DL362" si="993">SUM(Y362:Z362,AB362:AF362,AH362:AM362,AO362,AS362:AW362,BA362:BC362)+CR362+CS362</f>
        <v>150132</v>
      </c>
      <c r="DM362" s="6">
        <f t="shared" ref="DM362" si="994">T362</f>
        <v>13620</v>
      </c>
      <c r="DN362" s="6">
        <f t="shared" ref="DN362" si="995">AG362+AX362+AN362+AP362+AQ362+AR362</f>
        <v>47466</v>
      </c>
      <c r="DO362" s="6">
        <f t="shared" ref="DO362" si="996">SUM(AY362,BF362,BI362,BK362,BO362,BR362:BS362,BU362,BW362,BZ362:CB362,CD362:CF362,CJ362:CK362)</f>
        <v>477527</v>
      </c>
      <c r="DP362" s="6">
        <f t="shared" ref="DP362" si="997">SUM(AZ362,BD362:BE362,BH362,BN362,BQ362,BT362)</f>
        <v>118335</v>
      </c>
      <c r="DQ362" s="6">
        <f t="shared" ref="DQ362" si="998">BY362</f>
        <v>12314</v>
      </c>
      <c r="DR362" s="6">
        <f t="shared" ref="DR362" si="999">CC362+CI362+AA362</f>
        <v>16520</v>
      </c>
      <c r="DS362" s="6">
        <f t="shared" ref="DS362" si="1000">BP362+BV362</f>
        <v>115070</v>
      </c>
      <c r="DT362" s="6">
        <f t="shared" ref="DT362" si="1001">BG362+BJ362+BL362+BM362+BX362</f>
        <v>13317</v>
      </c>
      <c r="DU362" s="6"/>
      <c r="DV362" s="6"/>
      <c r="DW362" s="6">
        <f t="shared" si="962"/>
        <v>1036482</v>
      </c>
      <c r="DX362" s="263"/>
      <c r="DY362" s="6">
        <f t="shared" ref="DY362" si="1002">DO362+DT362+H362+I362+J362+K362+CG362</f>
        <v>612233</v>
      </c>
      <c r="DZ362" s="6">
        <f t="shared" ref="DZ362" si="1003">SUM(G362:L362,O362)</f>
        <v>66178</v>
      </c>
      <c r="EA362" s="263"/>
      <c r="EB362" s="6">
        <f t="shared" ref="EB362" si="1004">DZ362+DF362</f>
        <v>1159049</v>
      </c>
      <c r="EC362" s="6"/>
      <c r="ED362" s="6"/>
      <c r="EE362" s="263"/>
      <c r="EF362" s="6">
        <f t="shared" ref="EF362" si="1005">SUM(BE362:CK362)-CG362-BP362</f>
        <v>637098</v>
      </c>
      <c r="EG362" s="6">
        <f t="shared" ref="EG362" si="1006">SUM(M362:BC362)-AQ362</f>
        <v>272818</v>
      </c>
      <c r="EH362" s="6">
        <f t="shared" ref="EH362" si="1007">SUM(EF362:EG362)</f>
        <v>909916</v>
      </c>
      <c r="EI362" s="36">
        <f t="shared" ref="EI362" si="1008">(EF362-EF361)/EF361</f>
        <v>5.013250883392226E-3</v>
      </c>
      <c r="EJ362" s="36">
        <f t="shared" ref="EJ362" si="1009">(EG362-EG361)/EG361</f>
        <v>2.5945199035691184E-3</v>
      </c>
      <c r="EM362" s="104"/>
      <c r="EN362" s="104"/>
      <c r="FC362" s="6">
        <f t="shared" si="884"/>
        <v>85801</v>
      </c>
      <c r="FD362" s="6">
        <f t="shared" si="885"/>
        <v>197598</v>
      </c>
      <c r="FE362" s="32">
        <f t="shared" si="886"/>
        <v>477527</v>
      </c>
      <c r="FF362" s="34">
        <f t="shared" si="887"/>
        <v>13317</v>
      </c>
      <c r="FG362" s="31">
        <f t="shared" si="888"/>
        <v>245719</v>
      </c>
      <c r="FH362" s="6">
        <f t="shared" si="889"/>
        <v>16520</v>
      </c>
      <c r="FI362" s="6">
        <f t="shared" si="890"/>
        <v>0</v>
      </c>
    </row>
    <row r="363" spans="2:166" s="263" customFormat="1">
      <c r="B363" s="50">
        <v>43009</v>
      </c>
      <c r="C363" s="263">
        <v>0</v>
      </c>
      <c r="D363" s="263">
        <v>0</v>
      </c>
      <c r="E363" s="263">
        <v>0</v>
      </c>
      <c r="F363" s="263">
        <v>0</v>
      </c>
      <c r="G363" s="263">
        <v>1097</v>
      </c>
      <c r="H363" s="263">
        <v>17702</v>
      </c>
      <c r="I363" s="263">
        <v>43532</v>
      </c>
      <c r="J363" s="263">
        <v>878</v>
      </c>
      <c r="K363" s="263">
        <v>2056</v>
      </c>
      <c r="L363" s="263">
        <v>1186</v>
      </c>
      <c r="M363" s="263">
        <v>32294</v>
      </c>
      <c r="N363" s="263">
        <v>1518</v>
      </c>
      <c r="O363" s="263">
        <v>693</v>
      </c>
      <c r="P363" s="263">
        <v>1656</v>
      </c>
      <c r="Q363" s="263">
        <v>9996</v>
      </c>
      <c r="R363" s="263">
        <v>234</v>
      </c>
      <c r="S363" s="263">
        <v>4974</v>
      </c>
      <c r="T363" s="263">
        <v>13652</v>
      </c>
      <c r="U363" s="263">
        <v>36</v>
      </c>
      <c r="V363" s="263">
        <v>4416</v>
      </c>
      <c r="W363" s="263">
        <v>41</v>
      </c>
      <c r="X363" s="263">
        <v>17162</v>
      </c>
      <c r="Y363" s="263">
        <v>394</v>
      </c>
      <c r="Z363" s="263">
        <v>3</v>
      </c>
      <c r="AA363" s="263">
        <v>1</v>
      </c>
      <c r="AB363" s="263">
        <v>1</v>
      </c>
      <c r="AC363" s="263">
        <v>130</v>
      </c>
      <c r="AD363" s="263">
        <v>17</v>
      </c>
      <c r="AE363" s="263">
        <v>28</v>
      </c>
      <c r="AF363" s="263">
        <v>18</v>
      </c>
      <c r="AG363" s="263">
        <v>38</v>
      </c>
      <c r="AH363" s="263">
        <v>105</v>
      </c>
      <c r="AI363" s="263">
        <v>2424</v>
      </c>
      <c r="AJ363" s="263">
        <v>2</v>
      </c>
      <c r="AK363" s="263">
        <v>16576</v>
      </c>
      <c r="AL363" s="263">
        <v>110286</v>
      </c>
      <c r="AM363" s="263">
        <v>2310</v>
      </c>
      <c r="AN363" s="263">
        <v>21165</v>
      </c>
      <c r="AO363" s="263">
        <v>12</v>
      </c>
      <c r="AP363" s="263">
        <v>189</v>
      </c>
      <c r="AQ363" s="263">
        <v>10828</v>
      </c>
      <c r="AR363" s="263">
        <v>0</v>
      </c>
      <c r="AS363" s="263">
        <v>869</v>
      </c>
      <c r="AT363" s="263">
        <v>35</v>
      </c>
      <c r="AU363" s="263">
        <v>10196</v>
      </c>
      <c r="AV363" s="263">
        <v>2165</v>
      </c>
      <c r="AW363" s="263">
        <v>3194</v>
      </c>
      <c r="AX363" s="263">
        <v>15039</v>
      </c>
      <c r="AY363" s="263">
        <v>6</v>
      </c>
      <c r="AZ363" s="263">
        <v>4</v>
      </c>
      <c r="BA363" s="263">
        <v>946</v>
      </c>
      <c r="BB363" s="263">
        <v>1</v>
      </c>
      <c r="BC363" s="263">
        <v>155</v>
      </c>
      <c r="BD363" s="263">
        <v>903</v>
      </c>
      <c r="BE363" s="263">
        <v>0</v>
      </c>
      <c r="BF363" s="263">
        <v>0</v>
      </c>
      <c r="BG363" s="263">
        <v>7925</v>
      </c>
      <c r="BH363" s="263">
        <v>0</v>
      </c>
      <c r="BI363" s="263">
        <v>0</v>
      </c>
      <c r="BJ363" s="263">
        <v>0</v>
      </c>
      <c r="BK363" s="263">
        <v>41</v>
      </c>
      <c r="BL363" s="263">
        <v>5371</v>
      </c>
      <c r="BM363" s="263">
        <v>0</v>
      </c>
      <c r="BN363" s="263">
        <v>276</v>
      </c>
      <c r="BO363" s="263">
        <v>0</v>
      </c>
      <c r="BP363" s="263">
        <v>116297</v>
      </c>
      <c r="BQ363" s="263">
        <v>86410</v>
      </c>
      <c r="BR363" s="263">
        <v>3072</v>
      </c>
      <c r="BS363" s="263">
        <v>27</v>
      </c>
      <c r="BT363" s="263">
        <v>31396</v>
      </c>
      <c r="BU363" s="263">
        <v>2198</v>
      </c>
      <c r="BV363" s="263">
        <v>0</v>
      </c>
      <c r="BW363" s="263">
        <v>1</v>
      </c>
      <c r="BX363" s="263">
        <v>4</v>
      </c>
      <c r="BY363" s="263">
        <v>12505</v>
      </c>
      <c r="BZ363" s="263">
        <v>312</v>
      </c>
      <c r="CA363" s="263">
        <v>0</v>
      </c>
      <c r="CB363" s="263">
        <v>26750</v>
      </c>
      <c r="CC363" s="263">
        <v>16279</v>
      </c>
      <c r="CD363" s="263">
        <v>130862</v>
      </c>
      <c r="CE363" s="263">
        <v>279196</v>
      </c>
      <c r="CF363" s="263">
        <v>36633</v>
      </c>
      <c r="CG363" s="263">
        <v>59085</v>
      </c>
      <c r="CH363" s="263">
        <v>0</v>
      </c>
      <c r="CI363" s="263">
        <v>7</v>
      </c>
      <c r="CJ363" s="263">
        <v>0</v>
      </c>
      <c r="CK363" s="263">
        <v>75</v>
      </c>
      <c r="CL363" s="289"/>
      <c r="CM363" s="289"/>
      <c r="CN363" s="289"/>
      <c r="CO363" s="289"/>
      <c r="CP363" s="289"/>
      <c r="CQ363" s="289"/>
      <c r="CR363" s="263">
        <v>420</v>
      </c>
      <c r="CS363" s="263">
        <v>18</v>
      </c>
      <c r="CT363" s="263">
        <v>0</v>
      </c>
      <c r="CU363" s="263">
        <v>0</v>
      </c>
      <c r="CV363" s="263">
        <v>0</v>
      </c>
      <c r="CW363" s="263">
        <v>14</v>
      </c>
      <c r="CX363" s="263">
        <v>0</v>
      </c>
      <c r="CY363" s="263">
        <v>26</v>
      </c>
      <c r="DA363" s="6"/>
      <c r="DC363" s="6"/>
      <c r="DD363" s="6">
        <f t="shared" ref="DD363" si="1010">SUM(AY363:AZ363,BE363:CK363)</f>
        <v>814732</v>
      </c>
      <c r="DE363" s="6">
        <f t="shared" ref="DE363" si="1011">SUM(M363:N363,P363:AX363,BB363:BC363)+CR363+CS363</f>
        <v>282598</v>
      </c>
      <c r="DF363" s="8">
        <f t="shared" ref="DF363" si="1012">SUM(DD363:DE363)</f>
        <v>1097330</v>
      </c>
      <c r="DG363" s="266"/>
      <c r="DH363" s="266"/>
      <c r="DI363" s="266"/>
      <c r="DJ363" s="266"/>
      <c r="DK363" s="6">
        <f t="shared" si="912"/>
        <v>72327</v>
      </c>
      <c r="DL363" s="6">
        <f t="shared" ref="DL363" si="1013">SUM(Y363:Z363,AB363:AF363,AH363:AM363,AO363,AS363:AW363,BA363:BC363)+CR363+CS363</f>
        <v>150305</v>
      </c>
      <c r="DM363" s="6">
        <f t="shared" ref="DM363" si="1014">T363</f>
        <v>13652</v>
      </c>
      <c r="DN363" s="6">
        <f t="shared" ref="DN363" si="1015">AG363+AX363+AN363+AP363+AQ363+AR363</f>
        <v>47259</v>
      </c>
      <c r="DO363" s="6">
        <f t="shared" ref="DO363" si="1016">SUM(AY363,BF363,BI363,BK363,BO363,BR363:BS363,BU363,BW363,BZ363:CB363,CD363:CF363,CJ363:CK363)</f>
        <v>479173</v>
      </c>
      <c r="DP363" s="6">
        <f t="shared" ref="DP363" si="1017">SUM(AZ363,BD363:BE363,BH363,BN363,BQ363,BT363)</f>
        <v>118989</v>
      </c>
      <c r="DQ363" s="6">
        <f t="shared" ref="DQ363" si="1018">BY363</f>
        <v>12505</v>
      </c>
      <c r="DR363" s="6">
        <f t="shared" ref="DR363" si="1019">CC363+CI363+AA363</f>
        <v>16287</v>
      </c>
      <c r="DS363" s="6">
        <f t="shared" ref="DS363" si="1020">BP363+BV363</f>
        <v>116297</v>
      </c>
      <c r="DT363" s="6">
        <f t="shared" ref="DT363" si="1021">BG363+BJ363+BL363+BM363+BX363</f>
        <v>13300</v>
      </c>
      <c r="DU363" s="6"/>
      <c r="DV363" s="6"/>
      <c r="DW363" s="6">
        <f t="shared" si="962"/>
        <v>1040094</v>
      </c>
      <c r="DX363" s="266"/>
      <c r="DY363" s="6">
        <f t="shared" ref="DY363" si="1022">DO363+DT363+H363+I363+J363+K363+CG363</f>
        <v>615726</v>
      </c>
      <c r="DZ363" s="6">
        <f t="shared" ref="DZ363" si="1023">SUM(G363:L363,O363)</f>
        <v>67144</v>
      </c>
      <c r="EA363" s="266"/>
      <c r="EB363" s="6">
        <f t="shared" ref="EB363" si="1024">DZ363+DF363</f>
        <v>1164474</v>
      </c>
      <c r="EC363" s="6"/>
      <c r="ED363" s="6"/>
      <c r="EE363" s="266"/>
      <c r="EF363" s="6">
        <f t="shared" ref="EF363" si="1025">SUM(BE363:CK363)-CG363-BP363</f>
        <v>639340</v>
      </c>
      <c r="EG363" s="6">
        <f t="shared" ref="EG363" si="1026">SUM(M363:BC363)-AQ363</f>
        <v>272981</v>
      </c>
      <c r="EH363" s="6">
        <f t="shared" ref="EH363" si="1027">SUM(EF363:EG363)</f>
        <v>912321</v>
      </c>
      <c r="EI363" s="36">
        <f t="shared" ref="EI363" si="1028">(EF363-EF362)/EF362</f>
        <v>3.5190818367033016E-3</v>
      </c>
      <c r="EJ363" s="36">
        <f t="shared" ref="EJ363" si="1029">(EG363-EG362)/EG362</f>
        <v>5.9746790900893634E-4</v>
      </c>
      <c r="EM363" s="104"/>
      <c r="EN363" s="104"/>
      <c r="FC363" s="6">
        <f t="shared" si="884"/>
        <v>85979</v>
      </c>
      <c r="FD363" s="6">
        <f t="shared" si="885"/>
        <v>197564</v>
      </c>
      <c r="FE363" s="32">
        <f t="shared" si="886"/>
        <v>479173</v>
      </c>
      <c r="FF363" s="34">
        <f t="shared" si="887"/>
        <v>13300</v>
      </c>
      <c r="FG363" s="31">
        <f t="shared" si="888"/>
        <v>247791</v>
      </c>
      <c r="FH363" s="6">
        <f t="shared" si="889"/>
        <v>16287</v>
      </c>
      <c r="FI363" s="6">
        <f t="shared" si="890"/>
        <v>0</v>
      </c>
    </row>
    <row r="364" spans="2:166" s="267" customFormat="1">
      <c r="B364" s="50">
        <v>43040</v>
      </c>
      <c r="C364" s="267">
        <v>0</v>
      </c>
      <c r="D364" s="267">
        <v>0</v>
      </c>
      <c r="E364" s="267">
        <v>0</v>
      </c>
      <c r="F364" s="267">
        <v>0</v>
      </c>
      <c r="G364" s="267">
        <v>1085</v>
      </c>
      <c r="H364" s="267">
        <v>18139</v>
      </c>
      <c r="I364" s="267">
        <v>44714</v>
      </c>
      <c r="J364" s="267">
        <v>896</v>
      </c>
      <c r="K364" s="267">
        <v>2107</v>
      </c>
      <c r="L364" s="267">
        <v>1203</v>
      </c>
      <c r="M364" s="267">
        <v>32460</v>
      </c>
      <c r="N364" s="267">
        <v>1518</v>
      </c>
      <c r="O364" s="267">
        <v>704</v>
      </c>
      <c r="P364" s="267">
        <v>1668</v>
      </c>
      <c r="Q364" s="267">
        <v>10014</v>
      </c>
      <c r="R364" s="267">
        <v>235</v>
      </c>
      <c r="S364" s="267">
        <v>4992</v>
      </c>
      <c r="T364" s="267">
        <v>13671</v>
      </c>
      <c r="U364" s="267">
        <v>39</v>
      </c>
      <c r="V364" s="267">
        <v>4445</v>
      </c>
      <c r="W364" s="267">
        <v>32</v>
      </c>
      <c r="X364" s="267">
        <v>17254</v>
      </c>
      <c r="Y364" s="267">
        <v>385</v>
      </c>
      <c r="Z364" s="267">
        <v>3</v>
      </c>
      <c r="AA364" s="267">
        <v>6</v>
      </c>
      <c r="AB364" s="267">
        <v>2</v>
      </c>
      <c r="AC364" s="267">
        <v>128</v>
      </c>
      <c r="AD364" s="267">
        <v>17</v>
      </c>
      <c r="AE364" s="267">
        <v>28</v>
      </c>
      <c r="AF364" s="267">
        <v>15</v>
      </c>
      <c r="AG364" s="267">
        <v>42</v>
      </c>
      <c r="AH364" s="267">
        <v>96</v>
      </c>
      <c r="AI364" s="267">
        <v>2436</v>
      </c>
      <c r="AJ364" s="267">
        <v>2</v>
      </c>
      <c r="AK364" s="267">
        <v>16655</v>
      </c>
      <c r="AL364" s="267">
        <v>111007</v>
      </c>
      <c r="AM364" s="267">
        <v>2311</v>
      </c>
      <c r="AN364" s="267">
        <v>21164</v>
      </c>
      <c r="AO364" s="267">
        <v>13</v>
      </c>
      <c r="AP364" s="267">
        <v>146</v>
      </c>
      <c r="AQ364" s="267">
        <v>10896</v>
      </c>
      <c r="AR364" s="267">
        <v>0</v>
      </c>
      <c r="AS364" s="267">
        <v>896</v>
      </c>
      <c r="AT364" s="267">
        <v>36</v>
      </c>
      <c r="AU364" s="267">
        <v>10172</v>
      </c>
      <c r="AV364" s="267">
        <v>2173</v>
      </c>
      <c r="AW364" s="267">
        <v>3178</v>
      </c>
      <c r="AX364" s="267">
        <v>15027</v>
      </c>
      <c r="AY364" s="267">
        <v>6</v>
      </c>
      <c r="AZ364" s="267">
        <v>9</v>
      </c>
      <c r="BA364" s="267">
        <v>933</v>
      </c>
      <c r="BB364" s="267">
        <v>1</v>
      </c>
      <c r="BC364" s="267">
        <v>174</v>
      </c>
      <c r="BD364" s="267">
        <v>929</v>
      </c>
      <c r="BE364" s="267">
        <v>0</v>
      </c>
      <c r="BF364" s="267">
        <v>0</v>
      </c>
      <c r="BG364" s="267">
        <v>7984</v>
      </c>
      <c r="BH364" s="267">
        <v>0</v>
      </c>
      <c r="BI364" s="267">
        <v>0</v>
      </c>
      <c r="BJ364" s="267">
        <v>0</v>
      </c>
      <c r="BK364" s="267">
        <v>40</v>
      </c>
      <c r="BL364" s="267">
        <v>5328</v>
      </c>
      <c r="BM364" s="267">
        <v>0</v>
      </c>
      <c r="BN364" s="267">
        <v>260</v>
      </c>
      <c r="BO364" s="267">
        <v>0</v>
      </c>
      <c r="BP364" s="267">
        <v>122668</v>
      </c>
      <c r="BQ364" s="267">
        <v>83579</v>
      </c>
      <c r="BR364" s="267">
        <v>2467</v>
      </c>
      <c r="BS364" s="267">
        <v>23</v>
      </c>
      <c r="BT364" s="267">
        <v>29733</v>
      </c>
      <c r="BU364" s="267">
        <v>1749</v>
      </c>
      <c r="BV364" s="267">
        <v>0</v>
      </c>
      <c r="BW364" s="267">
        <v>1</v>
      </c>
      <c r="BX364" s="267">
        <v>4</v>
      </c>
      <c r="BY364" s="267">
        <v>12911</v>
      </c>
      <c r="BZ364" s="267">
        <v>309</v>
      </c>
      <c r="CA364" s="267">
        <v>0</v>
      </c>
      <c r="CB364" s="267">
        <v>27092</v>
      </c>
      <c r="CC364" s="267">
        <v>15853</v>
      </c>
      <c r="CD364" s="267">
        <v>131597</v>
      </c>
      <c r="CE364" s="267">
        <v>281022</v>
      </c>
      <c r="CF364" s="267">
        <v>37112</v>
      </c>
      <c r="CG364" s="267">
        <v>60115</v>
      </c>
      <c r="CH364" s="267">
        <v>0</v>
      </c>
      <c r="CI364" s="267">
        <v>6</v>
      </c>
      <c r="CJ364" s="267">
        <v>0</v>
      </c>
      <c r="CK364" s="267">
        <v>78</v>
      </c>
      <c r="CL364" s="289"/>
      <c r="CM364" s="289"/>
      <c r="CN364" s="289"/>
      <c r="CO364" s="289"/>
      <c r="CP364" s="289"/>
      <c r="CQ364" s="289"/>
      <c r="CR364" s="267">
        <v>410</v>
      </c>
      <c r="CS364" s="267">
        <v>25</v>
      </c>
      <c r="CT364" s="267">
        <v>0</v>
      </c>
      <c r="CU364" s="267">
        <v>0</v>
      </c>
      <c r="CV364" s="267">
        <v>0</v>
      </c>
      <c r="CW364" s="267">
        <v>14</v>
      </c>
      <c r="CX364" s="267">
        <v>0</v>
      </c>
      <c r="CY364" s="267">
        <v>26</v>
      </c>
      <c r="DA364" s="6"/>
      <c r="DC364" s="6"/>
      <c r="DD364" s="6">
        <f t="shared" ref="DD364" si="1030">SUM(AY364:AZ364,BE364:CK364)</f>
        <v>819946</v>
      </c>
      <c r="DE364" s="6">
        <f t="shared" ref="DE364" si="1031">SUM(M364:N364,P364:AX364,BB364:BC364)+CR364+CS364</f>
        <v>283772</v>
      </c>
      <c r="DF364" s="8">
        <f t="shared" ref="DF364" si="1032">SUM(DD364:DE364)</f>
        <v>1103718</v>
      </c>
      <c r="DK364" s="6">
        <f t="shared" ref="DK364" si="1033">SUM(M364:N364,P364:S364,U364:X364)</f>
        <v>72657</v>
      </c>
      <c r="DL364" s="6">
        <f t="shared" ref="DL364" si="1034">SUM(Y364:Z364,AB364:AF364,AH364:AM364,AO364,AS364:AW364,BA364:BC364)+CR364+CS364</f>
        <v>151096</v>
      </c>
      <c r="DM364" s="6">
        <f t="shared" ref="DM364" si="1035">T364</f>
        <v>13671</v>
      </c>
      <c r="DN364" s="6">
        <f t="shared" ref="DN364" si="1036">AG364+AX364+AN364+AP364+AQ364+AR364</f>
        <v>47275</v>
      </c>
      <c r="DO364" s="6">
        <f t="shared" ref="DO364" si="1037">SUM(AY364,BF364,BI364,BK364,BO364,BR364:BS364,BU364,BW364,BZ364:CB364,CD364:CF364,CJ364:CK364)</f>
        <v>481496</v>
      </c>
      <c r="DP364" s="6">
        <f t="shared" ref="DP364" si="1038">SUM(AZ364,BD364:BE364,BH364,BN364,BQ364,BT364)</f>
        <v>114510</v>
      </c>
      <c r="DQ364" s="6">
        <f t="shared" ref="DQ364" si="1039">BY364</f>
        <v>12911</v>
      </c>
      <c r="DR364" s="6">
        <f t="shared" ref="DR364" si="1040">CC364+CI364+AA364</f>
        <v>15865</v>
      </c>
      <c r="DS364" s="6">
        <f t="shared" ref="DS364" si="1041">BP364+BV364</f>
        <v>122668</v>
      </c>
      <c r="DT364" s="6">
        <f t="shared" ref="DT364" si="1042">BG364+BJ364+BL364+BM364+BX364</f>
        <v>13316</v>
      </c>
      <c r="DU364" s="6"/>
      <c r="DV364" s="6"/>
      <c r="DW364" s="6">
        <f t="shared" si="962"/>
        <v>1045465</v>
      </c>
      <c r="DY364" s="6">
        <f t="shared" ref="DY364" si="1043">DO364+DT364+H364+I364+J364+K364+CG364</f>
        <v>620783</v>
      </c>
      <c r="DZ364" s="6">
        <f t="shared" ref="DZ364" si="1044">SUM(G364:L364,O364)</f>
        <v>68848</v>
      </c>
      <c r="EB364" s="6">
        <f t="shared" ref="EB364" si="1045">DZ364+DF364</f>
        <v>1172566</v>
      </c>
      <c r="EC364" s="6"/>
      <c r="ED364" s="6"/>
      <c r="EF364" s="6">
        <f t="shared" ref="EF364" si="1046">SUM(BE364:CK364)-CG364-BP364</f>
        <v>637148</v>
      </c>
      <c r="EG364" s="6">
        <f t="shared" ref="EG364" si="1047">SUM(M364:BC364)-AQ364</f>
        <v>274093</v>
      </c>
      <c r="EH364" s="6">
        <f t="shared" ref="EH364" si="1048">SUM(EF364:EG364)</f>
        <v>911241</v>
      </c>
      <c r="EI364" s="36">
        <f t="shared" ref="EI364" si="1049">(EF364-EF363)/EF363</f>
        <v>-3.4285356774173366E-3</v>
      </c>
      <c r="EJ364" s="36">
        <f t="shared" ref="EJ364" si="1050">(EG364-EG363)/EG363</f>
        <v>4.0735435799561142E-3</v>
      </c>
      <c r="EM364" s="104"/>
      <c r="EN364" s="104"/>
      <c r="FC364" s="6">
        <f t="shared" si="884"/>
        <v>86328</v>
      </c>
      <c r="FD364" s="6">
        <f t="shared" si="885"/>
        <v>198371</v>
      </c>
      <c r="FE364" s="32">
        <f t="shared" si="886"/>
        <v>481496</v>
      </c>
      <c r="FF364" s="34">
        <f t="shared" si="887"/>
        <v>13316</v>
      </c>
      <c r="FG364" s="31">
        <f t="shared" si="888"/>
        <v>250089</v>
      </c>
      <c r="FH364" s="6">
        <f t="shared" si="889"/>
        <v>15865</v>
      </c>
      <c r="FI364" s="6">
        <f t="shared" si="890"/>
        <v>0</v>
      </c>
    </row>
    <row r="365" spans="2:166" s="266" customFormat="1">
      <c r="B365" s="50">
        <v>43070</v>
      </c>
      <c r="C365" s="268">
        <v>0</v>
      </c>
      <c r="D365" s="268">
        <v>0</v>
      </c>
      <c r="E365" s="268">
        <v>0</v>
      </c>
      <c r="F365" s="268">
        <v>0</v>
      </c>
      <c r="G365" s="268">
        <v>1114</v>
      </c>
      <c r="H365" s="268">
        <v>18329</v>
      </c>
      <c r="I365" s="268">
        <v>45220</v>
      </c>
      <c r="J365" s="268">
        <v>921</v>
      </c>
      <c r="K365" s="268">
        <v>2121</v>
      </c>
      <c r="L365" s="268">
        <v>1207</v>
      </c>
      <c r="M365" s="268">
        <v>32541</v>
      </c>
      <c r="N365" s="268">
        <v>1514</v>
      </c>
      <c r="O365" s="268">
        <v>697</v>
      </c>
      <c r="P365" s="268">
        <v>1703</v>
      </c>
      <c r="Q365" s="268">
        <v>9953</v>
      </c>
      <c r="R365" s="268">
        <v>229</v>
      </c>
      <c r="S365" s="268">
        <v>4984</v>
      </c>
      <c r="T365" s="268">
        <v>13699</v>
      </c>
      <c r="U365" s="268">
        <v>42</v>
      </c>
      <c r="V365" s="268">
        <v>4452</v>
      </c>
      <c r="W365" s="268">
        <v>40</v>
      </c>
      <c r="X365" s="268">
        <v>17315</v>
      </c>
      <c r="Y365" s="268">
        <v>386</v>
      </c>
      <c r="Z365" s="268">
        <v>5</v>
      </c>
      <c r="AA365" s="268">
        <v>3</v>
      </c>
      <c r="AB365" s="268">
        <v>2</v>
      </c>
      <c r="AC365" s="268">
        <v>118</v>
      </c>
      <c r="AD365" s="268">
        <v>18</v>
      </c>
      <c r="AE365" s="268">
        <v>26</v>
      </c>
      <c r="AF365" s="268">
        <v>13</v>
      </c>
      <c r="AG365" s="268">
        <v>41</v>
      </c>
      <c r="AH365" s="268">
        <v>101</v>
      </c>
      <c r="AI365" s="268">
        <v>2416</v>
      </c>
      <c r="AJ365" s="268">
        <v>2</v>
      </c>
      <c r="AK365" s="268">
        <v>16648</v>
      </c>
      <c r="AL365" s="268">
        <v>111436</v>
      </c>
      <c r="AM365" s="268">
        <v>2287</v>
      </c>
      <c r="AN365" s="268">
        <v>21197</v>
      </c>
      <c r="AO365" s="268">
        <v>15</v>
      </c>
      <c r="AP365" s="268">
        <v>135</v>
      </c>
      <c r="AQ365" s="268">
        <v>10892</v>
      </c>
      <c r="AR365" s="268">
        <v>0</v>
      </c>
      <c r="AS365" s="268">
        <v>888</v>
      </c>
      <c r="AT365" s="268">
        <v>36</v>
      </c>
      <c r="AU365" s="268">
        <v>10173</v>
      </c>
      <c r="AV365" s="268">
        <v>2173</v>
      </c>
      <c r="AW365" s="268">
        <v>3180</v>
      </c>
      <c r="AX365" s="268">
        <v>15095</v>
      </c>
      <c r="AY365" s="268">
        <v>15</v>
      </c>
      <c r="AZ365" s="268">
        <v>4</v>
      </c>
      <c r="BA365" s="268">
        <v>926</v>
      </c>
      <c r="BB365" s="268">
        <v>1</v>
      </c>
      <c r="BC365" s="268">
        <v>165</v>
      </c>
      <c r="BD365" s="268">
        <v>928</v>
      </c>
      <c r="BE365" s="268">
        <v>0</v>
      </c>
      <c r="BF365" s="268">
        <v>0</v>
      </c>
      <c r="BG365" s="268">
        <v>8022</v>
      </c>
      <c r="BH365" s="268">
        <v>0</v>
      </c>
      <c r="BI365" s="268">
        <v>0</v>
      </c>
      <c r="BJ365" s="268">
        <v>0</v>
      </c>
      <c r="BK365" s="268">
        <v>35</v>
      </c>
      <c r="BL365" s="268">
        <v>5307</v>
      </c>
      <c r="BM365" s="268">
        <v>0</v>
      </c>
      <c r="BN365" s="268">
        <v>248</v>
      </c>
      <c r="BO365" s="268">
        <v>0</v>
      </c>
      <c r="BP365" s="268">
        <v>124027</v>
      </c>
      <c r="BQ365" s="268">
        <v>83598</v>
      </c>
      <c r="BR365" s="268">
        <v>2592</v>
      </c>
      <c r="BS365" s="268">
        <v>21</v>
      </c>
      <c r="BT365" s="268">
        <v>29628</v>
      </c>
      <c r="BU365" s="268">
        <v>1725</v>
      </c>
      <c r="BV365" s="268">
        <v>0</v>
      </c>
      <c r="BW365" s="268">
        <v>1</v>
      </c>
      <c r="BX365" s="268">
        <v>4</v>
      </c>
      <c r="BY365" s="268">
        <v>13378</v>
      </c>
      <c r="BZ365" s="268">
        <v>276</v>
      </c>
      <c r="CA365" s="268">
        <v>0</v>
      </c>
      <c r="CB365" s="268">
        <v>27353</v>
      </c>
      <c r="CC365" s="268">
        <v>15552</v>
      </c>
      <c r="CD365" s="268">
        <v>131649</v>
      </c>
      <c r="CE365" s="268">
        <v>281087</v>
      </c>
      <c r="CF365" s="268">
        <v>36882</v>
      </c>
      <c r="CG365" s="268">
        <v>61027</v>
      </c>
      <c r="CH365" s="268">
        <v>0</v>
      </c>
      <c r="CI365" s="268">
        <v>10</v>
      </c>
      <c r="CJ365" s="268">
        <v>0</v>
      </c>
      <c r="CK365" s="268">
        <v>81</v>
      </c>
      <c r="CL365" s="289"/>
      <c r="CM365" s="289"/>
      <c r="CN365" s="289"/>
      <c r="CO365" s="289"/>
      <c r="CP365" s="289"/>
      <c r="CQ365" s="289"/>
      <c r="CR365" s="268">
        <v>416</v>
      </c>
      <c r="CS365" s="268">
        <v>14</v>
      </c>
      <c r="CT365" s="268">
        <v>0</v>
      </c>
      <c r="CU365" s="268">
        <v>0</v>
      </c>
      <c r="CV365" s="268">
        <v>0</v>
      </c>
      <c r="CW365" s="268">
        <v>14</v>
      </c>
      <c r="CX365" s="268">
        <v>0</v>
      </c>
      <c r="CY365" s="268">
        <v>26</v>
      </c>
      <c r="DA365" s="6"/>
      <c r="DC365" s="6"/>
      <c r="DD365" s="6">
        <f t="shared" ref="DD365" si="1051">SUM(AY365:AZ365,BE365:CK365)</f>
        <v>822522</v>
      </c>
      <c r="DE365" s="6">
        <f t="shared" ref="DE365" si="1052">SUM(M365:N365,P365:AX365,BB365:BC365)+CR365+CS365</f>
        <v>284354</v>
      </c>
      <c r="DF365" s="8">
        <f t="shared" ref="DF365" si="1053">SUM(DD365:DE365)</f>
        <v>1106876</v>
      </c>
      <c r="DG365" s="268"/>
      <c r="DH365" s="268"/>
      <c r="DI365" s="268"/>
      <c r="DJ365" s="268"/>
      <c r="DK365" s="6">
        <f t="shared" ref="DK365" si="1054">SUM(M365:N365,P365:S365,U365:X365)</f>
        <v>72773</v>
      </c>
      <c r="DL365" s="6">
        <f t="shared" ref="DL365" si="1055">SUM(Y365:Z365,AB365:AF365,AH365:AM365,AO365,AS365:AW365,BA365:BC365)+CR365+CS365</f>
        <v>151445</v>
      </c>
      <c r="DM365" s="6">
        <f t="shared" ref="DM365" si="1056">T365</f>
        <v>13699</v>
      </c>
      <c r="DN365" s="6">
        <f t="shared" ref="DN365" si="1057">AG365+AX365+AN365+AP365+AQ365+AR365</f>
        <v>47360</v>
      </c>
      <c r="DO365" s="6">
        <f t="shared" ref="DO365" si="1058">SUM(AY365,BF365,BI365,BK365,BO365,BR365:BS365,BU365,BW365,BZ365:CB365,CD365:CF365,CJ365:CK365)</f>
        <v>481717</v>
      </c>
      <c r="DP365" s="6">
        <f t="shared" ref="DP365" si="1059">SUM(AZ365,BD365:BE365,BH365,BN365,BQ365,BT365)</f>
        <v>114406</v>
      </c>
      <c r="DQ365" s="6">
        <f t="shared" ref="DQ365" si="1060">BY365</f>
        <v>13378</v>
      </c>
      <c r="DR365" s="6">
        <f t="shared" ref="DR365" si="1061">CC365+CI365+AA365</f>
        <v>15565</v>
      </c>
      <c r="DS365" s="6">
        <f t="shared" ref="DS365" si="1062">BP365+BV365</f>
        <v>124027</v>
      </c>
      <c r="DT365" s="6">
        <f t="shared" ref="DT365" si="1063">BG365+BJ365+BL365+BM365+BX365</f>
        <v>13333</v>
      </c>
      <c r="DU365" s="6"/>
      <c r="DV365" s="6"/>
      <c r="DW365" s="6">
        <f t="shared" si="962"/>
        <v>1047703</v>
      </c>
      <c r="DX365" s="268"/>
      <c r="DY365" s="6">
        <f t="shared" ref="DY365" si="1064">DO365+DT365+H365+I365+J365+K365+CG365</f>
        <v>622668</v>
      </c>
      <c r="DZ365" s="6">
        <f t="shared" ref="DZ365" si="1065">SUM(G365:L365,O365)</f>
        <v>69609</v>
      </c>
      <c r="EA365" s="268"/>
      <c r="EB365" s="6">
        <f t="shared" ref="EB365" si="1066">DZ365+DF365</f>
        <v>1176485</v>
      </c>
      <c r="EC365" s="6"/>
      <c r="ED365" s="6"/>
      <c r="EE365" s="268"/>
      <c r="EF365" s="6">
        <f t="shared" ref="EF365" si="1067">SUM(BE365:CK365)-CG365-BP365</f>
        <v>637449</v>
      </c>
      <c r="EG365" s="6">
        <f t="shared" ref="EG365" si="1068">SUM(M365:BC365)-AQ365</f>
        <v>274674</v>
      </c>
      <c r="EH365" s="6">
        <f t="shared" ref="EH365" si="1069">SUM(EF365:EG365)</f>
        <v>912123</v>
      </c>
      <c r="EI365" s="36">
        <f t="shared" ref="EI365" si="1070">(EF365-EF364)/EF364</f>
        <v>4.7241771142654456E-4</v>
      </c>
      <c r="EJ365" s="36">
        <f t="shared" ref="EJ365" si="1071">(EG365-EG364)/EG364</f>
        <v>2.1197184897096969E-3</v>
      </c>
      <c r="EK365" s="268"/>
      <c r="EM365" s="104"/>
      <c r="EN365" s="104"/>
      <c r="FC365" s="6">
        <f t="shared" si="884"/>
        <v>86472</v>
      </c>
      <c r="FD365" s="6">
        <f t="shared" si="885"/>
        <v>198805</v>
      </c>
      <c r="FE365" s="32">
        <f t="shared" si="886"/>
        <v>481717</v>
      </c>
      <c r="FF365" s="34">
        <f t="shared" si="887"/>
        <v>13333</v>
      </c>
      <c r="FG365" s="31">
        <f t="shared" si="888"/>
        <v>251811</v>
      </c>
      <c r="FH365" s="6">
        <f t="shared" si="889"/>
        <v>15565</v>
      </c>
      <c r="FI365" s="6">
        <f t="shared" si="890"/>
        <v>0</v>
      </c>
    </row>
    <row r="366" spans="2:166" s="263" customFormat="1">
      <c r="B366" s="50">
        <v>43101</v>
      </c>
      <c r="C366" s="269">
        <v>0</v>
      </c>
      <c r="D366" s="269">
        <v>0</v>
      </c>
      <c r="E366" s="269">
        <v>0</v>
      </c>
      <c r="F366" s="269">
        <v>0</v>
      </c>
      <c r="G366" s="269">
        <v>1150</v>
      </c>
      <c r="H366" s="269">
        <v>18445</v>
      </c>
      <c r="I366" s="269">
        <v>45966</v>
      </c>
      <c r="J366" s="269">
        <v>903</v>
      </c>
      <c r="K366" s="269">
        <v>2078</v>
      </c>
      <c r="L366" s="269">
        <v>1197</v>
      </c>
      <c r="M366" s="269">
        <v>33049</v>
      </c>
      <c r="N366" s="269">
        <v>1540</v>
      </c>
      <c r="O366" s="269">
        <v>691</v>
      </c>
      <c r="P366" s="269">
        <v>1665</v>
      </c>
      <c r="Q366" s="269">
        <v>10220</v>
      </c>
      <c r="R366" s="269">
        <v>227</v>
      </c>
      <c r="S366" s="269">
        <v>4745</v>
      </c>
      <c r="T366" s="269">
        <v>13689</v>
      </c>
      <c r="U366" s="269">
        <v>44</v>
      </c>
      <c r="V366" s="269">
        <v>4466</v>
      </c>
      <c r="W366" s="269">
        <v>40</v>
      </c>
      <c r="X366" s="269">
        <v>17171</v>
      </c>
      <c r="Y366" s="269">
        <v>385</v>
      </c>
      <c r="Z366" s="269">
        <v>5</v>
      </c>
      <c r="AA366" s="269">
        <v>1</v>
      </c>
      <c r="AB366" s="269">
        <v>1</v>
      </c>
      <c r="AC366" s="269">
        <v>116</v>
      </c>
      <c r="AD366" s="269">
        <v>21</v>
      </c>
      <c r="AE366" s="269">
        <v>25</v>
      </c>
      <c r="AF366" s="269">
        <v>14</v>
      </c>
      <c r="AG366" s="269">
        <v>38</v>
      </c>
      <c r="AH366" s="269">
        <v>96</v>
      </c>
      <c r="AI366" s="269">
        <v>2426</v>
      </c>
      <c r="AJ366" s="269">
        <v>2</v>
      </c>
      <c r="AK366" s="269">
        <v>16410</v>
      </c>
      <c r="AL366" s="269">
        <v>111188</v>
      </c>
      <c r="AM366" s="269">
        <v>2207</v>
      </c>
      <c r="AN366" s="269">
        <v>20989</v>
      </c>
      <c r="AO366" s="269">
        <v>16</v>
      </c>
      <c r="AP366" s="269">
        <v>130</v>
      </c>
      <c r="AQ366" s="269">
        <v>10359</v>
      </c>
      <c r="AR366" s="269">
        <v>0</v>
      </c>
      <c r="AS366" s="269">
        <v>819</v>
      </c>
      <c r="AT366" s="269">
        <v>39</v>
      </c>
      <c r="AU366" s="269">
        <v>10239</v>
      </c>
      <c r="AV366" s="269">
        <v>2177</v>
      </c>
      <c r="AW366" s="269">
        <v>2973</v>
      </c>
      <c r="AX366" s="269">
        <v>15005</v>
      </c>
      <c r="AY366" s="269">
        <v>8</v>
      </c>
      <c r="AZ366" s="269">
        <v>0</v>
      </c>
      <c r="BA366" s="269">
        <v>903</v>
      </c>
      <c r="BB366" s="269">
        <v>1</v>
      </c>
      <c r="BC366" s="269">
        <v>160</v>
      </c>
      <c r="BD366" s="269">
        <v>936</v>
      </c>
      <c r="BE366" s="269">
        <v>0</v>
      </c>
      <c r="BF366" s="269">
        <v>0</v>
      </c>
      <c r="BG366" s="269">
        <v>8035</v>
      </c>
      <c r="BH366" s="269">
        <v>0</v>
      </c>
      <c r="BI366" s="269">
        <v>0</v>
      </c>
      <c r="BJ366" s="269">
        <v>0</v>
      </c>
      <c r="BK366" s="269">
        <v>34</v>
      </c>
      <c r="BL366" s="269">
        <v>5292</v>
      </c>
      <c r="BM366" s="269">
        <v>0</v>
      </c>
      <c r="BN366" s="269">
        <v>236</v>
      </c>
      <c r="BO366" s="269">
        <v>0</v>
      </c>
      <c r="BP366" s="269">
        <v>125599</v>
      </c>
      <c r="BQ366" s="269">
        <v>83863</v>
      </c>
      <c r="BR366" s="269">
        <v>2713</v>
      </c>
      <c r="BS366" s="269">
        <v>20</v>
      </c>
      <c r="BT366" s="269">
        <v>29833</v>
      </c>
      <c r="BU366" s="269">
        <v>1763</v>
      </c>
      <c r="BV366" s="269">
        <v>0</v>
      </c>
      <c r="BW366" s="269">
        <v>1</v>
      </c>
      <c r="BX366" s="269">
        <v>3</v>
      </c>
      <c r="BY366" s="269">
        <v>13776</v>
      </c>
      <c r="BZ366" s="269">
        <v>268</v>
      </c>
      <c r="CA366" s="269">
        <v>0</v>
      </c>
      <c r="CB366" s="269">
        <v>27519</v>
      </c>
      <c r="CC366" s="269">
        <v>15400</v>
      </c>
      <c r="CD366" s="269">
        <v>131550</v>
      </c>
      <c r="CE366" s="269">
        <v>280567</v>
      </c>
      <c r="CF366" s="269">
        <v>36479</v>
      </c>
      <c r="CG366" s="269">
        <v>61713</v>
      </c>
      <c r="CH366" s="269">
        <v>0</v>
      </c>
      <c r="CI366" s="269">
        <v>10</v>
      </c>
      <c r="CJ366" s="269">
        <v>0</v>
      </c>
      <c r="CK366" s="269">
        <v>93</v>
      </c>
      <c r="CL366" s="289"/>
      <c r="CM366" s="289"/>
      <c r="CN366" s="289"/>
      <c r="CO366" s="289"/>
      <c r="CP366" s="289"/>
      <c r="CQ366" s="289"/>
      <c r="CR366" s="269">
        <v>414</v>
      </c>
      <c r="CS366" s="269">
        <v>13</v>
      </c>
      <c r="CT366" s="269">
        <v>0</v>
      </c>
      <c r="CU366" s="269">
        <v>0</v>
      </c>
      <c r="CV366" s="269">
        <v>0</v>
      </c>
      <c r="CW366" s="269">
        <v>14</v>
      </c>
      <c r="CX366" s="269">
        <v>0</v>
      </c>
      <c r="CY366" s="269">
        <v>26</v>
      </c>
      <c r="DA366" s="6"/>
      <c r="DC366" s="6"/>
      <c r="DD366" s="6">
        <f t="shared" ref="DD366" si="1072">SUM(AY366:AZ366,BE366:CK366)</f>
        <v>824775</v>
      </c>
      <c r="DE366" s="6">
        <f t="shared" ref="DE366" si="1073">SUM(M366:N366,P366:AX366,BB366:BC366)+CR366+CS366</f>
        <v>283125</v>
      </c>
      <c r="DF366" s="8">
        <f t="shared" ref="DF366" si="1074">SUM(DD366:DE366)</f>
        <v>1107900</v>
      </c>
      <c r="DK366" s="6">
        <f t="shared" ref="DK366" si="1075">SUM(M366:N366,P366:S366,U366:X366)</f>
        <v>73167</v>
      </c>
      <c r="DL366" s="6">
        <f t="shared" ref="DL366" si="1076">SUM(Y366:Z366,AB366:AF366,AH366:AM366,AO366,AS366:AW366,BA366:BC366)+CR366+CS366</f>
        <v>150650</v>
      </c>
      <c r="DM366" s="6">
        <f t="shared" ref="DM366" si="1077">T366</f>
        <v>13689</v>
      </c>
      <c r="DN366" s="6">
        <f t="shared" ref="DN366" si="1078">AG366+AX366+AN366+AP366+AQ366+AR366</f>
        <v>46521</v>
      </c>
      <c r="DO366" s="6">
        <f t="shared" ref="DO366" si="1079">SUM(AY366,BF366,BI366,BK366,BO366,BR366:BS366,BU366,BW366,BZ366:CB366,CD366:CF366,CJ366:CK366)</f>
        <v>481015</v>
      </c>
      <c r="DP366" s="6">
        <f t="shared" ref="DP366" si="1080">SUM(AZ366,BD366:BE366,BH366,BN366,BQ366,BT366)</f>
        <v>114868</v>
      </c>
      <c r="DQ366" s="6">
        <f t="shared" ref="DQ366" si="1081">BY366</f>
        <v>13776</v>
      </c>
      <c r="DR366" s="6">
        <f t="shared" ref="DR366" si="1082">CC366+CI366+AA366</f>
        <v>15411</v>
      </c>
      <c r="DS366" s="6">
        <f t="shared" ref="DS366" si="1083">BP366+BV366</f>
        <v>125599</v>
      </c>
      <c r="DT366" s="6">
        <f t="shared" ref="DT366" si="1084">BG366+BJ366+BL366+BM366+BX366</f>
        <v>13330</v>
      </c>
      <c r="DU366" s="6"/>
      <c r="DV366" s="6"/>
      <c r="DW366" s="6">
        <f t="shared" ref="DW366" si="1085">SUM(DK366:DT366)</f>
        <v>1048026</v>
      </c>
      <c r="DX366" s="269"/>
      <c r="DY366" s="6">
        <f t="shared" ref="DY366" si="1086">DO366+DT366+H366+I366+J366+K366+CG366</f>
        <v>623450</v>
      </c>
      <c r="DZ366" s="6">
        <f t="shared" ref="DZ366" si="1087">SUM(G366:L366,O366)</f>
        <v>70430</v>
      </c>
      <c r="EA366" s="269"/>
      <c r="EB366" s="6">
        <f t="shared" ref="EB366" si="1088">DZ366+DF366</f>
        <v>1178330</v>
      </c>
      <c r="EC366" s="6"/>
      <c r="ED366" s="6"/>
      <c r="EE366" s="269"/>
      <c r="EF366" s="6">
        <f t="shared" ref="EF366" si="1089">SUM(BE366:CK366)-CG366-BP366</f>
        <v>637455</v>
      </c>
      <c r="EG366" s="6">
        <f t="shared" ref="EG366" si="1090">SUM(M366:BC366)-AQ366</f>
        <v>273941</v>
      </c>
      <c r="EH366" s="6">
        <f t="shared" ref="EH366" si="1091">SUM(EF366:EG366)</f>
        <v>911396</v>
      </c>
      <c r="EI366" s="36">
        <f t="shared" ref="EI366" si="1092">(EF366-EF365)/EF365</f>
        <v>9.4125177072989366E-6</v>
      </c>
      <c r="EJ366" s="36">
        <f t="shared" ref="EJ366" si="1093">(EG366-EG365)/EG365</f>
        <v>-2.6686180708767483E-3</v>
      </c>
      <c r="EM366" s="104"/>
      <c r="EN366" s="104"/>
      <c r="FC366" s="6">
        <f t="shared" si="884"/>
        <v>86856</v>
      </c>
      <c r="FD366" s="6">
        <f t="shared" si="885"/>
        <v>197171</v>
      </c>
      <c r="FE366" s="32">
        <f t="shared" si="886"/>
        <v>481015</v>
      </c>
      <c r="FF366" s="34">
        <f t="shared" si="887"/>
        <v>13330</v>
      </c>
      <c r="FG366" s="31">
        <f t="shared" si="888"/>
        <v>254243</v>
      </c>
      <c r="FH366" s="6">
        <f t="shared" si="889"/>
        <v>15411</v>
      </c>
      <c r="FI366" s="6">
        <f t="shared" si="890"/>
        <v>0</v>
      </c>
    </row>
    <row r="367" spans="2:166" s="269" customFormat="1">
      <c r="B367" s="50">
        <v>43132</v>
      </c>
      <c r="C367" s="269">
        <v>0</v>
      </c>
      <c r="D367" s="269">
        <v>0</v>
      </c>
      <c r="E367" s="269">
        <v>0</v>
      </c>
      <c r="F367" s="269">
        <v>0</v>
      </c>
      <c r="G367" s="269">
        <v>1208</v>
      </c>
      <c r="H367" s="269">
        <v>18524</v>
      </c>
      <c r="I367" s="269">
        <v>46561</v>
      </c>
      <c r="J367" s="269">
        <v>879</v>
      </c>
      <c r="K367" s="269">
        <v>2091</v>
      </c>
      <c r="L367" s="269">
        <v>1236</v>
      </c>
      <c r="M367" s="269">
        <v>32988</v>
      </c>
      <c r="N367" s="269">
        <v>1515</v>
      </c>
      <c r="O367" s="269">
        <v>691</v>
      </c>
      <c r="P367" s="269">
        <v>1611</v>
      </c>
      <c r="Q367" s="269">
        <v>10167</v>
      </c>
      <c r="R367" s="269">
        <v>235</v>
      </c>
      <c r="S367" s="269">
        <v>4730</v>
      </c>
      <c r="T367" s="269">
        <v>13648</v>
      </c>
      <c r="U367" s="269">
        <v>42</v>
      </c>
      <c r="V367" s="269">
        <v>4450</v>
      </c>
      <c r="W367" s="269">
        <v>41</v>
      </c>
      <c r="X367" s="269">
        <v>17111</v>
      </c>
      <c r="Y367" s="269">
        <v>395</v>
      </c>
      <c r="Z367" s="269">
        <v>5</v>
      </c>
      <c r="AA367" s="269">
        <v>3</v>
      </c>
      <c r="AB367" s="269">
        <v>3</v>
      </c>
      <c r="AC367" s="269">
        <v>115</v>
      </c>
      <c r="AD367" s="269">
        <v>21</v>
      </c>
      <c r="AE367" s="269">
        <v>25</v>
      </c>
      <c r="AF367" s="269">
        <v>13</v>
      </c>
      <c r="AG367" s="269">
        <v>40</v>
      </c>
      <c r="AH367" s="269">
        <v>91</v>
      </c>
      <c r="AI367" s="269">
        <v>2446</v>
      </c>
      <c r="AJ367" s="269">
        <v>2</v>
      </c>
      <c r="AK367" s="269">
        <v>16344</v>
      </c>
      <c r="AL367" s="269">
        <v>111574</v>
      </c>
      <c r="AM367" s="269">
        <v>2199</v>
      </c>
      <c r="AN367" s="269">
        <v>21040</v>
      </c>
      <c r="AO367" s="269">
        <v>17</v>
      </c>
      <c r="AP367" s="269">
        <v>103</v>
      </c>
      <c r="AQ367" s="269">
        <v>10466</v>
      </c>
      <c r="AR367" s="269">
        <v>0</v>
      </c>
      <c r="AS367" s="269">
        <v>853</v>
      </c>
      <c r="AT367" s="269">
        <v>37</v>
      </c>
      <c r="AU367" s="269">
        <v>10295</v>
      </c>
      <c r="AV367" s="269">
        <v>2203</v>
      </c>
      <c r="AW367" s="269">
        <v>3000</v>
      </c>
      <c r="AX367" s="269">
        <v>14974</v>
      </c>
      <c r="AY367" s="269">
        <v>14</v>
      </c>
      <c r="AZ367" s="269">
        <v>9</v>
      </c>
      <c r="BA367" s="269">
        <v>910</v>
      </c>
      <c r="BB367" s="269">
        <v>1</v>
      </c>
      <c r="BC367" s="269">
        <v>152</v>
      </c>
      <c r="BD367" s="269">
        <v>968</v>
      </c>
      <c r="BE367" s="269">
        <v>0</v>
      </c>
      <c r="BF367" s="269">
        <v>0</v>
      </c>
      <c r="BG367" s="269">
        <v>8057</v>
      </c>
      <c r="BH367" s="269">
        <v>0</v>
      </c>
      <c r="BI367" s="269">
        <v>0</v>
      </c>
      <c r="BJ367" s="269">
        <v>0</v>
      </c>
      <c r="BK367" s="269">
        <v>34</v>
      </c>
      <c r="BL367" s="269">
        <v>5329</v>
      </c>
      <c r="BM367" s="269">
        <v>0</v>
      </c>
      <c r="BN367" s="269">
        <v>237</v>
      </c>
      <c r="BO367" s="269">
        <v>0</v>
      </c>
      <c r="BP367" s="269">
        <v>126954</v>
      </c>
      <c r="BQ367" s="269">
        <v>84214</v>
      </c>
      <c r="BR367" s="269">
        <v>2724</v>
      </c>
      <c r="BS367" s="269">
        <v>23</v>
      </c>
      <c r="BT367" s="269">
        <v>30038</v>
      </c>
      <c r="BU367" s="269">
        <v>1783</v>
      </c>
      <c r="BV367" s="269">
        <v>0</v>
      </c>
      <c r="BW367" s="269">
        <v>1</v>
      </c>
      <c r="BX367" s="269">
        <v>3</v>
      </c>
      <c r="BY367" s="269">
        <v>14065</v>
      </c>
      <c r="BZ367" s="269">
        <v>262</v>
      </c>
      <c r="CA367" s="269">
        <v>0</v>
      </c>
      <c r="CB367" s="269">
        <v>27732</v>
      </c>
      <c r="CC367" s="269">
        <v>15531</v>
      </c>
      <c r="CD367" s="269">
        <v>131532</v>
      </c>
      <c r="CE367" s="269">
        <v>281373</v>
      </c>
      <c r="CF367" s="269">
        <v>37216</v>
      </c>
      <c r="CG367" s="269">
        <v>62537</v>
      </c>
      <c r="CH367" s="269">
        <v>0</v>
      </c>
      <c r="CI367" s="269">
        <v>13</v>
      </c>
      <c r="CJ367" s="269">
        <v>0</v>
      </c>
      <c r="CK367" s="269">
        <v>92</v>
      </c>
      <c r="CL367" s="289"/>
      <c r="CM367" s="289"/>
      <c r="CN367" s="289"/>
      <c r="CO367" s="289"/>
      <c r="CP367" s="289"/>
      <c r="CQ367" s="289"/>
      <c r="CR367" s="269">
        <v>428</v>
      </c>
      <c r="CS367" s="269">
        <v>10</v>
      </c>
      <c r="CT367" s="269">
        <v>0</v>
      </c>
      <c r="CU367" s="269">
        <v>0</v>
      </c>
      <c r="CV367" s="269">
        <v>0</v>
      </c>
      <c r="CW367" s="269">
        <v>14</v>
      </c>
      <c r="CX367" s="269">
        <v>0</v>
      </c>
      <c r="CY367" s="269">
        <v>26</v>
      </c>
      <c r="DA367" s="6"/>
      <c r="DC367" s="6"/>
      <c r="DD367" s="6">
        <f t="shared" ref="DD367" si="1094">SUM(AY367:AZ367,BE367:CK367)</f>
        <v>829773</v>
      </c>
      <c r="DE367" s="6">
        <f t="shared" ref="DE367" si="1095">SUM(M367:N367,P367:AX367,BB367:BC367)+CR367+CS367</f>
        <v>283393</v>
      </c>
      <c r="DF367" s="8">
        <f t="shared" ref="DF367" si="1096">SUM(DD367:DE367)</f>
        <v>1113166</v>
      </c>
      <c r="DG367" s="270"/>
      <c r="DH367" s="270"/>
      <c r="DI367" s="270"/>
      <c r="DJ367" s="270"/>
      <c r="DK367" s="6">
        <f t="shared" ref="DK367" si="1097">SUM(M367:N367,P367:S367,U367:X367)</f>
        <v>72890</v>
      </c>
      <c r="DL367" s="6">
        <f t="shared" ref="DL367" si="1098">SUM(Y367:Z367,AB367:AF367,AH367:AM367,AO367,AS367:AW367,BA367:BC367)+CR367+CS367</f>
        <v>151139</v>
      </c>
      <c r="DM367" s="6">
        <f t="shared" ref="DM367" si="1099">T367</f>
        <v>13648</v>
      </c>
      <c r="DN367" s="6">
        <f t="shared" ref="DN367" si="1100">AG367+AX367+AN367+AP367+AQ367+AR367</f>
        <v>46623</v>
      </c>
      <c r="DO367" s="6">
        <f t="shared" ref="DO367" si="1101">SUM(AY367,BF367,BI367,BK367,BO367,BR367:BS367,BU367,BW367,BZ367:CB367,CD367:CF367,CJ367:CK367)</f>
        <v>482786</v>
      </c>
      <c r="DP367" s="6">
        <f t="shared" ref="DP367" si="1102">SUM(AZ367,BD367:BE367,BH367,BN367,BQ367,BT367)</f>
        <v>115466</v>
      </c>
      <c r="DQ367" s="6">
        <f t="shared" ref="DQ367" si="1103">BY367</f>
        <v>14065</v>
      </c>
      <c r="DR367" s="6">
        <f t="shared" ref="DR367" si="1104">CC367+CI367+AA367</f>
        <v>15547</v>
      </c>
      <c r="DS367" s="6">
        <f t="shared" ref="DS367" si="1105">BP367+BV367</f>
        <v>126954</v>
      </c>
      <c r="DT367" s="6">
        <f t="shared" ref="DT367" si="1106">BG367+BJ367+BL367+BM367+BX367</f>
        <v>13389</v>
      </c>
      <c r="DU367" s="6"/>
      <c r="DV367" s="6"/>
      <c r="DW367" s="6">
        <f t="shared" ref="DW367" si="1107">SUM(DK367:DT367)</f>
        <v>1052507</v>
      </c>
      <c r="DX367" s="270"/>
      <c r="DY367" s="6">
        <f t="shared" ref="DY367" si="1108">DO367+DT367+H367+I367+J367+K367+CG367</f>
        <v>626767</v>
      </c>
      <c r="DZ367" s="6">
        <f t="shared" ref="DZ367" si="1109">SUM(G367:L367,O367)</f>
        <v>71190</v>
      </c>
      <c r="EA367" s="270"/>
      <c r="EB367" s="6">
        <f t="shared" ref="EB367" si="1110">DZ367+DF367</f>
        <v>1184356</v>
      </c>
      <c r="EC367" s="6"/>
      <c r="ED367" s="6"/>
      <c r="EE367" s="270"/>
      <c r="EF367" s="6">
        <f t="shared" ref="EF367" si="1111">SUM(BE367:CK367)-CG367-BP367</f>
        <v>640259</v>
      </c>
      <c r="EG367" s="6">
        <f t="shared" ref="EG367" si="1112">SUM(M367:BC367)-AQ367</f>
        <v>274113</v>
      </c>
      <c r="EH367" s="6">
        <f t="shared" ref="EH367" si="1113">SUM(EF367:EG367)</f>
        <v>914372</v>
      </c>
      <c r="EI367" s="36">
        <f t="shared" ref="EI367" si="1114">(EF367-EF366)/EF366</f>
        <v>4.398741871975277E-3</v>
      </c>
      <c r="EJ367" s="36">
        <f t="shared" ref="EJ367" si="1115">(EG367-EG366)/EG366</f>
        <v>6.2787242508423346E-4</v>
      </c>
      <c r="EM367" s="104"/>
      <c r="EN367" s="104"/>
      <c r="FC367" s="6">
        <f t="shared" si="884"/>
        <v>86538</v>
      </c>
      <c r="FD367" s="6">
        <f t="shared" si="885"/>
        <v>197762</v>
      </c>
      <c r="FE367" s="32">
        <f t="shared" si="886"/>
        <v>482786</v>
      </c>
      <c r="FF367" s="34">
        <f t="shared" si="887"/>
        <v>13389</v>
      </c>
      <c r="FG367" s="31">
        <f t="shared" si="888"/>
        <v>256485</v>
      </c>
      <c r="FH367" s="6">
        <f t="shared" si="889"/>
        <v>15547</v>
      </c>
      <c r="FI367" s="6">
        <f t="shared" si="890"/>
        <v>0</v>
      </c>
    </row>
    <row r="368" spans="2:166" s="271" customFormat="1">
      <c r="B368" s="50">
        <v>43160</v>
      </c>
      <c r="C368" s="271">
        <v>0</v>
      </c>
      <c r="D368" s="271">
        <v>0</v>
      </c>
      <c r="E368" s="271">
        <v>0</v>
      </c>
      <c r="F368" s="271">
        <v>0</v>
      </c>
      <c r="G368" s="271">
        <v>1206</v>
      </c>
      <c r="H368" s="271">
        <v>18440</v>
      </c>
      <c r="I368" s="271">
        <v>46769</v>
      </c>
      <c r="J368" s="271">
        <v>914</v>
      </c>
      <c r="K368" s="271">
        <v>2175</v>
      </c>
      <c r="L368" s="271">
        <v>1207</v>
      </c>
      <c r="M368" s="271">
        <v>32961</v>
      </c>
      <c r="N368" s="271">
        <v>1503</v>
      </c>
      <c r="O368" s="271">
        <v>697</v>
      </c>
      <c r="P368" s="271">
        <v>1611</v>
      </c>
      <c r="Q368" s="271">
        <v>10111</v>
      </c>
      <c r="R368" s="271">
        <v>236</v>
      </c>
      <c r="S368" s="271">
        <v>4791</v>
      </c>
      <c r="T368" s="271">
        <v>13712</v>
      </c>
      <c r="U368" s="271">
        <v>42</v>
      </c>
      <c r="V368" s="271">
        <v>4472</v>
      </c>
      <c r="W368" s="271">
        <v>44</v>
      </c>
      <c r="X368" s="271">
        <v>16972</v>
      </c>
      <c r="Y368" s="271">
        <v>394</v>
      </c>
      <c r="Z368" s="271">
        <v>5</v>
      </c>
      <c r="AA368" s="271">
        <v>4</v>
      </c>
      <c r="AB368" s="271">
        <v>2</v>
      </c>
      <c r="AC368" s="271">
        <v>115</v>
      </c>
      <c r="AD368" s="271">
        <v>23</v>
      </c>
      <c r="AE368" s="271">
        <v>25</v>
      </c>
      <c r="AF368" s="271">
        <v>13</v>
      </c>
      <c r="AG368" s="271">
        <v>39</v>
      </c>
      <c r="AH368" s="271">
        <v>103</v>
      </c>
      <c r="AI368" s="271">
        <v>2460</v>
      </c>
      <c r="AJ368" s="271">
        <v>2</v>
      </c>
      <c r="AK368" s="271">
        <v>16105</v>
      </c>
      <c r="AL368" s="271">
        <v>111757</v>
      </c>
      <c r="AM368" s="271">
        <v>2179</v>
      </c>
      <c r="AN368" s="271">
        <v>21079</v>
      </c>
      <c r="AO368" s="271">
        <v>19</v>
      </c>
      <c r="AP368" s="271">
        <v>106</v>
      </c>
      <c r="AQ368" s="271">
        <v>10662</v>
      </c>
      <c r="AR368" s="271">
        <v>0</v>
      </c>
      <c r="AS368" s="271">
        <v>832</v>
      </c>
      <c r="AT368" s="271">
        <v>39</v>
      </c>
      <c r="AU368" s="271">
        <v>10290</v>
      </c>
      <c r="AV368" s="271">
        <v>2230</v>
      </c>
      <c r="AW368" s="271">
        <v>3027</v>
      </c>
      <c r="AX368" s="271">
        <v>14951</v>
      </c>
      <c r="AY368" s="271">
        <v>13</v>
      </c>
      <c r="AZ368" s="271">
        <v>4</v>
      </c>
      <c r="BA368" s="271">
        <v>906</v>
      </c>
      <c r="BB368" s="271">
        <v>1</v>
      </c>
      <c r="BC368" s="271">
        <v>130</v>
      </c>
      <c r="BD368" s="271">
        <v>979</v>
      </c>
      <c r="BE368" s="271">
        <v>0</v>
      </c>
      <c r="BF368" s="271">
        <v>0</v>
      </c>
      <c r="BG368" s="271">
        <v>8047</v>
      </c>
      <c r="BH368" s="271">
        <v>0</v>
      </c>
      <c r="BI368" s="271">
        <v>0</v>
      </c>
      <c r="BJ368" s="271">
        <v>0</v>
      </c>
      <c r="BK368" s="271">
        <v>35</v>
      </c>
      <c r="BL368" s="271">
        <v>5352</v>
      </c>
      <c r="BM368" s="271">
        <v>0</v>
      </c>
      <c r="BN368" s="271">
        <v>231</v>
      </c>
      <c r="BO368" s="271">
        <v>0</v>
      </c>
      <c r="BP368" s="271">
        <v>128138</v>
      </c>
      <c r="BQ368" s="271">
        <v>84199</v>
      </c>
      <c r="BR368" s="271">
        <v>2671</v>
      </c>
      <c r="BS368" s="271">
        <v>21</v>
      </c>
      <c r="BT368" s="271">
        <v>30003</v>
      </c>
      <c r="BU368" s="271">
        <v>1776</v>
      </c>
      <c r="BV368" s="271">
        <v>0</v>
      </c>
      <c r="BW368" s="271">
        <v>1</v>
      </c>
      <c r="BX368" s="271">
        <v>3</v>
      </c>
      <c r="BY368" s="271">
        <v>14410</v>
      </c>
      <c r="BZ368" s="271">
        <v>248</v>
      </c>
      <c r="CA368" s="271">
        <v>0</v>
      </c>
      <c r="CB368" s="271">
        <v>27803</v>
      </c>
      <c r="CC368" s="271">
        <v>15501</v>
      </c>
      <c r="CD368" s="271">
        <v>131739</v>
      </c>
      <c r="CE368" s="271">
        <v>281846</v>
      </c>
      <c r="CF368" s="271">
        <v>36825</v>
      </c>
      <c r="CG368" s="271">
        <v>62716</v>
      </c>
      <c r="CH368" s="271">
        <v>0</v>
      </c>
      <c r="CI368" s="271">
        <v>14</v>
      </c>
      <c r="CJ368" s="271">
        <v>0</v>
      </c>
      <c r="CK368" s="271">
        <v>93</v>
      </c>
      <c r="CL368" s="289"/>
      <c r="CM368" s="289"/>
      <c r="CN368" s="289"/>
      <c r="CO368" s="289"/>
      <c r="CP368" s="289"/>
      <c r="CQ368" s="289"/>
      <c r="CR368" s="271">
        <v>431</v>
      </c>
      <c r="CS368" s="271">
        <v>15</v>
      </c>
      <c r="CT368" s="271">
        <v>0</v>
      </c>
      <c r="CU368" s="271">
        <v>0</v>
      </c>
      <c r="CV368" s="271">
        <v>0</v>
      </c>
      <c r="CW368" s="271">
        <v>14</v>
      </c>
      <c r="CX368" s="271">
        <v>0</v>
      </c>
      <c r="CY368" s="271">
        <v>26</v>
      </c>
      <c r="DA368" s="6"/>
      <c r="DC368" s="6"/>
      <c r="DD368" s="6">
        <f t="shared" ref="DD368" si="1116">SUM(AY368:AZ368,BE368:CK368)</f>
        <v>831689</v>
      </c>
      <c r="DE368" s="6">
        <f t="shared" ref="DE368" si="1117">SUM(M368:N368,P368:AX368,BB368:BC368)+CR368+CS368</f>
        <v>283493</v>
      </c>
      <c r="DF368" s="8">
        <f t="shared" ref="DF368" si="1118">SUM(DD368:DE368)</f>
        <v>1115182</v>
      </c>
      <c r="DK368" s="6">
        <f t="shared" ref="DK368" si="1119">SUM(M368:N368,P368:S368,U368:X368)</f>
        <v>72743</v>
      </c>
      <c r="DL368" s="6">
        <f t="shared" ref="DL368" si="1120">SUM(Y368:Z368,AB368:AF368,AH368:AM368,AO368,AS368:AW368,BA368:BC368)+CR368+CS368</f>
        <v>151103</v>
      </c>
      <c r="DM368" s="6">
        <f t="shared" ref="DM368" si="1121">T368</f>
        <v>13712</v>
      </c>
      <c r="DN368" s="6">
        <f t="shared" ref="DN368" si="1122">AG368+AX368+AN368+AP368+AQ368+AR368</f>
        <v>46837</v>
      </c>
      <c r="DO368" s="6">
        <f t="shared" ref="DO368" si="1123">SUM(AY368,BF368,BI368,BK368,BO368,BR368:BS368,BU368,BW368,BZ368:CB368,CD368:CF368,CJ368:CK368)</f>
        <v>483071</v>
      </c>
      <c r="DP368" s="6">
        <f t="shared" ref="DP368" si="1124">SUM(AZ368,BD368:BE368,BH368,BN368,BQ368,BT368)</f>
        <v>115416</v>
      </c>
      <c r="DQ368" s="6">
        <f t="shared" ref="DQ368" si="1125">BY368</f>
        <v>14410</v>
      </c>
      <c r="DR368" s="6">
        <f t="shared" ref="DR368" si="1126">CC368+CI368+AA368</f>
        <v>15519</v>
      </c>
      <c r="DS368" s="6">
        <f t="shared" ref="DS368" si="1127">BP368+BV368</f>
        <v>128138</v>
      </c>
      <c r="DT368" s="6">
        <f t="shared" ref="DT368" si="1128">BG368+BJ368+BL368+BM368+BX368</f>
        <v>13402</v>
      </c>
      <c r="DU368" s="6"/>
      <c r="DV368" s="6"/>
      <c r="DW368" s="6">
        <f t="shared" ref="DW368" si="1129">SUM(DK368:DT368)</f>
        <v>1054351</v>
      </c>
      <c r="DY368" s="6">
        <f t="shared" ref="DY368" si="1130">DO368+DT368+H368+I368+J368+K368+CG368</f>
        <v>627487</v>
      </c>
      <c r="DZ368" s="6">
        <f t="shared" ref="DZ368" si="1131">SUM(G368:L368,O368)</f>
        <v>71408</v>
      </c>
      <c r="EB368" s="6">
        <f t="shared" ref="EB368" si="1132">DZ368+DF368</f>
        <v>1186590</v>
      </c>
      <c r="EC368" s="6"/>
      <c r="ED368" s="6"/>
      <c r="EF368" s="6">
        <f t="shared" ref="EF368" si="1133">SUM(BE368:CK368)-CG368-BP368</f>
        <v>640818</v>
      </c>
      <c r="EG368" s="6">
        <f t="shared" ref="EG368" si="1134">SUM(M368:BC368)-AQ368</f>
        <v>274005</v>
      </c>
      <c r="EH368" s="6">
        <f t="shared" ref="EH368" si="1135">SUM(EF368:EG368)</f>
        <v>914823</v>
      </c>
      <c r="EI368" s="36">
        <f t="shared" ref="EI368" si="1136">(EF368-EF367)/EF367</f>
        <v>8.730841737484362E-4</v>
      </c>
      <c r="EJ368" s="36">
        <f t="shared" ref="EJ368" si="1137">(EG368-EG367)/EG367</f>
        <v>-3.9399809567587088E-4</v>
      </c>
      <c r="EM368" s="104"/>
      <c r="EN368" s="104"/>
      <c r="FC368" s="6">
        <f t="shared" si="884"/>
        <v>86455</v>
      </c>
      <c r="FD368" s="6">
        <f t="shared" si="885"/>
        <v>197940</v>
      </c>
      <c r="FE368" s="32">
        <f t="shared" si="886"/>
        <v>483071</v>
      </c>
      <c r="FF368" s="34">
        <f t="shared" si="887"/>
        <v>13402</v>
      </c>
      <c r="FG368" s="31">
        <f t="shared" si="888"/>
        <v>257964</v>
      </c>
      <c r="FH368" s="6">
        <f t="shared" si="889"/>
        <v>15519</v>
      </c>
      <c r="FI368" s="6">
        <f t="shared" si="890"/>
        <v>0</v>
      </c>
    </row>
    <row r="369" spans="2:166" s="269" customFormat="1">
      <c r="B369" s="50">
        <v>43191</v>
      </c>
      <c r="C369" s="269">
        <v>0</v>
      </c>
      <c r="D369" s="269">
        <v>0</v>
      </c>
      <c r="E369" s="269">
        <v>0</v>
      </c>
      <c r="F369" s="269">
        <v>0</v>
      </c>
      <c r="G369" s="269">
        <v>1170</v>
      </c>
      <c r="H369" s="269">
        <v>18464</v>
      </c>
      <c r="I369" s="269">
        <v>46901</v>
      </c>
      <c r="J369" s="269">
        <v>910</v>
      </c>
      <c r="K369" s="269">
        <v>2171</v>
      </c>
      <c r="L369" s="269">
        <v>1249</v>
      </c>
      <c r="M369" s="269">
        <v>32953</v>
      </c>
      <c r="N369" s="269">
        <v>1502</v>
      </c>
      <c r="O369" s="269">
        <v>697</v>
      </c>
      <c r="P369" s="269">
        <v>1627</v>
      </c>
      <c r="Q369" s="269">
        <v>10183</v>
      </c>
      <c r="R369" s="269">
        <v>239</v>
      </c>
      <c r="S369" s="269">
        <v>4799</v>
      </c>
      <c r="T369" s="269">
        <v>13833</v>
      </c>
      <c r="U369" s="269">
        <v>45</v>
      </c>
      <c r="V369" s="269">
        <v>4474</v>
      </c>
      <c r="W369" s="269">
        <v>42</v>
      </c>
      <c r="X369" s="269">
        <v>16918</v>
      </c>
      <c r="Y369" s="269">
        <v>403</v>
      </c>
      <c r="Z369" s="269">
        <v>6</v>
      </c>
      <c r="AA369" s="269">
        <v>8</v>
      </c>
      <c r="AB369" s="269">
        <v>1</v>
      </c>
      <c r="AC369" s="269">
        <v>115</v>
      </c>
      <c r="AD369" s="269">
        <v>24</v>
      </c>
      <c r="AE369" s="269">
        <v>25</v>
      </c>
      <c r="AF369" s="269">
        <v>14</v>
      </c>
      <c r="AG369" s="269">
        <v>38</v>
      </c>
      <c r="AH369" s="269">
        <v>110</v>
      </c>
      <c r="AI369" s="269">
        <v>2475</v>
      </c>
      <c r="AJ369" s="269">
        <v>2</v>
      </c>
      <c r="AK369" s="269">
        <v>15988</v>
      </c>
      <c r="AL369" s="269">
        <v>112136</v>
      </c>
      <c r="AM369" s="269">
        <v>2188</v>
      </c>
      <c r="AN369" s="269">
        <v>21219</v>
      </c>
      <c r="AO369" s="269">
        <v>21</v>
      </c>
      <c r="AP369" s="269">
        <v>103</v>
      </c>
      <c r="AQ369" s="269">
        <v>10848</v>
      </c>
      <c r="AR369" s="269">
        <v>0</v>
      </c>
      <c r="AS369" s="269">
        <v>886</v>
      </c>
      <c r="AT369" s="269">
        <v>40</v>
      </c>
      <c r="AU369" s="269">
        <v>10365</v>
      </c>
      <c r="AV369" s="269">
        <v>2230</v>
      </c>
      <c r="AW369" s="269">
        <v>3051</v>
      </c>
      <c r="AX369" s="269">
        <v>14943</v>
      </c>
      <c r="AY369" s="269">
        <v>6</v>
      </c>
      <c r="AZ369" s="269">
        <v>4</v>
      </c>
      <c r="BA369" s="269">
        <v>912</v>
      </c>
      <c r="BB369" s="269">
        <v>1</v>
      </c>
      <c r="BC369" s="269">
        <v>135</v>
      </c>
      <c r="BD369" s="269">
        <v>997</v>
      </c>
      <c r="BE369" s="269">
        <v>0</v>
      </c>
      <c r="BF369" s="269">
        <v>0</v>
      </c>
      <c r="BG369" s="269">
        <v>8087</v>
      </c>
      <c r="BH369" s="269">
        <v>0</v>
      </c>
      <c r="BI369" s="269">
        <v>0</v>
      </c>
      <c r="BJ369" s="269">
        <v>0</v>
      </c>
      <c r="BK369" s="269">
        <v>30</v>
      </c>
      <c r="BL369" s="269">
        <v>5396</v>
      </c>
      <c r="BM369" s="269">
        <v>0</v>
      </c>
      <c r="BN369" s="269">
        <v>207</v>
      </c>
      <c r="BO369" s="269">
        <v>0</v>
      </c>
      <c r="BP369" s="269">
        <v>129706</v>
      </c>
      <c r="BQ369" s="269">
        <v>84491</v>
      </c>
      <c r="BR369" s="269">
        <v>2655</v>
      </c>
      <c r="BS369" s="269">
        <v>22</v>
      </c>
      <c r="BT369" s="269">
        <v>29992</v>
      </c>
      <c r="BU369" s="269">
        <v>1783</v>
      </c>
      <c r="BV369" s="269">
        <v>0</v>
      </c>
      <c r="BW369" s="269">
        <v>1</v>
      </c>
      <c r="BX369" s="269">
        <v>3</v>
      </c>
      <c r="BY369" s="269">
        <v>14756</v>
      </c>
      <c r="BZ369" s="269">
        <v>246</v>
      </c>
      <c r="CA369" s="269">
        <v>0</v>
      </c>
      <c r="CB369" s="269">
        <v>27803</v>
      </c>
      <c r="CC369" s="269">
        <v>15512</v>
      </c>
      <c r="CD369" s="269">
        <v>132357</v>
      </c>
      <c r="CE369" s="269">
        <v>283341</v>
      </c>
      <c r="CF369" s="269">
        <v>37358</v>
      </c>
      <c r="CG369" s="269">
        <v>63243</v>
      </c>
      <c r="CH369" s="269">
        <v>0</v>
      </c>
      <c r="CI369" s="269">
        <v>11</v>
      </c>
      <c r="CJ369" s="269">
        <v>0</v>
      </c>
      <c r="CK369" s="269">
        <v>95</v>
      </c>
      <c r="CL369" s="289">
        <v>0</v>
      </c>
      <c r="CM369" s="289">
        <v>0</v>
      </c>
      <c r="CN369" s="316">
        <v>0</v>
      </c>
      <c r="CO369" s="316">
        <v>0</v>
      </c>
      <c r="CP369" s="316">
        <v>0</v>
      </c>
      <c r="CQ369" s="316">
        <v>0</v>
      </c>
      <c r="CR369" s="269">
        <v>433</v>
      </c>
      <c r="CS369" s="269">
        <v>15</v>
      </c>
      <c r="CT369" s="269">
        <v>0</v>
      </c>
      <c r="CU369" s="269">
        <v>0</v>
      </c>
      <c r="CV369" s="269">
        <v>0</v>
      </c>
      <c r="CW369" s="269">
        <v>14</v>
      </c>
      <c r="CX369" s="269">
        <v>0</v>
      </c>
      <c r="CY369" s="269">
        <v>25</v>
      </c>
      <c r="DA369" s="6"/>
      <c r="DC369" s="6"/>
      <c r="DD369" s="6">
        <f t="shared" ref="DD369" si="1138">SUM(AY369:AZ369,BE369:CK369)</f>
        <v>837105</v>
      </c>
      <c r="DE369" s="6">
        <f t="shared" ref="DE369" si="1139">SUM(M369:N369,P369:AX369,BB369:BC369)+CR369+CS369</f>
        <v>284438</v>
      </c>
      <c r="DF369" s="8">
        <f t="shared" ref="DF369" si="1140">SUM(DD369:DE369)</f>
        <v>1121543</v>
      </c>
      <c r="DG369" s="272"/>
      <c r="DH369" s="272"/>
      <c r="DI369" s="272"/>
      <c r="DJ369" s="272"/>
      <c r="DK369" s="6">
        <f t="shared" ref="DK369" si="1141">SUM(M369:N369,P369:S369,U369:X369)</f>
        <v>72782</v>
      </c>
      <c r="DL369" s="6">
        <f t="shared" ref="DL369" si="1142">SUM(Y369:Z369,AB369:AF369,AH369:AM369,AO369,AS369:AW369,BA369:BC369)+CR369+CS369</f>
        <v>151576</v>
      </c>
      <c r="DM369" s="6">
        <f t="shared" ref="DM369" si="1143">T369</f>
        <v>13833</v>
      </c>
      <c r="DN369" s="6">
        <f t="shared" ref="DN369" si="1144">AG369+AX369+AN369+AP369+AQ369+AR369</f>
        <v>47151</v>
      </c>
      <c r="DO369" s="6">
        <f t="shared" ref="DO369" si="1145">SUM(AY369,BF369,BI369,BK369,BO369,BR369:BS369,BU369,BW369,BZ369:CB369,CD369:CF369,CJ369:CK369)</f>
        <v>485697</v>
      </c>
      <c r="DP369" s="6">
        <f t="shared" ref="DP369" si="1146">SUM(AZ369,BD369:BE369,BH369,BN369,BQ369,BT369)</f>
        <v>115691</v>
      </c>
      <c r="DQ369" s="6">
        <f t="shared" ref="DQ369" si="1147">BY369</f>
        <v>14756</v>
      </c>
      <c r="DR369" s="6">
        <f t="shared" ref="DR369" si="1148">CC369+CI369+AA369</f>
        <v>15531</v>
      </c>
      <c r="DS369" s="6">
        <f t="shared" ref="DS369" si="1149">BP369+BV369</f>
        <v>129706</v>
      </c>
      <c r="DT369" s="6">
        <f t="shared" ref="DT369" si="1150">BG369+BJ369+BL369+BM369+BX369</f>
        <v>13486</v>
      </c>
      <c r="DU369" s="6"/>
      <c r="DV369" s="6"/>
      <c r="DW369" s="6">
        <f t="shared" ref="DW369" si="1151">SUM(DK369:DT369)</f>
        <v>1060209</v>
      </c>
      <c r="DX369" s="272"/>
      <c r="DY369" s="6">
        <f t="shared" ref="DY369" si="1152">DO369+DT369+H369+I369+J369+K369+CG369</f>
        <v>630872</v>
      </c>
      <c r="DZ369" s="6">
        <f t="shared" ref="DZ369" si="1153">SUM(G369:L369,O369)</f>
        <v>71562</v>
      </c>
      <c r="EA369" s="272"/>
      <c r="EB369" s="6">
        <f t="shared" ref="EB369" si="1154">DZ369+DF369</f>
        <v>1193105</v>
      </c>
      <c r="EC369" s="6"/>
      <c r="ED369" s="6"/>
      <c r="EE369" s="272"/>
      <c r="EF369" s="6">
        <f t="shared" ref="EF369" si="1155">SUM(BE369:CK369)-CG369-BP369</f>
        <v>644146</v>
      </c>
      <c r="EG369" s="6">
        <f t="shared" ref="EG369" si="1156">SUM(M369:BC369)-AQ369</f>
        <v>274761</v>
      </c>
      <c r="EH369" s="6">
        <f t="shared" ref="EH369" si="1157">SUM(EF369:EG369)</f>
        <v>918907</v>
      </c>
      <c r="EI369" s="36">
        <f t="shared" ref="EI369" si="1158">(EF369-EF368)/EF368</f>
        <v>5.1933622338948028E-3</v>
      </c>
      <c r="EJ369" s="36">
        <f t="shared" ref="EJ369" si="1159">(EG369-EG368)/EG368</f>
        <v>2.7590737395303006E-3</v>
      </c>
      <c r="EM369" s="104"/>
      <c r="EN369" s="104"/>
      <c r="FC369" s="6">
        <f t="shared" si="884"/>
        <v>86615</v>
      </c>
      <c r="FD369" s="6">
        <f t="shared" si="885"/>
        <v>198727</v>
      </c>
      <c r="FE369" s="32">
        <f t="shared" si="886"/>
        <v>485697</v>
      </c>
      <c r="FF369" s="34">
        <f t="shared" si="887"/>
        <v>13486</v>
      </c>
      <c r="FG369" s="31">
        <f t="shared" si="888"/>
        <v>260153</v>
      </c>
      <c r="FH369" s="6">
        <f t="shared" si="889"/>
        <v>15531</v>
      </c>
      <c r="FI369" s="6">
        <f t="shared" si="890"/>
        <v>0</v>
      </c>
    </row>
    <row r="370" spans="2:166" s="272" customFormat="1">
      <c r="B370" s="50">
        <v>43221</v>
      </c>
      <c r="C370" s="273">
        <v>0</v>
      </c>
      <c r="D370" s="273">
        <v>0</v>
      </c>
      <c r="E370" s="273">
        <v>0</v>
      </c>
      <c r="F370" s="273">
        <v>0</v>
      </c>
      <c r="G370" s="273">
        <v>1162</v>
      </c>
      <c r="H370" s="273">
        <v>18422</v>
      </c>
      <c r="I370" s="273">
        <v>47108</v>
      </c>
      <c r="J370" s="273">
        <v>928</v>
      </c>
      <c r="K370" s="273">
        <v>2230</v>
      </c>
      <c r="L370" s="273">
        <v>1260</v>
      </c>
      <c r="M370" s="273">
        <v>33010</v>
      </c>
      <c r="N370" s="273">
        <v>1486</v>
      </c>
      <c r="O370" s="273">
        <v>743</v>
      </c>
      <c r="P370" s="273">
        <v>1666</v>
      </c>
      <c r="Q370" s="273">
        <v>10257</v>
      </c>
      <c r="R370" s="273">
        <v>242</v>
      </c>
      <c r="S370" s="273">
        <v>4831</v>
      </c>
      <c r="T370" s="273">
        <v>13827</v>
      </c>
      <c r="U370" s="273">
        <v>40</v>
      </c>
      <c r="V370" s="273">
        <v>4501</v>
      </c>
      <c r="W370" s="273">
        <v>37</v>
      </c>
      <c r="X370" s="273">
        <v>16891</v>
      </c>
      <c r="Y370" s="273">
        <v>403</v>
      </c>
      <c r="Z370" s="273">
        <v>6</v>
      </c>
      <c r="AA370" s="273">
        <v>5</v>
      </c>
      <c r="AB370" s="273">
        <v>1</v>
      </c>
      <c r="AC370" s="273">
        <v>109</v>
      </c>
      <c r="AD370" s="273">
        <v>23</v>
      </c>
      <c r="AE370" s="273">
        <v>25</v>
      </c>
      <c r="AF370" s="273">
        <v>14</v>
      </c>
      <c r="AG370" s="273">
        <v>40</v>
      </c>
      <c r="AH370" s="273">
        <v>126</v>
      </c>
      <c r="AI370" s="273">
        <v>2519</v>
      </c>
      <c r="AJ370" s="273">
        <v>2</v>
      </c>
      <c r="AK370" s="273">
        <v>15804</v>
      </c>
      <c r="AL370" s="273">
        <v>112360</v>
      </c>
      <c r="AM370" s="273">
        <v>2170</v>
      </c>
      <c r="AN370" s="273">
        <v>21423</v>
      </c>
      <c r="AO370" s="273">
        <v>24</v>
      </c>
      <c r="AP370" s="273">
        <v>103</v>
      </c>
      <c r="AQ370" s="273">
        <v>10987</v>
      </c>
      <c r="AR370" s="273">
        <v>0</v>
      </c>
      <c r="AS370" s="273">
        <v>916</v>
      </c>
      <c r="AT370" s="273">
        <v>40</v>
      </c>
      <c r="AU370" s="273">
        <v>10426</v>
      </c>
      <c r="AV370" s="273">
        <v>2245</v>
      </c>
      <c r="AW370" s="273">
        <v>3075</v>
      </c>
      <c r="AX370" s="273">
        <v>14949</v>
      </c>
      <c r="AY370" s="273">
        <v>6</v>
      </c>
      <c r="AZ370" s="273">
        <v>6</v>
      </c>
      <c r="BA370" s="273">
        <v>897</v>
      </c>
      <c r="BB370" s="273">
        <v>1</v>
      </c>
      <c r="BC370" s="273">
        <v>135</v>
      </c>
      <c r="BD370" s="273">
        <v>1010</v>
      </c>
      <c r="BE370" s="273">
        <v>0</v>
      </c>
      <c r="BF370" s="273">
        <v>0</v>
      </c>
      <c r="BG370" s="273">
        <v>8110</v>
      </c>
      <c r="BH370" s="273">
        <v>0</v>
      </c>
      <c r="BI370" s="273">
        <v>0</v>
      </c>
      <c r="BJ370" s="273">
        <v>0</v>
      </c>
      <c r="BK370" s="273">
        <v>31</v>
      </c>
      <c r="BL370" s="273">
        <v>5363</v>
      </c>
      <c r="BM370" s="273">
        <v>0</v>
      </c>
      <c r="BN370" s="273">
        <v>178</v>
      </c>
      <c r="BO370" s="273">
        <v>0</v>
      </c>
      <c r="BP370" s="273">
        <v>131403</v>
      </c>
      <c r="BQ370" s="273">
        <v>84730</v>
      </c>
      <c r="BR370" s="273">
        <v>2671</v>
      </c>
      <c r="BS370" s="273">
        <v>21</v>
      </c>
      <c r="BT370" s="273">
        <v>29973</v>
      </c>
      <c r="BU370" s="273">
        <v>1786</v>
      </c>
      <c r="BV370" s="273">
        <v>0</v>
      </c>
      <c r="BW370" s="273">
        <v>1</v>
      </c>
      <c r="BX370" s="273">
        <v>3</v>
      </c>
      <c r="BY370" s="273">
        <v>15088</v>
      </c>
      <c r="BZ370" s="273">
        <v>246</v>
      </c>
      <c r="CA370" s="273">
        <v>0</v>
      </c>
      <c r="CB370" s="273">
        <v>27980</v>
      </c>
      <c r="CC370" s="273">
        <v>15570</v>
      </c>
      <c r="CD370" s="273">
        <v>132938</v>
      </c>
      <c r="CE370" s="273">
        <v>284867</v>
      </c>
      <c r="CF370" s="273">
        <v>37719</v>
      </c>
      <c r="CG370" s="273">
        <v>63633</v>
      </c>
      <c r="CH370" s="273">
        <v>0</v>
      </c>
      <c r="CI370" s="273">
        <v>13</v>
      </c>
      <c r="CJ370" s="273">
        <v>0</v>
      </c>
      <c r="CK370" s="273">
        <v>91</v>
      </c>
      <c r="CL370" s="316">
        <v>0</v>
      </c>
      <c r="CM370" s="316">
        <v>0</v>
      </c>
      <c r="CN370" s="316">
        <v>0</v>
      </c>
      <c r="CO370" s="316">
        <v>0</v>
      </c>
      <c r="CP370" s="316">
        <v>0</v>
      </c>
      <c r="CQ370" s="316">
        <v>0</v>
      </c>
      <c r="CR370" s="273">
        <v>444</v>
      </c>
      <c r="CS370" s="273">
        <v>19</v>
      </c>
      <c r="CT370" s="273">
        <v>0</v>
      </c>
      <c r="CU370" s="273">
        <v>0</v>
      </c>
      <c r="CV370" s="273">
        <v>0</v>
      </c>
      <c r="CW370" s="273">
        <v>14</v>
      </c>
      <c r="CX370" s="273">
        <v>0</v>
      </c>
      <c r="CY370" s="273">
        <v>25</v>
      </c>
      <c r="DA370" s="6"/>
      <c r="DC370" s="6"/>
      <c r="DD370" s="6">
        <f t="shared" ref="DD370" si="1160">SUM(AY370:AZ370,BE370:CK370)</f>
        <v>842427</v>
      </c>
      <c r="DE370" s="6">
        <f t="shared" ref="DE370" si="1161">SUM(M370:N370,P370:AX370,BB370:BC370)+CR370+CS370</f>
        <v>285182</v>
      </c>
      <c r="DF370" s="8">
        <f t="shared" ref="DF370" si="1162">SUM(DD370:DE370)</f>
        <v>1127609</v>
      </c>
      <c r="DG370" s="273"/>
      <c r="DH370" s="273"/>
      <c r="DI370" s="273"/>
      <c r="DJ370" s="273"/>
      <c r="DK370" s="6">
        <f t="shared" ref="DK370" si="1163">SUM(M370:N370,P370:S370,U370:X370)</f>
        <v>72961</v>
      </c>
      <c r="DL370" s="6">
        <f t="shared" ref="DL370" si="1164">SUM(Y370:Z370,AB370:AF370,AH370:AM370,AO370,AS370:AW370,BA370:BC370)+CR370+CS370</f>
        <v>151784</v>
      </c>
      <c r="DM370" s="6">
        <f t="shared" ref="DM370" si="1165">T370</f>
        <v>13827</v>
      </c>
      <c r="DN370" s="6">
        <f t="shared" ref="DN370" si="1166">AG370+AX370+AN370+AP370+AQ370+AR370</f>
        <v>47502</v>
      </c>
      <c r="DO370" s="6">
        <f t="shared" ref="DO370" si="1167">SUM(AY370,BF370,BI370,BK370,BO370,BR370:BS370,BU370,BW370,BZ370:CB370,CD370:CF370,CJ370:CK370)</f>
        <v>488357</v>
      </c>
      <c r="DP370" s="6">
        <f t="shared" ref="DP370" si="1168">SUM(AZ370,BD370:BE370,BH370,BN370,BQ370,BT370)</f>
        <v>115897</v>
      </c>
      <c r="DQ370" s="6">
        <f t="shared" ref="DQ370" si="1169">BY370</f>
        <v>15088</v>
      </c>
      <c r="DR370" s="6">
        <f t="shared" ref="DR370" si="1170">CC370+CI370+AA370</f>
        <v>15588</v>
      </c>
      <c r="DS370" s="6">
        <f t="shared" ref="DS370" si="1171">BP370+BV370</f>
        <v>131403</v>
      </c>
      <c r="DT370" s="6">
        <f t="shared" ref="DT370" si="1172">BG370+BJ370+BL370+BM370+BX370</f>
        <v>13476</v>
      </c>
      <c r="DU370" s="6"/>
      <c r="DV370" s="6"/>
      <c r="DW370" s="6">
        <f t="shared" ref="DW370" si="1173">SUM(DK370:DT370)</f>
        <v>1065883</v>
      </c>
      <c r="DX370" s="273"/>
      <c r="DY370" s="6">
        <f t="shared" ref="DY370" si="1174">DO370+DT370+H370+I370+J370+K370+CG370</f>
        <v>634154</v>
      </c>
      <c r="DZ370" s="6">
        <f t="shared" ref="DZ370" si="1175">SUM(G370:L370,O370)</f>
        <v>71853</v>
      </c>
      <c r="EA370" s="273"/>
      <c r="EB370" s="6">
        <f t="shared" ref="EB370" si="1176">DZ370+DF370</f>
        <v>1199462</v>
      </c>
      <c r="EC370" s="6"/>
      <c r="ED370" s="6"/>
      <c r="EE370" s="273"/>
      <c r="EF370" s="6">
        <f t="shared" ref="EF370" si="1177">SUM(BE370:CK370)-CG370-BP370</f>
        <v>647379</v>
      </c>
      <c r="EG370" s="6">
        <f t="shared" ref="EG370" si="1178">SUM(M370:BC370)-AQ370</f>
        <v>275384</v>
      </c>
      <c r="EH370" s="6">
        <f t="shared" ref="EH370" si="1179">SUM(EF370:EG370)</f>
        <v>922763</v>
      </c>
      <c r="EI370" s="36">
        <f t="shared" ref="EI370" si="1180">(EF370-EF369)/EF369</f>
        <v>5.0190484765876061E-3</v>
      </c>
      <c r="EJ370" s="36">
        <f t="shared" ref="EJ370" si="1181">(EG370-EG369)/EG369</f>
        <v>2.2674251440342698E-3</v>
      </c>
      <c r="EK370" s="273"/>
      <c r="EL370" s="273"/>
      <c r="EM370" s="104"/>
      <c r="EN370" s="104"/>
      <c r="FC370" s="6">
        <f t="shared" si="884"/>
        <v>86788</v>
      </c>
      <c r="FD370" s="6">
        <f t="shared" si="885"/>
        <v>199286</v>
      </c>
      <c r="FE370" s="32">
        <f t="shared" si="886"/>
        <v>488357</v>
      </c>
      <c r="FF370" s="34">
        <f t="shared" si="887"/>
        <v>13476</v>
      </c>
      <c r="FG370" s="31">
        <f t="shared" si="888"/>
        <v>262388</v>
      </c>
      <c r="FH370" s="6">
        <f t="shared" si="889"/>
        <v>15588</v>
      </c>
      <c r="FI370" s="6">
        <f t="shared" si="890"/>
        <v>0</v>
      </c>
    </row>
    <row r="371" spans="2:166" s="274" customFormat="1">
      <c r="B371" s="50">
        <v>43252</v>
      </c>
      <c r="C371" s="274">
        <v>0</v>
      </c>
      <c r="D371" s="274">
        <v>0</v>
      </c>
      <c r="E371" s="274">
        <v>0</v>
      </c>
      <c r="F371" s="274">
        <v>0</v>
      </c>
      <c r="G371" s="274">
        <v>1166</v>
      </c>
      <c r="H371" s="274">
        <v>18466</v>
      </c>
      <c r="I371" s="274">
        <v>47419</v>
      </c>
      <c r="J371" s="274">
        <v>931</v>
      </c>
      <c r="K371" s="274">
        <v>2311</v>
      </c>
      <c r="L371" s="274">
        <v>1260</v>
      </c>
      <c r="M371" s="274">
        <v>33008</v>
      </c>
      <c r="N371" s="274">
        <v>1456</v>
      </c>
      <c r="O371" s="274">
        <v>753</v>
      </c>
      <c r="P371" s="274">
        <v>1690</v>
      </c>
      <c r="Q371" s="274">
        <v>10317</v>
      </c>
      <c r="R371" s="274">
        <v>237</v>
      </c>
      <c r="S371" s="274">
        <v>4854</v>
      </c>
      <c r="T371" s="274">
        <v>13852</v>
      </c>
      <c r="U371" s="274">
        <v>43</v>
      </c>
      <c r="V371" s="274">
        <v>4565</v>
      </c>
      <c r="W371" s="274">
        <v>44</v>
      </c>
      <c r="X371" s="274">
        <v>16910</v>
      </c>
      <c r="Y371" s="274">
        <v>411</v>
      </c>
      <c r="Z371" s="274">
        <v>6</v>
      </c>
      <c r="AA371" s="274">
        <v>5</v>
      </c>
      <c r="AB371" s="274">
        <v>1</v>
      </c>
      <c r="AC371" s="274">
        <v>107</v>
      </c>
      <c r="AD371" s="274">
        <v>22</v>
      </c>
      <c r="AE371" s="274">
        <v>25</v>
      </c>
      <c r="AF371" s="274">
        <v>14</v>
      </c>
      <c r="AG371" s="274">
        <v>38</v>
      </c>
      <c r="AH371" s="274">
        <v>128</v>
      </c>
      <c r="AI371" s="274">
        <v>2509</v>
      </c>
      <c r="AJ371" s="274">
        <v>1</v>
      </c>
      <c r="AK371" s="274">
        <v>15668</v>
      </c>
      <c r="AL371" s="274">
        <v>112511</v>
      </c>
      <c r="AM371" s="274">
        <v>2154</v>
      </c>
      <c r="AN371" s="274">
        <v>21500</v>
      </c>
      <c r="AO371" s="274">
        <v>21</v>
      </c>
      <c r="AP371" s="274">
        <v>112</v>
      </c>
      <c r="AQ371" s="274">
        <v>11024</v>
      </c>
      <c r="AR371" s="274">
        <v>0</v>
      </c>
      <c r="AS371" s="274">
        <v>940</v>
      </c>
      <c r="AT371" s="274">
        <v>38</v>
      </c>
      <c r="AU371" s="274">
        <v>10448</v>
      </c>
      <c r="AV371" s="274">
        <v>2247</v>
      </c>
      <c r="AW371" s="274">
        <v>3119</v>
      </c>
      <c r="AX371" s="274">
        <v>14958</v>
      </c>
      <c r="AY371" s="274">
        <v>17</v>
      </c>
      <c r="AZ371" s="274">
        <v>6</v>
      </c>
      <c r="BA371" s="274">
        <v>896</v>
      </c>
      <c r="BB371" s="274">
        <v>1</v>
      </c>
      <c r="BC371" s="274">
        <v>140</v>
      </c>
      <c r="BD371" s="274">
        <v>1041</v>
      </c>
      <c r="BE371" s="274">
        <v>0</v>
      </c>
      <c r="BF371" s="274">
        <v>0</v>
      </c>
      <c r="BG371" s="274">
        <v>8134</v>
      </c>
      <c r="BH371" s="274">
        <v>0</v>
      </c>
      <c r="BI371" s="274">
        <v>0</v>
      </c>
      <c r="BJ371" s="274">
        <v>0</v>
      </c>
      <c r="BK371" s="274">
        <v>30</v>
      </c>
      <c r="BL371" s="274">
        <v>5382</v>
      </c>
      <c r="BM371" s="274">
        <v>0</v>
      </c>
      <c r="BN371" s="274">
        <v>169</v>
      </c>
      <c r="BO371" s="274">
        <v>0</v>
      </c>
      <c r="BP371" s="274">
        <v>132576</v>
      </c>
      <c r="BQ371" s="274">
        <v>84826</v>
      </c>
      <c r="BR371" s="274">
        <v>2677</v>
      </c>
      <c r="BS371" s="274">
        <v>23</v>
      </c>
      <c r="BT371" s="274">
        <v>29945</v>
      </c>
      <c r="BU371" s="274">
        <v>1762</v>
      </c>
      <c r="BV371" s="274">
        <v>0</v>
      </c>
      <c r="BW371" s="274">
        <v>1</v>
      </c>
      <c r="BX371" s="274">
        <v>2</v>
      </c>
      <c r="BY371" s="274">
        <v>15495</v>
      </c>
      <c r="BZ371" s="274">
        <v>233</v>
      </c>
      <c r="CA371" s="274">
        <v>0</v>
      </c>
      <c r="CB371" s="274">
        <v>27901</v>
      </c>
      <c r="CC371" s="274">
        <v>15837</v>
      </c>
      <c r="CD371" s="274">
        <v>133437</v>
      </c>
      <c r="CE371" s="274">
        <v>286089</v>
      </c>
      <c r="CF371" s="274">
        <v>37802</v>
      </c>
      <c r="CG371" s="274">
        <v>63976</v>
      </c>
      <c r="CH371" s="274">
        <v>0</v>
      </c>
      <c r="CI371" s="274">
        <v>10</v>
      </c>
      <c r="CJ371" s="274">
        <v>0</v>
      </c>
      <c r="CK371" s="274">
        <v>91</v>
      </c>
      <c r="CL371" s="316">
        <v>0</v>
      </c>
      <c r="CM371" s="316">
        <v>0</v>
      </c>
      <c r="CN371" s="316">
        <v>0</v>
      </c>
      <c r="CO371" s="316">
        <v>0</v>
      </c>
      <c r="CP371" s="316">
        <v>0</v>
      </c>
      <c r="CQ371" s="316">
        <v>0</v>
      </c>
      <c r="CR371" s="274">
        <v>451</v>
      </c>
      <c r="CS371" s="274">
        <v>29</v>
      </c>
      <c r="CT371" s="274">
        <v>0</v>
      </c>
      <c r="CU371" s="274">
        <v>0</v>
      </c>
      <c r="CV371" s="274">
        <v>0</v>
      </c>
      <c r="CW371" s="274">
        <v>14</v>
      </c>
      <c r="CX371" s="274">
        <v>0</v>
      </c>
      <c r="CY371" s="274">
        <v>25</v>
      </c>
      <c r="DA371" s="6"/>
      <c r="DC371" s="6"/>
      <c r="DD371" s="6">
        <f t="shared" ref="DD371" si="1182">SUM(AY371:AZ371,BE371:CK371)</f>
        <v>846421</v>
      </c>
      <c r="DE371" s="6">
        <f t="shared" ref="DE371" si="1183">SUM(M371:N371,P371:AX371,BB371:BC371)+CR371+CS371</f>
        <v>285604</v>
      </c>
      <c r="DF371" s="8">
        <f t="shared" ref="DF371" si="1184">SUM(DD371:DE371)</f>
        <v>1132025</v>
      </c>
      <c r="DK371" s="6">
        <f t="shared" ref="DK371" si="1185">SUM(M371:N371,P371:S371,U371:X371)</f>
        <v>73124</v>
      </c>
      <c r="DL371" s="6">
        <f t="shared" ref="DL371" si="1186">SUM(Y371:Z371,AB371:AF371,AH371:AM371,AO371,AS371:AW371,BA371:BC371)+CR371+CS371</f>
        <v>151887</v>
      </c>
      <c r="DM371" s="6">
        <f t="shared" ref="DM371" si="1187">T371</f>
        <v>13852</v>
      </c>
      <c r="DN371" s="6">
        <f t="shared" ref="DN371" si="1188">AG371+AX371+AN371+AP371+AQ371+AR371</f>
        <v>47632</v>
      </c>
      <c r="DO371" s="6">
        <f t="shared" ref="DO371" si="1189">SUM(AY371,BF371,BI371,BK371,BO371,BR371:BS371,BU371,BW371,BZ371:CB371,CD371:CF371,CJ371:CK371)</f>
        <v>490063</v>
      </c>
      <c r="DP371" s="6">
        <f t="shared" ref="DP371" si="1190">SUM(AZ371,BD371:BE371,BH371,BN371,BQ371,BT371)</f>
        <v>115987</v>
      </c>
      <c r="DQ371" s="6">
        <f t="shared" ref="DQ371" si="1191">BY371</f>
        <v>15495</v>
      </c>
      <c r="DR371" s="6">
        <f t="shared" ref="DR371" si="1192">CC371+CI371+AA371</f>
        <v>15852</v>
      </c>
      <c r="DS371" s="6">
        <f t="shared" ref="DS371" si="1193">BP371+BV371</f>
        <v>132576</v>
      </c>
      <c r="DT371" s="6">
        <f t="shared" ref="DT371" si="1194">BG371+BJ371+BL371+BM371+BX371</f>
        <v>13518</v>
      </c>
      <c r="DU371" s="6"/>
      <c r="DV371" s="6"/>
      <c r="DW371" s="6">
        <f t="shared" ref="DW371" si="1195">SUM(DK371:DT371)</f>
        <v>1069986</v>
      </c>
      <c r="DY371" s="6">
        <f t="shared" ref="DY371" si="1196">DO371+DT371+H371+I371+J371+K371+CG371</f>
        <v>636684</v>
      </c>
      <c r="DZ371" s="6">
        <f t="shared" ref="DZ371" si="1197">SUM(G371:L371,O371)</f>
        <v>72306</v>
      </c>
      <c r="EB371" s="6">
        <f t="shared" ref="EB371" si="1198">DZ371+DF371</f>
        <v>1204331</v>
      </c>
      <c r="EC371" s="6"/>
      <c r="ED371" s="6"/>
      <c r="EF371" s="6">
        <f t="shared" ref="EF371" si="1199">SUM(BE371:CK371)-CG371-BP371</f>
        <v>649846</v>
      </c>
      <c r="EG371" s="6">
        <f t="shared" ref="EG371" si="1200">SUM(M371:BC371)-AQ371</f>
        <v>275772</v>
      </c>
      <c r="EH371" s="6">
        <f t="shared" ref="EH371" si="1201">SUM(EF371:EG371)</f>
        <v>925618</v>
      </c>
      <c r="EI371" s="36">
        <f t="shared" ref="EI371" si="1202">(EF371-EF370)/EF370</f>
        <v>3.8107507348863648E-3</v>
      </c>
      <c r="EJ371" s="36">
        <f t="shared" ref="EJ371" si="1203">(EG371-EG370)/EG370</f>
        <v>1.4089416959590971E-3</v>
      </c>
      <c r="EM371" s="104"/>
      <c r="EN371" s="104"/>
      <c r="FC371" s="6">
        <f t="shared" si="884"/>
        <v>86976</v>
      </c>
      <c r="FD371" s="6">
        <f t="shared" si="885"/>
        <v>199519</v>
      </c>
      <c r="FE371" s="32">
        <f t="shared" si="886"/>
        <v>490063</v>
      </c>
      <c r="FF371" s="34">
        <f t="shared" si="887"/>
        <v>13518</v>
      </c>
      <c r="FG371" s="31">
        <f t="shared" si="888"/>
        <v>264058</v>
      </c>
      <c r="FH371" s="6">
        <f t="shared" si="889"/>
        <v>15852</v>
      </c>
      <c r="FI371" s="6">
        <f t="shared" si="890"/>
        <v>0</v>
      </c>
    </row>
    <row r="372" spans="2:166" s="273" customFormat="1">
      <c r="B372" s="50">
        <v>43282</v>
      </c>
      <c r="C372" s="276">
        <v>0</v>
      </c>
      <c r="D372" s="276">
        <v>0</v>
      </c>
      <c r="E372" s="276">
        <v>0</v>
      </c>
      <c r="F372" s="276">
        <v>0</v>
      </c>
      <c r="G372" s="276">
        <v>1157</v>
      </c>
      <c r="H372" s="276">
        <v>18348</v>
      </c>
      <c r="I372" s="276">
        <v>47223</v>
      </c>
      <c r="J372" s="276">
        <v>904</v>
      </c>
      <c r="K372" s="276">
        <v>2355</v>
      </c>
      <c r="L372" s="276">
        <v>1259</v>
      </c>
      <c r="M372" s="276">
        <v>32983</v>
      </c>
      <c r="N372" s="276">
        <v>1454</v>
      </c>
      <c r="O372" s="276">
        <v>769</v>
      </c>
      <c r="P372" s="276">
        <v>1702</v>
      </c>
      <c r="Q372" s="276">
        <v>10296</v>
      </c>
      <c r="R372" s="276">
        <v>243</v>
      </c>
      <c r="S372" s="276">
        <v>4852</v>
      </c>
      <c r="T372" s="276">
        <v>13849</v>
      </c>
      <c r="U372" s="276">
        <v>52</v>
      </c>
      <c r="V372" s="276">
        <v>4523</v>
      </c>
      <c r="W372" s="276">
        <v>39</v>
      </c>
      <c r="X372" s="276">
        <v>16906</v>
      </c>
      <c r="Y372" s="276">
        <v>419</v>
      </c>
      <c r="Z372" s="276">
        <v>6</v>
      </c>
      <c r="AA372" s="276">
        <v>5</v>
      </c>
      <c r="AB372" s="276">
        <v>0</v>
      </c>
      <c r="AC372" s="276">
        <v>105</v>
      </c>
      <c r="AD372" s="276">
        <v>22</v>
      </c>
      <c r="AE372" s="276">
        <v>24</v>
      </c>
      <c r="AF372" s="276">
        <v>15</v>
      </c>
      <c r="AG372" s="276">
        <v>36</v>
      </c>
      <c r="AH372" s="276">
        <v>127</v>
      </c>
      <c r="AI372" s="276">
        <v>2503</v>
      </c>
      <c r="AJ372" s="276">
        <v>1</v>
      </c>
      <c r="AK372" s="276">
        <v>15462</v>
      </c>
      <c r="AL372" s="276">
        <v>112633</v>
      </c>
      <c r="AM372" s="276">
        <v>2148</v>
      </c>
      <c r="AN372" s="276">
        <v>21525</v>
      </c>
      <c r="AO372" s="276">
        <v>20</v>
      </c>
      <c r="AP372" s="276">
        <v>118</v>
      </c>
      <c r="AQ372" s="276">
        <v>11099</v>
      </c>
      <c r="AR372" s="276">
        <v>0</v>
      </c>
      <c r="AS372" s="276">
        <v>899</v>
      </c>
      <c r="AT372" s="276">
        <v>38</v>
      </c>
      <c r="AU372" s="276">
        <v>10442</v>
      </c>
      <c r="AV372" s="276">
        <v>2277</v>
      </c>
      <c r="AW372" s="276">
        <v>3191</v>
      </c>
      <c r="AX372" s="276">
        <v>14958</v>
      </c>
      <c r="AY372" s="276">
        <v>12</v>
      </c>
      <c r="AZ372" s="276">
        <v>5</v>
      </c>
      <c r="BA372" s="276">
        <v>881</v>
      </c>
      <c r="BB372" s="276">
        <v>1</v>
      </c>
      <c r="BC372" s="276">
        <v>150</v>
      </c>
      <c r="BD372" s="276">
        <v>1059</v>
      </c>
      <c r="BE372" s="276">
        <v>0</v>
      </c>
      <c r="BF372" s="276">
        <v>0</v>
      </c>
      <c r="BG372" s="276">
        <v>8159</v>
      </c>
      <c r="BH372" s="276">
        <v>0</v>
      </c>
      <c r="BI372" s="276">
        <v>0</v>
      </c>
      <c r="BJ372" s="276">
        <v>0</v>
      </c>
      <c r="BK372" s="276">
        <v>33</v>
      </c>
      <c r="BL372" s="276">
        <v>5407</v>
      </c>
      <c r="BM372" s="276">
        <v>0</v>
      </c>
      <c r="BN372" s="276">
        <v>143</v>
      </c>
      <c r="BO372" s="276">
        <v>0</v>
      </c>
      <c r="BP372" s="276">
        <v>133602</v>
      </c>
      <c r="BQ372" s="276">
        <v>84723</v>
      </c>
      <c r="BR372" s="276">
        <v>2714</v>
      </c>
      <c r="BS372" s="276">
        <v>22</v>
      </c>
      <c r="BT372" s="276">
        <v>29700</v>
      </c>
      <c r="BU372" s="276">
        <v>1769</v>
      </c>
      <c r="BV372" s="276">
        <v>0</v>
      </c>
      <c r="BW372" s="276">
        <v>0</v>
      </c>
      <c r="BX372" s="276">
        <v>2</v>
      </c>
      <c r="BY372" s="276">
        <v>15764</v>
      </c>
      <c r="BZ372" s="276">
        <v>227</v>
      </c>
      <c r="CA372" s="276">
        <v>0</v>
      </c>
      <c r="CB372" s="276">
        <v>27743</v>
      </c>
      <c r="CC372" s="276">
        <v>15886</v>
      </c>
      <c r="CD372" s="276">
        <v>133304</v>
      </c>
      <c r="CE372" s="276">
        <v>286297</v>
      </c>
      <c r="CF372" s="276">
        <v>38179</v>
      </c>
      <c r="CG372" s="276">
        <v>63813</v>
      </c>
      <c r="CH372" s="276">
        <v>0</v>
      </c>
      <c r="CI372" s="276">
        <v>10</v>
      </c>
      <c r="CJ372" s="276">
        <v>0</v>
      </c>
      <c r="CK372" s="276">
        <v>91</v>
      </c>
      <c r="CL372" s="316">
        <v>0</v>
      </c>
      <c r="CM372" s="316">
        <v>0</v>
      </c>
      <c r="CN372" s="316">
        <v>0</v>
      </c>
      <c r="CO372" s="316">
        <v>0</v>
      </c>
      <c r="CP372" s="316">
        <v>0</v>
      </c>
      <c r="CQ372" s="316">
        <v>0</v>
      </c>
      <c r="CR372" s="276">
        <v>452</v>
      </c>
      <c r="CS372" s="276">
        <v>25</v>
      </c>
      <c r="CT372" s="276">
        <v>0</v>
      </c>
      <c r="CU372" s="276">
        <v>0</v>
      </c>
      <c r="CV372" s="276">
        <v>0</v>
      </c>
      <c r="CW372" s="276">
        <v>14</v>
      </c>
      <c r="CX372" s="276">
        <v>0</v>
      </c>
      <c r="CY372" s="276">
        <v>25</v>
      </c>
      <c r="DA372" s="6"/>
      <c r="DC372" s="6"/>
      <c r="DD372" s="6">
        <f t="shared" ref="DD372" si="1204">SUM(AY372:AZ372,BE372:CK372)</f>
        <v>847605</v>
      </c>
      <c r="DE372" s="6">
        <f t="shared" ref="DE372" si="1205">SUM(M372:N372,P372:AX372,BB372:BC372)+CR372+CS372</f>
        <v>285600</v>
      </c>
      <c r="DF372" s="8">
        <f t="shared" ref="DF372" si="1206">SUM(DD372:DE372)</f>
        <v>1133205</v>
      </c>
      <c r="DG372" s="276"/>
      <c r="DH372" s="276"/>
      <c r="DI372" s="276"/>
      <c r="DJ372" s="276"/>
      <c r="DK372" s="6">
        <f t="shared" ref="DK372" si="1207">SUM(M372:N372,P372:S372,U372:X372)</f>
        <v>73050</v>
      </c>
      <c r="DL372" s="6">
        <f t="shared" ref="DL372" si="1208">SUM(Y372:Z372,AB372:AF372,AH372:AM372,AO372,AS372:AW372,BA372:BC372)+CR372+CS372</f>
        <v>151841</v>
      </c>
      <c r="DM372" s="6">
        <f t="shared" ref="DM372" si="1209">T372</f>
        <v>13849</v>
      </c>
      <c r="DN372" s="6">
        <f t="shared" ref="DN372" si="1210">AG372+AX372+AN372+AP372+AQ372+AR372</f>
        <v>47736</v>
      </c>
      <c r="DO372" s="6">
        <f t="shared" ref="DO372" si="1211">SUM(AY372,BF372,BI372,BK372,BO372,BR372:BS372,BU372,BW372,BZ372:CB372,CD372:CF372,CJ372:CK372)</f>
        <v>490391</v>
      </c>
      <c r="DP372" s="6">
        <f t="shared" ref="DP372" si="1212">SUM(AZ372,BD372:BE372,BH372,BN372,BQ372,BT372)</f>
        <v>115630</v>
      </c>
      <c r="DQ372" s="6">
        <f t="shared" ref="DQ372" si="1213">BY372</f>
        <v>15764</v>
      </c>
      <c r="DR372" s="6">
        <f t="shared" ref="DR372" si="1214">CC372+CI372+AA372</f>
        <v>15901</v>
      </c>
      <c r="DS372" s="6">
        <f t="shared" ref="DS372" si="1215">BP372+BV372</f>
        <v>133602</v>
      </c>
      <c r="DT372" s="6">
        <f t="shared" ref="DT372" si="1216">BG372+BJ372+BL372+BM372+BX372</f>
        <v>13568</v>
      </c>
      <c r="DU372" s="6"/>
      <c r="DV372" s="6"/>
      <c r="DW372" s="6">
        <f t="shared" ref="DW372" si="1217">SUM(DK372:DT372)</f>
        <v>1071332</v>
      </c>
      <c r="DX372" s="276"/>
      <c r="DY372" s="6">
        <f t="shared" ref="DY372" si="1218">DO372+DT372+H372+I372+J372+K372+CG372</f>
        <v>636602</v>
      </c>
      <c r="DZ372" s="6">
        <f t="shared" ref="DZ372" si="1219">SUM(G372:L372,O372)</f>
        <v>72015</v>
      </c>
      <c r="EA372" s="276"/>
      <c r="EB372" s="6">
        <f t="shared" ref="EB372" si="1220">DZ372+DF372</f>
        <v>1205220</v>
      </c>
      <c r="EC372" s="6"/>
      <c r="ED372" s="6"/>
      <c r="EE372" s="276"/>
      <c r="EF372" s="6">
        <f t="shared" ref="EF372" si="1221">SUM(BE372:CK372)-CG372-BP372</f>
        <v>650173</v>
      </c>
      <c r="EG372" s="6">
        <f t="shared" ref="EG372" si="1222">SUM(M372:BC372)-AQ372</f>
        <v>275691</v>
      </c>
      <c r="EH372" s="6">
        <f t="shared" ref="EH372" si="1223">SUM(EF372:EG372)</f>
        <v>925864</v>
      </c>
      <c r="EI372" s="36">
        <f t="shared" ref="EI372" si="1224">(EF372-EF371)/EF371</f>
        <v>5.0319614185514723E-4</v>
      </c>
      <c r="EJ372" s="36">
        <f t="shared" ref="EJ372" si="1225">(EG372-EG371)/EG371</f>
        <v>-2.937208998738088E-4</v>
      </c>
      <c r="EK372" s="276"/>
      <c r="EM372" s="104"/>
      <c r="EN372" s="104"/>
      <c r="FC372" s="6">
        <f t="shared" si="884"/>
        <v>86899</v>
      </c>
      <c r="FD372" s="6">
        <f t="shared" si="885"/>
        <v>199577</v>
      </c>
      <c r="FE372" s="32">
        <f t="shared" si="886"/>
        <v>490391</v>
      </c>
      <c r="FF372" s="34">
        <f t="shared" si="887"/>
        <v>13568</v>
      </c>
      <c r="FG372" s="31">
        <f t="shared" si="888"/>
        <v>264996</v>
      </c>
      <c r="FH372" s="6">
        <f t="shared" si="889"/>
        <v>15901</v>
      </c>
      <c r="FI372" s="6">
        <f t="shared" si="890"/>
        <v>0</v>
      </c>
    </row>
    <row r="373" spans="2:166" s="277" customFormat="1">
      <c r="B373" s="50">
        <v>43313</v>
      </c>
      <c r="C373" s="277">
        <v>0</v>
      </c>
      <c r="D373" s="277">
        <v>0</v>
      </c>
      <c r="E373" s="277">
        <v>0</v>
      </c>
      <c r="F373" s="277">
        <v>0</v>
      </c>
      <c r="G373" s="277">
        <v>1140</v>
      </c>
      <c r="H373" s="277">
        <v>18180</v>
      </c>
      <c r="I373" s="277">
        <v>46879</v>
      </c>
      <c r="J373" s="277">
        <v>927</v>
      </c>
      <c r="K373" s="277">
        <v>2308</v>
      </c>
      <c r="L373" s="277">
        <v>1263</v>
      </c>
      <c r="M373" s="277">
        <v>33037</v>
      </c>
      <c r="N373" s="277">
        <v>1449</v>
      </c>
      <c r="O373" s="277">
        <v>758</v>
      </c>
      <c r="P373" s="277">
        <v>1706</v>
      </c>
      <c r="Q373" s="277">
        <v>10265</v>
      </c>
      <c r="R373" s="277">
        <v>235</v>
      </c>
      <c r="S373" s="277">
        <v>4890</v>
      </c>
      <c r="T373" s="277">
        <v>13859</v>
      </c>
      <c r="U373" s="277">
        <v>51</v>
      </c>
      <c r="V373" s="277">
        <v>4510</v>
      </c>
      <c r="W373" s="277">
        <v>40</v>
      </c>
      <c r="X373" s="277">
        <v>16929</v>
      </c>
      <c r="Y373" s="277">
        <v>425</v>
      </c>
      <c r="Z373" s="277">
        <v>6</v>
      </c>
      <c r="AA373" s="277">
        <v>8</v>
      </c>
      <c r="AB373" s="277">
        <v>0</v>
      </c>
      <c r="AC373" s="277">
        <v>103</v>
      </c>
      <c r="AD373" s="277">
        <v>22</v>
      </c>
      <c r="AE373" s="277">
        <v>23</v>
      </c>
      <c r="AF373" s="277">
        <v>13</v>
      </c>
      <c r="AG373" s="277">
        <v>39</v>
      </c>
      <c r="AH373" s="277">
        <v>143</v>
      </c>
      <c r="AI373" s="277">
        <v>2483</v>
      </c>
      <c r="AJ373" s="277">
        <v>1</v>
      </c>
      <c r="AK373" s="277">
        <v>15343</v>
      </c>
      <c r="AL373" s="277">
        <v>112749</v>
      </c>
      <c r="AM373" s="277">
        <v>2143</v>
      </c>
      <c r="AN373" s="277">
        <v>21497</v>
      </c>
      <c r="AO373" s="277">
        <v>18</v>
      </c>
      <c r="AP373" s="277">
        <v>132</v>
      </c>
      <c r="AQ373" s="277">
        <v>11139</v>
      </c>
      <c r="AR373" s="277">
        <v>0</v>
      </c>
      <c r="AS373" s="277">
        <v>869</v>
      </c>
      <c r="AT373" s="277">
        <v>38</v>
      </c>
      <c r="AU373" s="277">
        <v>10441</v>
      </c>
      <c r="AV373" s="277">
        <v>2300</v>
      </c>
      <c r="AW373" s="277">
        <v>3206</v>
      </c>
      <c r="AX373" s="277">
        <v>14938</v>
      </c>
      <c r="AY373" s="277">
        <v>4</v>
      </c>
      <c r="AZ373" s="277">
        <v>3</v>
      </c>
      <c r="BA373" s="277">
        <v>874</v>
      </c>
      <c r="BB373" s="277">
        <v>1</v>
      </c>
      <c r="BC373" s="277">
        <v>145</v>
      </c>
      <c r="BD373" s="277">
        <v>1078</v>
      </c>
      <c r="BE373" s="277">
        <v>0</v>
      </c>
      <c r="BF373" s="277">
        <v>0</v>
      </c>
      <c r="BG373" s="277">
        <v>8167</v>
      </c>
      <c r="BH373" s="277">
        <v>0</v>
      </c>
      <c r="BI373" s="277">
        <v>0</v>
      </c>
      <c r="BJ373" s="277">
        <v>0</v>
      </c>
      <c r="BK373" s="277">
        <v>35</v>
      </c>
      <c r="BL373" s="277">
        <v>5424</v>
      </c>
      <c r="BM373" s="277">
        <v>0</v>
      </c>
      <c r="BN373" s="277">
        <v>121</v>
      </c>
      <c r="BO373" s="277">
        <v>0</v>
      </c>
      <c r="BP373" s="277">
        <v>133612</v>
      </c>
      <c r="BQ373" s="277">
        <v>85004</v>
      </c>
      <c r="BR373" s="277">
        <v>2792</v>
      </c>
      <c r="BS373" s="277">
        <v>19</v>
      </c>
      <c r="BT373" s="277">
        <v>29528</v>
      </c>
      <c r="BU373" s="277">
        <v>1736</v>
      </c>
      <c r="BV373" s="277">
        <v>0</v>
      </c>
      <c r="BW373" s="277">
        <v>0</v>
      </c>
      <c r="BX373" s="277">
        <v>2</v>
      </c>
      <c r="BY373" s="277">
        <v>15996</v>
      </c>
      <c r="BZ373" s="277">
        <v>234</v>
      </c>
      <c r="CA373" s="277">
        <v>0</v>
      </c>
      <c r="CB373" s="277">
        <v>27510</v>
      </c>
      <c r="CC373" s="277">
        <v>15834</v>
      </c>
      <c r="CD373" s="277">
        <v>132622</v>
      </c>
      <c r="CE373" s="277">
        <v>285996</v>
      </c>
      <c r="CF373" s="277">
        <v>38572</v>
      </c>
      <c r="CG373" s="277">
        <v>63529</v>
      </c>
      <c r="CH373" s="277">
        <v>0</v>
      </c>
      <c r="CI373" s="277">
        <v>9</v>
      </c>
      <c r="CJ373" s="277">
        <v>0</v>
      </c>
      <c r="CK373" s="277">
        <v>88</v>
      </c>
      <c r="CL373" s="316">
        <v>0</v>
      </c>
      <c r="CM373" s="316">
        <v>0</v>
      </c>
      <c r="CN373" s="316">
        <v>0</v>
      </c>
      <c r="CO373" s="316">
        <v>0</v>
      </c>
      <c r="CP373" s="316">
        <v>0</v>
      </c>
      <c r="CQ373" s="316">
        <v>0</v>
      </c>
      <c r="CR373" s="277">
        <v>447</v>
      </c>
      <c r="CS373" s="277">
        <v>21</v>
      </c>
      <c r="CT373" s="277">
        <v>0</v>
      </c>
      <c r="CU373" s="277">
        <v>0</v>
      </c>
      <c r="CV373" s="277">
        <v>0</v>
      </c>
      <c r="CW373" s="277">
        <v>14</v>
      </c>
      <c r="CX373" s="277">
        <v>0</v>
      </c>
      <c r="CY373" s="277">
        <v>25</v>
      </c>
      <c r="DA373" s="6"/>
      <c r="DC373" s="6"/>
      <c r="DD373" s="6">
        <f t="shared" ref="DD373" si="1226">SUM(AY373:AZ373,BE373:CK373)</f>
        <v>846837</v>
      </c>
      <c r="DE373" s="6">
        <f t="shared" ref="DE373" si="1227">SUM(M373:N373,P373:AX373,BB373:BC373)+CR373+CS373</f>
        <v>285664</v>
      </c>
      <c r="DF373" s="8">
        <f t="shared" ref="DF373" si="1228">SUM(DD373:DE373)</f>
        <v>1132501</v>
      </c>
      <c r="DK373" s="6">
        <f t="shared" ref="DK373" si="1229">SUM(M373:N373,P373:S373,U373:X373)</f>
        <v>73112</v>
      </c>
      <c r="DL373" s="6">
        <f t="shared" ref="DL373" si="1230">SUM(Y373:Z373,AB373:AF373,AH373:AM373,AO373,AS373:AW373,BA373:BC373)+CR373+CS373</f>
        <v>151814</v>
      </c>
      <c r="DM373" s="6">
        <f t="shared" ref="DM373" si="1231">T373</f>
        <v>13859</v>
      </c>
      <c r="DN373" s="6">
        <f t="shared" ref="DN373" si="1232">AG373+AX373+AN373+AP373+AQ373+AR373</f>
        <v>47745</v>
      </c>
      <c r="DO373" s="6">
        <f t="shared" ref="DO373" si="1233">SUM(AY373,BF373,BI373,BK373,BO373,BR373:BS373,BU373,BW373,BZ373:CB373,CD373:CF373,CJ373:CK373)</f>
        <v>489608</v>
      </c>
      <c r="DP373" s="6">
        <f t="shared" ref="DP373" si="1234">SUM(AZ373,BD373:BE373,BH373,BN373,BQ373,BT373)</f>
        <v>115734</v>
      </c>
      <c r="DQ373" s="6">
        <f t="shared" ref="DQ373" si="1235">BY373</f>
        <v>15996</v>
      </c>
      <c r="DR373" s="6">
        <f t="shared" ref="DR373" si="1236">CC373+CI373+AA373</f>
        <v>15851</v>
      </c>
      <c r="DS373" s="6">
        <f t="shared" ref="DS373" si="1237">BP373+BV373</f>
        <v>133612</v>
      </c>
      <c r="DT373" s="6">
        <f t="shared" ref="DT373" si="1238">BG373+BJ373+BL373+BM373+BX373</f>
        <v>13593</v>
      </c>
      <c r="DU373" s="6"/>
      <c r="DV373" s="6"/>
      <c r="DW373" s="6">
        <f t="shared" ref="DW373" si="1239">SUM(DK373:DT373)</f>
        <v>1070924</v>
      </c>
      <c r="DY373" s="6">
        <f t="shared" ref="DY373" si="1240">DO373+DT373+H373+I373+J373+K373+CG373</f>
        <v>635024</v>
      </c>
      <c r="DZ373" s="6">
        <f t="shared" ref="DZ373" si="1241">SUM(G373:L373,O373)</f>
        <v>71455</v>
      </c>
      <c r="EB373" s="6">
        <f t="shared" ref="EB373" si="1242">DZ373+DF373</f>
        <v>1203956</v>
      </c>
      <c r="EC373" s="6"/>
      <c r="ED373" s="6"/>
      <c r="EF373" s="6">
        <f t="shared" ref="EF373" si="1243">SUM(BE373:CK373)-CG373-BP373</f>
        <v>649689</v>
      </c>
      <c r="EG373" s="6">
        <f t="shared" ref="EG373" si="1244">SUM(M373:BC373)-AQ373</f>
        <v>275696</v>
      </c>
      <c r="EH373" s="6">
        <f t="shared" ref="EH373" si="1245">SUM(EF373:EG373)</f>
        <v>925385</v>
      </c>
      <c r="EI373" s="36">
        <f t="shared" ref="EI373" si="1246">(EF373-EF372)/EF372</f>
        <v>-7.4441725509979647E-4</v>
      </c>
      <c r="EJ373" s="36">
        <f t="shared" ref="EJ373" si="1247">(EG373-EG372)/EG372</f>
        <v>1.813624674000965E-5</v>
      </c>
      <c r="EM373" s="104"/>
      <c r="EN373" s="104"/>
      <c r="FC373" s="6">
        <f t="shared" si="884"/>
        <v>86971</v>
      </c>
      <c r="FD373" s="6">
        <f t="shared" si="885"/>
        <v>199559</v>
      </c>
      <c r="FE373" s="32">
        <f t="shared" si="886"/>
        <v>489608</v>
      </c>
      <c r="FF373" s="34">
        <f t="shared" si="887"/>
        <v>13593</v>
      </c>
      <c r="FG373" s="31">
        <f t="shared" si="888"/>
        <v>265342</v>
      </c>
      <c r="FH373" s="6">
        <f t="shared" si="889"/>
        <v>15851</v>
      </c>
      <c r="FI373" s="6">
        <f t="shared" si="890"/>
        <v>0</v>
      </c>
    </row>
    <row r="374" spans="2:166" s="284" customFormat="1">
      <c r="B374" s="50">
        <v>43344</v>
      </c>
      <c r="C374" s="284">
        <v>0</v>
      </c>
      <c r="D374" s="284">
        <v>0</v>
      </c>
      <c r="E374" s="284">
        <v>0</v>
      </c>
      <c r="F374" s="284">
        <v>0</v>
      </c>
      <c r="G374" s="284">
        <v>1139</v>
      </c>
      <c r="H374" s="284">
        <v>18211</v>
      </c>
      <c r="I374" s="284">
        <v>46897</v>
      </c>
      <c r="J374" s="284">
        <v>925</v>
      </c>
      <c r="K374" s="284">
        <v>2351</v>
      </c>
      <c r="L374" s="284">
        <v>1243</v>
      </c>
      <c r="M374" s="284">
        <v>33073</v>
      </c>
      <c r="N374" s="284">
        <v>1427</v>
      </c>
      <c r="O374" s="284">
        <v>766</v>
      </c>
      <c r="P374" s="284">
        <v>1722</v>
      </c>
      <c r="Q374" s="284">
        <v>10289</v>
      </c>
      <c r="R374" s="284">
        <v>235</v>
      </c>
      <c r="S374" s="284">
        <v>4928</v>
      </c>
      <c r="T374" s="284">
        <v>13883</v>
      </c>
      <c r="U374" s="284">
        <v>49</v>
      </c>
      <c r="V374" s="284">
        <v>4516</v>
      </c>
      <c r="W374" s="284">
        <v>36</v>
      </c>
      <c r="X374" s="284">
        <v>16917</v>
      </c>
      <c r="Y374" s="284">
        <v>426</v>
      </c>
      <c r="Z374" s="284">
        <v>6</v>
      </c>
      <c r="AA374" s="284">
        <v>7</v>
      </c>
      <c r="AB374" s="284">
        <v>1</v>
      </c>
      <c r="AC374" s="284">
        <v>97</v>
      </c>
      <c r="AD374" s="284">
        <v>24</v>
      </c>
      <c r="AE374" s="284">
        <v>22</v>
      </c>
      <c r="AF374" s="284">
        <v>15</v>
      </c>
      <c r="AG374" s="284">
        <v>39</v>
      </c>
      <c r="AH374" s="284">
        <v>139</v>
      </c>
      <c r="AI374" s="284">
        <v>2480</v>
      </c>
      <c r="AJ374" s="284">
        <v>1</v>
      </c>
      <c r="AK374" s="284">
        <v>15092</v>
      </c>
      <c r="AL374" s="284">
        <v>112826</v>
      </c>
      <c r="AM374" s="284">
        <v>2135</v>
      </c>
      <c r="AN374" s="284">
        <v>21638</v>
      </c>
      <c r="AO374" s="284">
        <v>15</v>
      </c>
      <c r="AP374" s="284">
        <v>142</v>
      </c>
      <c r="AQ374" s="284">
        <v>11183</v>
      </c>
      <c r="AR374" s="284">
        <v>0</v>
      </c>
      <c r="AS374" s="284">
        <v>862</v>
      </c>
      <c r="AT374" s="284">
        <v>39</v>
      </c>
      <c r="AU374" s="284">
        <v>10449</v>
      </c>
      <c r="AV374" s="284">
        <v>2313</v>
      </c>
      <c r="AW374" s="284">
        <v>3230</v>
      </c>
      <c r="AX374" s="284">
        <v>14937</v>
      </c>
      <c r="AY374" s="284">
        <v>27</v>
      </c>
      <c r="AZ374" s="284">
        <v>2</v>
      </c>
      <c r="BA374" s="284">
        <v>888</v>
      </c>
      <c r="BB374" s="284">
        <v>1</v>
      </c>
      <c r="BC374" s="284">
        <v>151</v>
      </c>
      <c r="BD374" s="284">
        <v>1117</v>
      </c>
      <c r="BE374" s="284">
        <v>0</v>
      </c>
      <c r="BF374" s="284">
        <v>0</v>
      </c>
      <c r="BG374" s="284">
        <v>8207</v>
      </c>
      <c r="BH374" s="284">
        <v>0</v>
      </c>
      <c r="BI374" s="284">
        <v>0</v>
      </c>
      <c r="BJ374" s="284">
        <v>0</v>
      </c>
      <c r="BK374" s="284">
        <v>39</v>
      </c>
      <c r="BL374" s="284">
        <v>5355</v>
      </c>
      <c r="BM374" s="284">
        <v>0</v>
      </c>
      <c r="BN374" s="284">
        <v>117</v>
      </c>
      <c r="BO374" s="284">
        <v>0</v>
      </c>
      <c r="BP374" s="284">
        <v>134934</v>
      </c>
      <c r="BQ374" s="284">
        <v>85315</v>
      </c>
      <c r="BR374" s="284">
        <v>2822</v>
      </c>
      <c r="BS374" s="284">
        <v>20</v>
      </c>
      <c r="BT374" s="284">
        <v>29357</v>
      </c>
      <c r="BU374" s="284">
        <v>1788</v>
      </c>
      <c r="BV374" s="284">
        <v>0</v>
      </c>
      <c r="BW374" s="284">
        <v>0</v>
      </c>
      <c r="BX374" s="284">
        <v>3</v>
      </c>
      <c r="BY374" s="284">
        <v>16339</v>
      </c>
      <c r="BZ374" s="284">
        <v>230</v>
      </c>
      <c r="CA374" s="284">
        <v>0</v>
      </c>
      <c r="CB374" s="284">
        <v>27468</v>
      </c>
      <c r="CC374" s="284">
        <v>16029</v>
      </c>
      <c r="CD374" s="284">
        <v>132657</v>
      </c>
      <c r="CE374" s="284">
        <v>286223</v>
      </c>
      <c r="CF374" s="284">
        <v>38663</v>
      </c>
      <c r="CG374" s="284">
        <v>63299</v>
      </c>
      <c r="CH374" s="284">
        <v>0</v>
      </c>
      <c r="CI374" s="284">
        <v>6</v>
      </c>
      <c r="CJ374" s="284">
        <v>0</v>
      </c>
      <c r="CK374" s="284">
        <v>89</v>
      </c>
      <c r="CL374" s="316">
        <v>0</v>
      </c>
      <c r="CM374" s="316">
        <v>0</v>
      </c>
      <c r="CN374" s="316">
        <v>0</v>
      </c>
      <c r="CO374" s="316">
        <v>0</v>
      </c>
      <c r="CP374" s="316">
        <v>0</v>
      </c>
      <c r="CQ374" s="316">
        <v>0</v>
      </c>
      <c r="CR374" s="284">
        <v>450</v>
      </c>
      <c r="CS374" s="284">
        <v>24</v>
      </c>
      <c r="CT374" s="284">
        <v>0</v>
      </c>
      <c r="CU374" s="284">
        <v>0</v>
      </c>
      <c r="CV374" s="284">
        <v>0</v>
      </c>
      <c r="CW374" s="284">
        <v>13</v>
      </c>
      <c r="CX374" s="284">
        <v>0</v>
      </c>
      <c r="CY374" s="284">
        <v>25</v>
      </c>
      <c r="DA374" s="6"/>
      <c r="DC374" s="6"/>
      <c r="DD374" s="6">
        <f t="shared" ref="DD374" si="1248">SUM(AY374:AZ374,BE374:CK374)</f>
        <v>848989</v>
      </c>
      <c r="DE374" s="6">
        <f t="shared" ref="DE374" si="1249">SUM(M374:N374,P374:AX374,BB374:BC374)+CR374+CS374</f>
        <v>285819</v>
      </c>
      <c r="DF374" s="8">
        <f t="shared" ref="DF374" si="1250">SUM(DD374:DE374)</f>
        <v>1134808</v>
      </c>
      <c r="DK374" s="6">
        <f t="shared" ref="DK374" si="1251">SUM(M374:N374,P374:S374,U374:X374)</f>
        <v>73192</v>
      </c>
      <c r="DL374" s="6">
        <f t="shared" ref="DL374" si="1252">SUM(Y374:Z374,AB374:AF374,AH374:AM374,AO374,AS374:AW374,BA374:BC374)+CR374+CS374</f>
        <v>151686</v>
      </c>
      <c r="DM374" s="6">
        <f t="shared" ref="DM374" si="1253">T374</f>
        <v>13883</v>
      </c>
      <c r="DN374" s="6">
        <f t="shared" ref="DN374" si="1254">AG374+AX374+AN374+AP374+AQ374+AR374</f>
        <v>47939</v>
      </c>
      <c r="DO374" s="6">
        <f t="shared" ref="DO374" si="1255">SUM(AY374,BF374,BI374,BK374,BO374,BR374:BS374,BU374,BW374,BZ374:CB374,CD374:CF374,CJ374:CK374)</f>
        <v>490026</v>
      </c>
      <c r="DP374" s="6">
        <f t="shared" ref="DP374" si="1256">SUM(AZ374,BD374:BE374,BH374,BN374,BQ374,BT374)</f>
        <v>115908</v>
      </c>
      <c r="DQ374" s="6">
        <f t="shared" ref="DQ374" si="1257">BY374</f>
        <v>16339</v>
      </c>
      <c r="DR374" s="6">
        <f t="shared" ref="DR374" si="1258">CC374+CI374+AA374</f>
        <v>16042</v>
      </c>
      <c r="DS374" s="6">
        <f t="shared" ref="DS374" si="1259">BP374+BV374</f>
        <v>134934</v>
      </c>
      <c r="DT374" s="6">
        <f t="shared" ref="DT374" si="1260">BG374+BJ374+BL374+BM374+BX374</f>
        <v>13565</v>
      </c>
      <c r="DU374" s="6"/>
      <c r="DV374" s="6"/>
      <c r="DW374" s="6">
        <f t="shared" ref="DW374" si="1261">SUM(DK374:DT374)</f>
        <v>1073514</v>
      </c>
      <c r="DY374" s="6">
        <f t="shared" ref="DY374" si="1262">DO374+DT374+H374+I374+J374+K374+CG374</f>
        <v>635274</v>
      </c>
      <c r="DZ374" s="6">
        <f t="shared" ref="DZ374" si="1263">SUM(G374:L374,O374)</f>
        <v>71532</v>
      </c>
      <c r="EB374" s="6">
        <f t="shared" ref="EB374" si="1264">DZ374+DF374</f>
        <v>1206340</v>
      </c>
      <c r="EC374" s="6"/>
      <c r="ED374" s="6"/>
      <c r="EF374" s="6">
        <f t="shared" ref="EF374" si="1265">SUM(BE374:CK374)-CG374-BP374</f>
        <v>650727</v>
      </c>
      <c r="EG374" s="6">
        <f t="shared" ref="EG374" si="1266">SUM(M374:BC374)-AQ374</f>
        <v>275845</v>
      </c>
      <c r="EH374" s="6">
        <f t="shared" ref="EH374" si="1267">SUM(EF374:EG374)</f>
        <v>926572</v>
      </c>
      <c r="EI374" s="36">
        <f t="shared" ref="EI374" si="1268">(EF374-EF373)/EF373</f>
        <v>1.5976875089465882E-3</v>
      </c>
      <c r="EJ374" s="36">
        <f t="shared" ref="EJ374" si="1269">(EG374-EG373)/EG373</f>
        <v>5.4045035111136908E-4</v>
      </c>
      <c r="EM374" s="104"/>
      <c r="EN374" s="104"/>
      <c r="FC374" s="6">
        <f t="shared" si="884"/>
        <v>87075</v>
      </c>
      <c r="FD374" s="6">
        <f t="shared" si="885"/>
        <v>199625</v>
      </c>
      <c r="FE374" s="32">
        <f t="shared" si="886"/>
        <v>490026</v>
      </c>
      <c r="FF374" s="34">
        <f t="shared" si="887"/>
        <v>13565</v>
      </c>
      <c r="FG374" s="31">
        <f t="shared" si="888"/>
        <v>267181</v>
      </c>
      <c r="FH374" s="6">
        <f t="shared" si="889"/>
        <v>16042</v>
      </c>
      <c r="FI374" s="6">
        <f t="shared" si="890"/>
        <v>0</v>
      </c>
    </row>
    <row r="375" spans="2:166" s="285" customFormat="1">
      <c r="B375" s="50">
        <v>43374</v>
      </c>
      <c r="C375" s="285">
        <v>0</v>
      </c>
      <c r="D375" s="285">
        <v>0</v>
      </c>
      <c r="E375" s="285">
        <v>0</v>
      </c>
      <c r="F375" s="285">
        <v>0</v>
      </c>
      <c r="G375" s="285">
        <v>1124</v>
      </c>
      <c r="H375" s="285">
        <v>18139</v>
      </c>
      <c r="I375" s="285">
        <v>47050</v>
      </c>
      <c r="J375" s="285">
        <v>924</v>
      </c>
      <c r="K375" s="285">
        <v>2340</v>
      </c>
      <c r="L375" s="285">
        <v>1243</v>
      </c>
      <c r="M375" s="285">
        <v>32994</v>
      </c>
      <c r="N375" s="285">
        <v>1419</v>
      </c>
      <c r="O375" s="285">
        <v>763</v>
      </c>
      <c r="P375" s="285">
        <v>1715</v>
      </c>
      <c r="Q375" s="285">
        <v>10193</v>
      </c>
      <c r="R375" s="285">
        <v>238</v>
      </c>
      <c r="S375" s="285">
        <v>4901</v>
      </c>
      <c r="T375" s="285">
        <v>13804</v>
      </c>
      <c r="U375" s="285">
        <v>41</v>
      </c>
      <c r="V375" s="285">
        <v>4503</v>
      </c>
      <c r="W375" s="285">
        <v>38</v>
      </c>
      <c r="X375" s="285">
        <v>16865</v>
      </c>
      <c r="Y375" s="285">
        <v>433</v>
      </c>
      <c r="Z375" s="285">
        <v>6</v>
      </c>
      <c r="AA375" s="285">
        <v>5</v>
      </c>
      <c r="AB375" s="285">
        <v>2</v>
      </c>
      <c r="AC375" s="285">
        <v>96</v>
      </c>
      <c r="AD375" s="285">
        <v>25</v>
      </c>
      <c r="AE375" s="285">
        <v>22</v>
      </c>
      <c r="AF375" s="285">
        <v>13</v>
      </c>
      <c r="AG375" s="285">
        <v>40</v>
      </c>
      <c r="AH375" s="285">
        <v>138</v>
      </c>
      <c r="AI375" s="285">
        <v>2485</v>
      </c>
      <c r="AJ375" s="285">
        <v>1</v>
      </c>
      <c r="AK375" s="285">
        <v>14992</v>
      </c>
      <c r="AL375" s="285">
        <v>112813</v>
      </c>
      <c r="AM375" s="285">
        <v>2124</v>
      </c>
      <c r="AN375" s="285">
        <v>21580</v>
      </c>
      <c r="AO375" s="285">
        <v>11</v>
      </c>
      <c r="AP375" s="285">
        <v>154</v>
      </c>
      <c r="AQ375" s="285">
        <v>11221</v>
      </c>
      <c r="AR375" s="285">
        <v>0</v>
      </c>
      <c r="AS375" s="285">
        <v>826</v>
      </c>
      <c r="AT375" s="285">
        <v>40</v>
      </c>
      <c r="AU375" s="285">
        <v>10444</v>
      </c>
      <c r="AV375" s="285">
        <v>2296</v>
      </c>
      <c r="AW375" s="285">
        <v>3220</v>
      </c>
      <c r="AX375" s="285">
        <v>14822</v>
      </c>
      <c r="AY375" s="285">
        <v>26</v>
      </c>
      <c r="AZ375" s="285">
        <v>1</v>
      </c>
      <c r="BA375" s="285">
        <v>888</v>
      </c>
      <c r="BB375" s="285">
        <v>0</v>
      </c>
      <c r="BC375" s="285">
        <v>155</v>
      </c>
      <c r="BD375" s="285">
        <v>1136</v>
      </c>
      <c r="BE375" s="285">
        <v>0</v>
      </c>
      <c r="BF375" s="285">
        <v>0</v>
      </c>
      <c r="BG375" s="285">
        <v>8248</v>
      </c>
      <c r="BH375" s="285">
        <v>0</v>
      </c>
      <c r="BI375" s="285">
        <v>0</v>
      </c>
      <c r="BJ375" s="285">
        <v>0</v>
      </c>
      <c r="BK375" s="285">
        <v>38</v>
      </c>
      <c r="BL375" s="285">
        <v>5300</v>
      </c>
      <c r="BM375" s="285">
        <v>0</v>
      </c>
      <c r="BN375" s="285">
        <v>112</v>
      </c>
      <c r="BO375" s="285">
        <v>0</v>
      </c>
      <c r="BP375" s="285">
        <v>136074</v>
      </c>
      <c r="BQ375" s="285">
        <v>85502</v>
      </c>
      <c r="BR375" s="285">
        <v>2836</v>
      </c>
      <c r="BS375" s="285">
        <v>20</v>
      </c>
      <c r="BT375" s="285">
        <v>29275</v>
      </c>
      <c r="BU375" s="285">
        <v>1827</v>
      </c>
      <c r="BV375" s="285">
        <v>0</v>
      </c>
      <c r="BW375" s="285">
        <v>0</v>
      </c>
      <c r="BX375" s="285">
        <v>3</v>
      </c>
      <c r="BY375" s="285">
        <v>16578</v>
      </c>
      <c r="BZ375" s="285">
        <v>233</v>
      </c>
      <c r="CA375" s="285">
        <v>0</v>
      </c>
      <c r="CB375" s="285">
        <v>27447</v>
      </c>
      <c r="CC375" s="285">
        <v>15647</v>
      </c>
      <c r="CD375" s="285">
        <v>132089</v>
      </c>
      <c r="CE375" s="285">
        <v>286501</v>
      </c>
      <c r="CF375" s="285">
        <v>39165</v>
      </c>
      <c r="CG375" s="285">
        <v>63391</v>
      </c>
      <c r="CH375" s="285">
        <v>0</v>
      </c>
      <c r="CI375" s="285">
        <v>8</v>
      </c>
      <c r="CJ375" s="285">
        <v>0</v>
      </c>
      <c r="CK375" s="285">
        <v>96</v>
      </c>
      <c r="CL375" s="316">
        <v>0</v>
      </c>
      <c r="CM375" s="316">
        <v>0</v>
      </c>
      <c r="CN375" s="316">
        <v>0</v>
      </c>
      <c r="CO375" s="316">
        <v>0</v>
      </c>
      <c r="CP375" s="316">
        <v>0</v>
      </c>
      <c r="CQ375" s="316">
        <v>0</v>
      </c>
      <c r="CR375" s="285">
        <v>565</v>
      </c>
      <c r="CS375" s="285">
        <v>27</v>
      </c>
      <c r="CT375" s="285">
        <v>0</v>
      </c>
      <c r="CU375" s="285">
        <v>0</v>
      </c>
      <c r="CV375" s="285">
        <v>0</v>
      </c>
      <c r="CW375" s="285">
        <v>13</v>
      </c>
      <c r="CX375" s="285">
        <v>0</v>
      </c>
      <c r="CY375" s="285">
        <v>24</v>
      </c>
      <c r="DA375" s="6"/>
      <c r="DC375" s="6"/>
      <c r="DD375" s="6">
        <f t="shared" ref="DD375" si="1270">SUM(AY375:AZ375,BE375:CK375)</f>
        <v>850417</v>
      </c>
      <c r="DE375" s="6">
        <f t="shared" ref="DE375" si="1271">SUM(M375:N375,P375:AX375,BB375:BC375)+CR375+CS375</f>
        <v>285267</v>
      </c>
      <c r="DF375" s="8">
        <f t="shared" ref="DF375" si="1272">SUM(DD375:DE375)</f>
        <v>1135684</v>
      </c>
      <c r="DK375" s="6">
        <f t="shared" ref="DK375" si="1273">SUM(M375:N375,P375:S375,U375:X375)</f>
        <v>72907</v>
      </c>
      <c r="DL375" s="6">
        <f t="shared" ref="DL375" si="1274">SUM(Y375:Z375,AB375:AF375,AH375:AM375,AO375,AS375:AW375,BA375:BC375)+CR375+CS375</f>
        <v>151622</v>
      </c>
      <c r="DM375" s="6">
        <f t="shared" ref="DM375" si="1275">T375</f>
        <v>13804</v>
      </c>
      <c r="DN375" s="6">
        <f t="shared" ref="DN375" si="1276">AG375+AX375+AN375+AP375+AQ375+AR375</f>
        <v>47817</v>
      </c>
      <c r="DO375" s="6">
        <f t="shared" ref="DO375" si="1277">SUM(AY375,BF375,BI375,BK375,BO375,BR375:BS375,BU375,BW375,BZ375:CB375,CD375:CF375,CJ375:CK375)</f>
        <v>490278</v>
      </c>
      <c r="DP375" s="6">
        <f t="shared" ref="DP375" si="1278">SUM(AZ375,BD375:BE375,BH375,BN375,BQ375,BT375)</f>
        <v>116026</v>
      </c>
      <c r="DQ375" s="6">
        <f t="shared" ref="DQ375" si="1279">BY375</f>
        <v>16578</v>
      </c>
      <c r="DR375" s="6">
        <f t="shared" ref="DR375" si="1280">CC375+CI375+AA375</f>
        <v>15660</v>
      </c>
      <c r="DS375" s="6">
        <f t="shared" ref="DS375" si="1281">BP375+BV375</f>
        <v>136074</v>
      </c>
      <c r="DT375" s="6">
        <f t="shared" ref="DT375" si="1282">BG375+BJ375+BL375+BM375+BX375</f>
        <v>13551</v>
      </c>
      <c r="DU375" s="6"/>
      <c r="DV375" s="6"/>
      <c r="DW375" s="6">
        <f t="shared" ref="DW375" si="1283">SUM(DK375:DT375)</f>
        <v>1074317</v>
      </c>
      <c r="DY375" s="6">
        <f t="shared" ref="DY375" si="1284">DO375+DT375+H375+I375+J375+K375+CG375</f>
        <v>635673</v>
      </c>
      <c r="DZ375" s="6">
        <f t="shared" ref="DZ375" si="1285">SUM(G375:L375,O375)</f>
        <v>71583</v>
      </c>
      <c r="EB375" s="6">
        <f t="shared" ref="EB375" si="1286">DZ375+DF375</f>
        <v>1207267</v>
      </c>
      <c r="EC375" s="6"/>
      <c r="ED375" s="6"/>
      <c r="EF375" s="6">
        <f t="shared" ref="EF375" si="1287">SUM(BE375:CK375)-CG375-BP375</f>
        <v>650925</v>
      </c>
      <c r="EG375" s="6">
        <f t="shared" ref="EG375" si="1288">SUM(M375:BC375)-AQ375</f>
        <v>275132</v>
      </c>
      <c r="EH375" s="6">
        <f t="shared" ref="EH375" si="1289">SUM(EF375:EG375)</f>
        <v>926057</v>
      </c>
      <c r="EI375" s="36">
        <f t="shared" ref="EI375" si="1290">(EF375-EF374)/EF374</f>
        <v>3.0427506465845124E-4</v>
      </c>
      <c r="EJ375" s="36">
        <f t="shared" ref="EJ375" si="1291">(EG375-EG374)/EG374</f>
        <v>-2.5847849335677645E-3</v>
      </c>
      <c r="EM375" s="104"/>
      <c r="EN375" s="104"/>
      <c r="FC375" s="6">
        <f t="shared" si="884"/>
        <v>86711</v>
      </c>
      <c r="FD375" s="6">
        <f t="shared" si="885"/>
        <v>199439</v>
      </c>
      <c r="FE375" s="32">
        <f t="shared" si="886"/>
        <v>490278</v>
      </c>
      <c r="FF375" s="34">
        <f t="shared" si="887"/>
        <v>13551</v>
      </c>
      <c r="FG375" s="31">
        <f t="shared" si="888"/>
        <v>268678</v>
      </c>
      <c r="FH375" s="6">
        <f t="shared" si="889"/>
        <v>15660</v>
      </c>
      <c r="FI375" s="6">
        <f t="shared" si="890"/>
        <v>0</v>
      </c>
    </row>
    <row r="376" spans="2:166" s="286" customFormat="1">
      <c r="B376" s="50">
        <v>43405</v>
      </c>
      <c r="C376" s="286">
        <v>0</v>
      </c>
      <c r="D376" s="286">
        <v>0</v>
      </c>
      <c r="E376" s="286">
        <v>0</v>
      </c>
      <c r="F376" s="286">
        <v>0</v>
      </c>
      <c r="G376" s="286">
        <v>1115</v>
      </c>
      <c r="H376" s="286">
        <v>18019</v>
      </c>
      <c r="I376" s="286">
        <v>47104</v>
      </c>
      <c r="J376" s="286">
        <v>923</v>
      </c>
      <c r="K376" s="286">
        <v>2327</v>
      </c>
      <c r="L376" s="286">
        <v>1263</v>
      </c>
      <c r="M376" s="286">
        <v>33016</v>
      </c>
      <c r="N376" s="286">
        <v>1410</v>
      </c>
      <c r="O376" s="286">
        <v>776</v>
      </c>
      <c r="P376" s="286">
        <v>1747</v>
      </c>
      <c r="Q376" s="286">
        <v>10261</v>
      </c>
      <c r="R376" s="286">
        <v>240</v>
      </c>
      <c r="S376" s="286">
        <v>4935</v>
      </c>
      <c r="T376" s="286">
        <v>13881</v>
      </c>
      <c r="U376" s="286">
        <v>47</v>
      </c>
      <c r="V376" s="286">
        <v>4548</v>
      </c>
      <c r="W376" s="286">
        <v>38</v>
      </c>
      <c r="X376" s="286">
        <v>16837</v>
      </c>
      <c r="Y376" s="286">
        <v>437</v>
      </c>
      <c r="Z376" s="286">
        <v>6</v>
      </c>
      <c r="AA376" s="286">
        <v>4</v>
      </c>
      <c r="AB376" s="286">
        <v>2</v>
      </c>
      <c r="AC376" s="286">
        <v>89</v>
      </c>
      <c r="AD376" s="286">
        <v>25</v>
      </c>
      <c r="AE376" s="286">
        <v>22</v>
      </c>
      <c r="AF376" s="286">
        <v>11</v>
      </c>
      <c r="AG376" s="286">
        <v>43</v>
      </c>
      <c r="AH376" s="286">
        <v>142</v>
      </c>
      <c r="AI376" s="286">
        <v>2490</v>
      </c>
      <c r="AJ376" s="286">
        <v>1</v>
      </c>
      <c r="AK376" s="286">
        <v>14933</v>
      </c>
      <c r="AL376" s="286">
        <v>112985</v>
      </c>
      <c r="AM376" s="286">
        <v>2120</v>
      </c>
      <c r="AN376" s="286">
        <v>21599</v>
      </c>
      <c r="AO376" s="286">
        <v>19</v>
      </c>
      <c r="AP376" s="286">
        <v>167</v>
      </c>
      <c r="AQ376" s="286">
        <v>11324</v>
      </c>
      <c r="AR376" s="286">
        <v>0</v>
      </c>
      <c r="AS376" s="286">
        <v>865</v>
      </c>
      <c r="AT376" s="286">
        <v>39</v>
      </c>
      <c r="AU376" s="286">
        <v>10473</v>
      </c>
      <c r="AV376" s="286">
        <v>2311</v>
      </c>
      <c r="AW376" s="286">
        <v>3242</v>
      </c>
      <c r="AX376" s="286">
        <v>14836</v>
      </c>
      <c r="AY376" s="286">
        <v>6</v>
      </c>
      <c r="AZ376" s="286">
        <v>3</v>
      </c>
      <c r="BA376" s="286">
        <v>880</v>
      </c>
      <c r="BB376" s="286">
        <v>0</v>
      </c>
      <c r="BC376" s="286">
        <v>153</v>
      </c>
      <c r="BD376" s="286">
        <v>1147</v>
      </c>
      <c r="BE376" s="286">
        <v>0</v>
      </c>
      <c r="BF376" s="286">
        <v>0</v>
      </c>
      <c r="BG376" s="286">
        <v>8295</v>
      </c>
      <c r="BH376" s="286">
        <v>0</v>
      </c>
      <c r="BI376" s="286">
        <v>0</v>
      </c>
      <c r="BJ376" s="286">
        <v>0</v>
      </c>
      <c r="BK376" s="286">
        <v>37</v>
      </c>
      <c r="BL376" s="286">
        <v>5304</v>
      </c>
      <c r="BM376" s="286">
        <v>0</v>
      </c>
      <c r="BN376" s="286">
        <v>99</v>
      </c>
      <c r="BO376" s="286">
        <v>0</v>
      </c>
      <c r="BP376" s="286">
        <v>138145</v>
      </c>
      <c r="BQ376" s="286">
        <v>86162</v>
      </c>
      <c r="BR376" s="286">
        <v>2850</v>
      </c>
      <c r="BS376" s="286">
        <v>20</v>
      </c>
      <c r="BT376" s="286">
        <v>29298</v>
      </c>
      <c r="BU376" s="286">
        <v>1911</v>
      </c>
      <c r="BV376" s="286">
        <v>0</v>
      </c>
      <c r="BW376" s="286">
        <v>1</v>
      </c>
      <c r="BX376" s="286">
        <v>4</v>
      </c>
      <c r="BY376" s="286">
        <v>16945</v>
      </c>
      <c r="BZ376" s="286">
        <v>227</v>
      </c>
      <c r="CA376" s="286">
        <v>0</v>
      </c>
      <c r="CB376" s="286">
        <v>27491</v>
      </c>
      <c r="CC376" s="286">
        <v>15399</v>
      </c>
      <c r="CD376" s="286">
        <v>131908</v>
      </c>
      <c r="CE376" s="286">
        <v>287035</v>
      </c>
      <c r="CF376" s="286">
        <v>39532</v>
      </c>
      <c r="CG376" s="286">
        <v>63746</v>
      </c>
      <c r="CH376" s="286">
        <v>0</v>
      </c>
      <c r="CI376" s="286">
        <v>9</v>
      </c>
      <c r="CJ376" s="286">
        <v>0</v>
      </c>
      <c r="CK376" s="286">
        <v>99</v>
      </c>
      <c r="CL376" s="316">
        <v>0</v>
      </c>
      <c r="CM376" s="316">
        <v>0</v>
      </c>
      <c r="CN376" s="316">
        <v>0</v>
      </c>
      <c r="CO376" s="316">
        <v>0</v>
      </c>
      <c r="CP376" s="316">
        <v>0</v>
      </c>
      <c r="CQ376" s="316">
        <v>0</v>
      </c>
      <c r="CR376" s="286">
        <v>810</v>
      </c>
      <c r="CS376" s="286">
        <v>26</v>
      </c>
      <c r="CT376" s="286">
        <v>0</v>
      </c>
      <c r="CU376" s="286">
        <v>0</v>
      </c>
      <c r="CV376" s="286">
        <v>0</v>
      </c>
      <c r="CW376" s="286">
        <v>13</v>
      </c>
      <c r="CX376" s="286">
        <v>0</v>
      </c>
      <c r="CY376" s="286">
        <v>24</v>
      </c>
      <c r="DA376" s="6"/>
      <c r="DC376" s="6"/>
      <c r="DD376" s="6">
        <f t="shared" ref="DD376" si="1292">SUM(AY376:AZ376,BE376:CK376)</f>
        <v>854526</v>
      </c>
      <c r="DE376" s="6">
        <f t="shared" ref="DE376" si="1293">SUM(M376:N376,P376:AX376,BB376:BC376)+CR376+CS376</f>
        <v>286134</v>
      </c>
      <c r="DF376" s="8">
        <f t="shared" ref="DF376" si="1294">SUM(DD376:DE376)</f>
        <v>1140660</v>
      </c>
      <c r="DK376" s="6">
        <f t="shared" ref="DK376" si="1295">SUM(M376:N376,P376:S376,U376:X376)</f>
        <v>73079</v>
      </c>
      <c r="DL376" s="6">
        <f t="shared" ref="DL376" si="1296">SUM(Y376:Z376,AB376:AF376,AH376:AM376,AO376,AS376:AW376,BA376:BC376)+CR376+CS376</f>
        <v>152081</v>
      </c>
      <c r="DM376" s="6">
        <f t="shared" ref="DM376" si="1297">T376</f>
        <v>13881</v>
      </c>
      <c r="DN376" s="6">
        <f t="shared" ref="DN376" si="1298">AG376+AX376+AN376+AP376+AQ376+AR376</f>
        <v>47969</v>
      </c>
      <c r="DO376" s="6">
        <f t="shared" ref="DO376" si="1299">SUM(AY376,BF376,BI376,BK376,BO376,BR376:BS376,BU376,BW376,BZ376:CB376,CD376:CF376,CJ376:CK376)</f>
        <v>491117</v>
      </c>
      <c r="DP376" s="6">
        <f t="shared" ref="DP376" si="1300">SUM(AZ376,BD376:BE376,BH376,BN376,BQ376,BT376)</f>
        <v>116709</v>
      </c>
      <c r="DQ376" s="6">
        <f t="shared" ref="DQ376" si="1301">BY376</f>
        <v>16945</v>
      </c>
      <c r="DR376" s="6">
        <f t="shared" ref="DR376" si="1302">CC376+CI376+AA376</f>
        <v>15412</v>
      </c>
      <c r="DS376" s="6">
        <f t="shared" ref="DS376" si="1303">BP376+BV376</f>
        <v>138145</v>
      </c>
      <c r="DT376" s="6">
        <f t="shared" ref="DT376" si="1304">BG376+BJ376+BL376+BM376+BX376</f>
        <v>13603</v>
      </c>
      <c r="DU376" s="6"/>
      <c r="DV376" s="6"/>
      <c r="DW376" s="6">
        <f t="shared" ref="DW376" si="1305">SUM(DK376:DT376)</f>
        <v>1078941</v>
      </c>
      <c r="DY376" s="6">
        <f t="shared" ref="DY376" si="1306">DO376+DT376+H376+I376+J376+K376+CG376</f>
        <v>636839</v>
      </c>
      <c r="DZ376" s="6">
        <f t="shared" ref="DZ376" si="1307">SUM(G376:L376,O376)</f>
        <v>71527</v>
      </c>
      <c r="EB376" s="6">
        <f t="shared" ref="EB376" si="1308">DZ376+DF376</f>
        <v>1212187</v>
      </c>
      <c r="EC376" s="6"/>
      <c r="ED376" s="6"/>
      <c r="EF376" s="6">
        <f t="shared" ref="EF376" si="1309">SUM(BE376:CK376)-CG376-BP376</f>
        <v>652626</v>
      </c>
      <c r="EG376" s="6">
        <f t="shared" ref="EG376" si="1310">SUM(M376:BC376)-AQ376</f>
        <v>275639</v>
      </c>
      <c r="EH376" s="6">
        <f t="shared" ref="EH376" si="1311">SUM(EF376:EG376)</f>
        <v>928265</v>
      </c>
      <c r="EI376" s="36">
        <f t="shared" ref="EI376" si="1312">(EF376-EF375)/EF375</f>
        <v>2.6132042862080885E-3</v>
      </c>
      <c r="EJ376" s="36">
        <f t="shared" ref="EJ376" si="1313">(EG376-EG375)/EG375</f>
        <v>1.8427518427518428E-3</v>
      </c>
      <c r="EM376" s="104"/>
      <c r="EN376" s="104"/>
      <c r="FC376" s="6">
        <f t="shared" ref="FC376:FC383" si="1314">SUM(DK376,DM376)</f>
        <v>86960</v>
      </c>
      <c r="FD376" s="6">
        <f t="shared" ref="FD376:FD383" si="1315">SUM(DL376,DN376)</f>
        <v>200050</v>
      </c>
      <c r="FE376" s="32">
        <f t="shared" ref="FE376:FE383" si="1316">SUM(DO376)</f>
        <v>491117</v>
      </c>
      <c r="FF376" s="34">
        <f t="shared" ref="FF376:FF383" si="1317">SUM(DT376)</f>
        <v>13603</v>
      </c>
      <c r="FG376" s="31">
        <f t="shared" ref="FG376:FG383" si="1318">SUM(DP376,DS376,DQ376)</f>
        <v>271799</v>
      </c>
      <c r="FH376" s="6">
        <f t="shared" ref="FH376:FH383" si="1319">SUM(DR376)</f>
        <v>15412</v>
      </c>
      <c r="FI376" s="6">
        <f t="shared" si="890"/>
        <v>0</v>
      </c>
    </row>
    <row r="377" spans="2:166" s="287" customFormat="1">
      <c r="B377" s="50">
        <v>43435</v>
      </c>
      <c r="C377" s="287">
        <v>0</v>
      </c>
      <c r="D377" s="287">
        <v>0</v>
      </c>
      <c r="E377" s="287">
        <v>0</v>
      </c>
      <c r="F377" s="287">
        <v>0</v>
      </c>
      <c r="G377" s="287">
        <v>1171</v>
      </c>
      <c r="H377" s="287">
        <v>18092</v>
      </c>
      <c r="I377" s="287">
        <v>47536</v>
      </c>
      <c r="J377" s="287">
        <v>958</v>
      </c>
      <c r="K377" s="287">
        <v>2377</v>
      </c>
      <c r="L377" s="287">
        <v>1237</v>
      </c>
      <c r="M377" s="287">
        <v>33037</v>
      </c>
      <c r="N377" s="287">
        <v>1416</v>
      </c>
      <c r="O377" s="287">
        <v>795</v>
      </c>
      <c r="P377" s="287">
        <v>1771</v>
      </c>
      <c r="Q377" s="287">
        <v>10267</v>
      </c>
      <c r="R377" s="287">
        <v>250</v>
      </c>
      <c r="S377" s="287">
        <v>4923</v>
      </c>
      <c r="T377" s="287">
        <v>13880</v>
      </c>
      <c r="U377" s="287">
        <v>47</v>
      </c>
      <c r="V377" s="287">
        <v>4522</v>
      </c>
      <c r="W377" s="287">
        <v>45</v>
      </c>
      <c r="X377" s="287">
        <v>16802</v>
      </c>
      <c r="Y377" s="287">
        <v>439</v>
      </c>
      <c r="Z377" s="287">
        <v>6</v>
      </c>
      <c r="AA377" s="287">
        <v>4</v>
      </c>
      <c r="AB377" s="287">
        <v>3</v>
      </c>
      <c r="AC377" s="287">
        <v>89</v>
      </c>
      <c r="AD377" s="287">
        <v>25</v>
      </c>
      <c r="AE377" s="287">
        <v>24</v>
      </c>
      <c r="AF377" s="287">
        <v>12</v>
      </c>
      <c r="AG377" s="287">
        <v>42</v>
      </c>
      <c r="AH377" s="287">
        <v>120</v>
      </c>
      <c r="AI377" s="287">
        <v>2477</v>
      </c>
      <c r="AJ377" s="287">
        <v>1</v>
      </c>
      <c r="AK377" s="287">
        <v>14844</v>
      </c>
      <c r="AL377" s="287">
        <v>113001</v>
      </c>
      <c r="AM377" s="287">
        <v>2103</v>
      </c>
      <c r="AN377" s="287">
        <v>21693</v>
      </c>
      <c r="AO377" s="287">
        <v>23</v>
      </c>
      <c r="AP377" s="287">
        <v>177</v>
      </c>
      <c r="AQ377" s="287">
        <v>11403</v>
      </c>
      <c r="AR377" s="287">
        <v>0</v>
      </c>
      <c r="AS377" s="287">
        <v>872</v>
      </c>
      <c r="AT377" s="287">
        <v>36</v>
      </c>
      <c r="AU377" s="287">
        <v>10446</v>
      </c>
      <c r="AV377" s="287">
        <v>2327</v>
      </c>
      <c r="AW377" s="287">
        <v>3248</v>
      </c>
      <c r="AX377" s="287">
        <v>14833</v>
      </c>
      <c r="AY377" s="287">
        <v>34</v>
      </c>
      <c r="AZ377" s="287">
        <v>6</v>
      </c>
      <c r="BA377" s="287">
        <v>878</v>
      </c>
      <c r="BB377" s="287">
        <v>0</v>
      </c>
      <c r="BC377" s="287">
        <v>139</v>
      </c>
      <c r="BD377" s="287">
        <v>1149</v>
      </c>
      <c r="BE377" s="287">
        <v>0</v>
      </c>
      <c r="BF377" s="287">
        <v>0</v>
      </c>
      <c r="BG377" s="287">
        <v>8340</v>
      </c>
      <c r="BH377" s="287">
        <v>0</v>
      </c>
      <c r="BI377" s="287">
        <v>0</v>
      </c>
      <c r="BJ377" s="287">
        <v>0</v>
      </c>
      <c r="BK377" s="287">
        <v>37</v>
      </c>
      <c r="BL377" s="287">
        <v>5284</v>
      </c>
      <c r="BM377" s="287">
        <v>0</v>
      </c>
      <c r="BN377" s="287">
        <v>104</v>
      </c>
      <c r="BO377" s="287">
        <v>0</v>
      </c>
      <c r="BP377" s="287">
        <v>141391</v>
      </c>
      <c r="BQ377" s="287">
        <v>86657</v>
      </c>
      <c r="BR377" s="287">
        <v>2924</v>
      </c>
      <c r="BS377" s="287">
        <v>21</v>
      </c>
      <c r="BT377" s="287">
        <v>29258</v>
      </c>
      <c r="BU377" s="287">
        <v>1931</v>
      </c>
      <c r="BV377" s="287">
        <v>0</v>
      </c>
      <c r="BW377" s="287">
        <v>0</v>
      </c>
      <c r="BX377" s="287">
        <v>3</v>
      </c>
      <c r="BY377" s="287">
        <v>17085</v>
      </c>
      <c r="BZ377" s="287">
        <v>240</v>
      </c>
      <c r="CA377" s="287">
        <v>0</v>
      </c>
      <c r="CB377" s="287">
        <v>27618</v>
      </c>
      <c r="CC377" s="287">
        <v>15185</v>
      </c>
      <c r="CD377" s="287">
        <v>131407</v>
      </c>
      <c r="CE377" s="287">
        <v>287186</v>
      </c>
      <c r="CF377" s="287">
        <v>39842</v>
      </c>
      <c r="CG377" s="287">
        <v>64008</v>
      </c>
      <c r="CH377" s="287">
        <v>0</v>
      </c>
      <c r="CI377" s="287">
        <v>11</v>
      </c>
      <c r="CJ377" s="287">
        <v>0</v>
      </c>
      <c r="CK377" s="287">
        <v>96</v>
      </c>
      <c r="CL377" s="316">
        <v>0</v>
      </c>
      <c r="CM377" s="316">
        <v>0</v>
      </c>
      <c r="CN377" s="316">
        <v>0</v>
      </c>
      <c r="CO377" s="316">
        <v>0</v>
      </c>
      <c r="CP377" s="316">
        <v>0</v>
      </c>
      <c r="CQ377" s="316">
        <v>0</v>
      </c>
      <c r="CR377" s="287">
        <v>891</v>
      </c>
      <c r="CS377" s="287">
        <v>23</v>
      </c>
      <c r="CT377" s="287">
        <v>0</v>
      </c>
      <c r="CU377" s="287">
        <v>0</v>
      </c>
      <c r="CV377" s="287">
        <v>0</v>
      </c>
      <c r="CW377" s="287">
        <v>13</v>
      </c>
      <c r="CX377" s="287">
        <v>0</v>
      </c>
      <c r="CY377" s="287">
        <v>24</v>
      </c>
      <c r="DA377" s="6"/>
      <c r="DC377" s="6"/>
      <c r="DD377" s="6">
        <f t="shared" ref="DD377:DD382" si="1320">SUM(AY377:AZ377,BE377:CQ377)</f>
        <v>858668</v>
      </c>
      <c r="DE377" s="6">
        <f t="shared" ref="DE377" si="1321">SUM(M377:N377,P377:AX377,BB377:BC377)+CR377+CS377</f>
        <v>286261</v>
      </c>
      <c r="DF377" s="8">
        <f t="shared" ref="DF377:DF382" si="1322">SUM(DD377:DE377)</f>
        <v>1144929</v>
      </c>
      <c r="DK377" s="6">
        <f t="shared" ref="DK377" si="1323">SUM(M377:N377,P377:S377,U377:X377)</f>
        <v>73080</v>
      </c>
      <c r="DL377" s="6">
        <f t="shared" ref="DL377" si="1324">SUM(Y377:Z377,AB377:AF377,AH377:AM377,AO377,AS377:AW377,BA377:BC377)+CR377+CS377</f>
        <v>152027</v>
      </c>
      <c r="DM377" s="6">
        <f t="shared" ref="DM377" si="1325">T377</f>
        <v>13880</v>
      </c>
      <c r="DN377" s="6">
        <f t="shared" ref="DN377" si="1326">AG377+AX377+AN377+AP377+AQ377+AR377</f>
        <v>48148</v>
      </c>
      <c r="DO377" s="6">
        <f t="shared" ref="DO377" si="1327">SUM(AY377,BF377,BI377,BK377,BO377,BR377:BS377,BU377,BW377,BZ377:CB377,CD377:CF377,CJ377:CK377)</f>
        <v>491336</v>
      </c>
      <c r="DP377" s="6">
        <f>SUM(AZ377,BD377:BE377,BH377,BN377,BQ377,BT377,CL377:CQ377)</f>
        <v>117174</v>
      </c>
      <c r="DQ377" s="6">
        <f t="shared" ref="DQ377" si="1328">BY377</f>
        <v>17085</v>
      </c>
      <c r="DR377" s="6">
        <f t="shared" ref="DR377" si="1329">CC377+CI377+AA377</f>
        <v>15200</v>
      </c>
      <c r="DS377" s="6">
        <f t="shared" ref="DS377" si="1330">BP377+BV377</f>
        <v>141391</v>
      </c>
      <c r="DT377" s="6">
        <f t="shared" ref="DT377" si="1331">BG377+BJ377+BL377+BM377+BX377</f>
        <v>13627</v>
      </c>
      <c r="DU377" s="6"/>
      <c r="DV377" s="6"/>
      <c r="DW377" s="6">
        <f>SUM(DK377:DT377)</f>
        <v>1082948</v>
      </c>
      <c r="DY377" s="6">
        <f t="shared" ref="DY377:DY382" si="1332">DO377+DT377+H377+I377+J377+K377+CG377</f>
        <v>637934</v>
      </c>
      <c r="DZ377" s="6">
        <f t="shared" ref="DZ377:DZ378" si="1333">SUM(G377:L377,O377)</f>
        <v>72166</v>
      </c>
      <c r="EB377" s="6">
        <f t="shared" ref="EB377:EB382" si="1334">DZ377+DF377</f>
        <v>1217095</v>
      </c>
      <c r="EC377" s="6"/>
      <c r="ED377" s="6"/>
      <c r="EF377" s="6">
        <f t="shared" ref="EF377:EF382" si="1335">SUM(BE377:CQ377)-CG377-BP377</f>
        <v>653229</v>
      </c>
      <c r="EG377" s="6">
        <f t="shared" ref="EG377" si="1336">SUM(M377:BC377)-AQ377</f>
        <v>275657</v>
      </c>
      <c r="EH377" s="6">
        <f t="shared" ref="EH377" si="1337">SUM(EF377:EG377)</f>
        <v>928886</v>
      </c>
      <c r="EI377" s="36">
        <f t="shared" ref="EI377" si="1338">(EF377-EF376)/EF376</f>
        <v>9.2395951126678989E-4</v>
      </c>
      <c r="EJ377" s="36">
        <f t="shared" ref="EJ377" si="1339">(EG377-EG376)/EG376</f>
        <v>6.5302805481082135E-5</v>
      </c>
      <c r="EM377" s="104"/>
      <c r="EN377" s="104"/>
      <c r="FC377" s="6">
        <f t="shared" si="1314"/>
        <v>86960</v>
      </c>
      <c r="FD377" s="6">
        <f t="shared" si="1315"/>
        <v>200175</v>
      </c>
      <c r="FE377" s="32">
        <f t="shared" si="1316"/>
        <v>491336</v>
      </c>
      <c r="FF377" s="34">
        <f t="shared" si="1317"/>
        <v>13627</v>
      </c>
      <c r="FG377" s="31">
        <f t="shared" si="1318"/>
        <v>275650</v>
      </c>
      <c r="FH377" s="6">
        <f t="shared" si="1319"/>
        <v>15200</v>
      </c>
      <c r="FI377" s="6">
        <f t="shared" si="890"/>
        <v>0</v>
      </c>
    </row>
    <row r="378" spans="2:166" s="289" customFormat="1">
      <c r="B378" s="50">
        <v>43466</v>
      </c>
      <c r="C378" s="289">
        <v>0</v>
      </c>
      <c r="D378" s="289">
        <v>0</v>
      </c>
      <c r="E378" s="289">
        <v>0</v>
      </c>
      <c r="F378" s="289">
        <v>0</v>
      </c>
      <c r="G378" s="289">
        <v>1267</v>
      </c>
      <c r="H378" s="289">
        <v>18438</v>
      </c>
      <c r="I378" s="289">
        <v>48573</v>
      </c>
      <c r="J378" s="289">
        <v>992</v>
      </c>
      <c r="K378" s="289">
        <v>2415</v>
      </c>
      <c r="L378" s="289">
        <v>1239</v>
      </c>
      <c r="M378" s="289">
        <v>33514</v>
      </c>
      <c r="N378" s="289">
        <v>1444</v>
      </c>
      <c r="O378" s="289">
        <v>800</v>
      </c>
      <c r="P378" s="289">
        <v>1718</v>
      </c>
      <c r="Q378" s="289">
        <v>10866</v>
      </c>
      <c r="R378" s="289">
        <v>262</v>
      </c>
      <c r="S378" s="289">
        <v>5328</v>
      </c>
      <c r="T378" s="289">
        <v>13835</v>
      </c>
      <c r="U378" s="289">
        <v>46</v>
      </c>
      <c r="V378" s="289">
        <v>4509</v>
      </c>
      <c r="W378" s="289">
        <v>43</v>
      </c>
      <c r="X378" s="289">
        <v>15792</v>
      </c>
      <c r="Y378" s="289">
        <v>430</v>
      </c>
      <c r="Z378" s="289">
        <v>5</v>
      </c>
      <c r="AA378" s="289">
        <v>1</v>
      </c>
      <c r="AB378" s="289">
        <v>1</v>
      </c>
      <c r="AC378" s="289">
        <v>80</v>
      </c>
      <c r="AD378" s="289">
        <v>29</v>
      </c>
      <c r="AE378" s="289">
        <v>24</v>
      </c>
      <c r="AF378" s="289">
        <v>15</v>
      </c>
      <c r="AG378" s="289">
        <v>40</v>
      </c>
      <c r="AH378" s="289">
        <v>119</v>
      </c>
      <c r="AI378" s="289">
        <v>2468</v>
      </c>
      <c r="AJ378" s="289">
        <v>1</v>
      </c>
      <c r="AK378" s="289">
        <v>13734</v>
      </c>
      <c r="AL378" s="289">
        <v>112275</v>
      </c>
      <c r="AM378" s="289">
        <v>2049</v>
      </c>
      <c r="AN378" s="289">
        <v>21516</v>
      </c>
      <c r="AO378" s="289">
        <v>22</v>
      </c>
      <c r="AP378" s="289">
        <v>195</v>
      </c>
      <c r="AQ378" s="289">
        <v>11151</v>
      </c>
      <c r="AR378" s="289">
        <v>0</v>
      </c>
      <c r="AS378" s="289">
        <v>708</v>
      </c>
      <c r="AT378" s="289">
        <v>37</v>
      </c>
      <c r="AU378" s="289">
        <v>10747</v>
      </c>
      <c r="AV378" s="289">
        <v>2308</v>
      </c>
      <c r="AW378" s="289">
        <v>3230</v>
      </c>
      <c r="AX378" s="289">
        <v>14820</v>
      </c>
      <c r="AY378" s="289">
        <v>25</v>
      </c>
      <c r="AZ378" s="289">
        <v>2</v>
      </c>
      <c r="BA378" s="289">
        <v>859</v>
      </c>
      <c r="BB378" s="289">
        <v>0</v>
      </c>
      <c r="BC378" s="289">
        <v>141</v>
      </c>
      <c r="BD378" s="289">
        <v>1176</v>
      </c>
      <c r="BE378" s="289">
        <v>0</v>
      </c>
      <c r="BF378" s="289">
        <v>0</v>
      </c>
      <c r="BG378" s="289">
        <v>8338</v>
      </c>
      <c r="BH378" s="289">
        <v>0</v>
      </c>
      <c r="BI378" s="289">
        <v>0</v>
      </c>
      <c r="BJ378" s="289">
        <v>0</v>
      </c>
      <c r="BK378" s="289">
        <v>36</v>
      </c>
      <c r="BL378" s="289">
        <v>5240</v>
      </c>
      <c r="BM378" s="289">
        <v>0</v>
      </c>
      <c r="BN378" s="289">
        <v>68</v>
      </c>
      <c r="BO378" s="289">
        <v>0</v>
      </c>
      <c r="BP378" s="289">
        <v>41371</v>
      </c>
      <c r="BQ378" s="289">
        <v>82978</v>
      </c>
      <c r="BR378" s="289">
        <v>3099</v>
      </c>
      <c r="BS378" s="289">
        <v>20</v>
      </c>
      <c r="BT378" s="289">
        <v>27922</v>
      </c>
      <c r="BU378" s="289">
        <v>2006</v>
      </c>
      <c r="BV378" s="289">
        <v>0</v>
      </c>
      <c r="BW378" s="289">
        <v>0</v>
      </c>
      <c r="BX378" s="289">
        <v>3</v>
      </c>
      <c r="BY378" s="289">
        <v>102</v>
      </c>
      <c r="BZ378" s="289">
        <v>235</v>
      </c>
      <c r="CA378" s="289">
        <v>0</v>
      </c>
      <c r="CB378" s="289">
        <v>28286</v>
      </c>
      <c r="CC378" s="289">
        <v>14773</v>
      </c>
      <c r="CD378" s="289">
        <v>131025</v>
      </c>
      <c r="CE378" s="289">
        <v>287847</v>
      </c>
      <c r="CF378" s="289">
        <v>39675</v>
      </c>
      <c r="CG378" s="289">
        <v>65088</v>
      </c>
      <c r="CH378" s="289">
        <v>0</v>
      </c>
      <c r="CI378" s="289">
        <v>10</v>
      </c>
      <c r="CJ378" s="289">
        <v>0</v>
      </c>
      <c r="CK378" s="289">
        <v>92</v>
      </c>
      <c r="CL378" s="289">
        <v>44461</v>
      </c>
      <c r="CM378" s="289">
        <v>30749</v>
      </c>
      <c r="CN378" s="289">
        <v>96647</v>
      </c>
      <c r="CO378" s="289">
        <v>25888</v>
      </c>
      <c r="CP378" s="289">
        <v>0</v>
      </c>
      <c r="CQ378" s="289">
        <v>908</v>
      </c>
      <c r="CR378" s="289">
        <v>908</v>
      </c>
      <c r="CS378" s="289">
        <v>23</v>
      </c>
      <c r="CT378" s="289">
        <v>0</v>
      </c>
      <c r="CU378" s="289">
        <v>0</v>
      </c>
      <c r="CV378" s="289">
        <v>0</v>
      </c>
      <c r="CW378" s="289">
        <v>13</v>
      </c>
      <c r="CX378" s="289">
        <v>0</v>
      </c>
      <c r="CY378" s="289">
        <v>24</v>
      </c>
      <c r="DA378" s="6"/>
      <c r="DC378" s="6"/>
      <c r="DD378" s="6">
        <f t="shared" si="1320"/>
        <v>936894</v>
      </c>
      <c r="DE378" s="6">
        <f t="shared" ref="DE378" si="1340">SUM(M378:N378,P378:AX378,BB378:BC378)+CR378+CS378</f>
        <v>284434</v>
      </c>
      <c r="DF378" s="8">
        <f t="shared" si="1322"/>
        <v>1221328</v>
      </c>
      <c r="DK378" s="6">
        <f t="shared" ref="DK378" si="1341">SUM(M378:N378,P378:S378,U378:X378)</f>
        <v>73522</v>
      </c>
      <c r="DL378" s="6">
        <f t="shared" ref="DL378" si="1342">SUM(Y378:Z378,AB378:AF378,AH378:AM378,AO378,AS378:AW378,BA378:BC378)+CR378+CS378</f>
        <v>150213</v>
      </c>
      <c r="DM378" s="6">
        <f t="shared" ref="DM378" si="1343">T378</f>
        <v>13835</v>
      </c>
      <c r="DN378" s="6">
        <f t="shared" ref="DN378" si="1344">AG378+AX378+AN378+AP378+AQ378+AR378</f>
        <v>47722</v>
      </c>
      <c r="DO378" s="6">
        <f t="shared" ref="DO378" si="1345">SUM(AY378,BF378,BI378,BK378,BO378,BR378:BS378,BU378,BW378,BZ378:CB378,CD378:CF378,CJ378:CK378)</f>
        <v>492346</v>
      </c>
      <c r="DP378" s="6">
        <f t="shared" ref="DP378:DP383" si="1346">SUM(AZ378,BD378:BE378,BH378,BN378,BQ378,BT378)</f>
        <v>112146</v>
      </c>
      <c r="DQ378" s="6">
        <f t="shared" ref="DQ378" si="1347">BY378</f>
        <v>102</v>
      </c>
      <c r="DR378" s="6">
        <f t="shared" ref="DR378" si="1348">CC378+CI378+AA378</f>
        <v>14784</v>
      </c>
      <c r="DS378" s="6">
        <f t="shared" ref="DS378" si="1349">BP378+BV378</f>
        <v>41371</v>
      </c>
      <c r="DT378" s="6">
        <f t="shared" ref="DT378" si="1350">BG378+BJ378+BL378+BM378+BX378</f>
        <v>13581</v>
      </c>
      <c r="DU378" s="6">
        <f t="shared" ref="DU378:DU383" si="1351">SUM(CL378:CM378)</f>
        <v>75210</v>
      </c>
      <c r="DV378" s="6">
        <f t="shared" ref="DV378:DV383" si="1352">SUM(CN378:CQ378)</f>
        <v>123443</v>
      </c>
      <c r="DW378" s="6">
        <f t="shared" ref="DW378:DW383" si="1353">SUM(DK378:DV378)</f>
        <v>1158275</v>
      </c>
      <c r="DY378" s="6">
        <f t="shared" si="1332"/>
        <v>641433</v>
      </c>
      <c r="DZ378" s="6">
        <f t="shared" si="1333"/>
        <v>73724</v>
      </c>
      <c r="EB378" s="6">
        <f t="shared" si="1334"/>
        <v>1295052</v>
      </c>
      <c r="EC378" s="6"/>
      <c r="ED378" s="6"/>
      <c r="EF378" s="6">
        <f t="shared" si="1335"/>
        <v>830408</v>
      </c>
      <c r="EG378" s="6">
        <f t="shared" ref="EG378" si="1354">SUM(M378:BC378)-AQ378</f>
        <v>274038</v>
      </c>
      <c r="EH378" s="6">
        <f t="shared" ref="EH378" si="1355">SUM(EF378:EG378)</f>
        <v>1104446</v>
      </c>
      <c r="EI378" s="36">
        <f t="shared" ref="EI378" si="1356">(EF378-EF377)/EF377</f>
        <v>0.27123566161330864</v>
      </c>
      <c r="EJ378" s="36">
        <f t="shared" ref="EJ378" si="1357">(EG378-EG377)/EG377</f>
        <v>-5.873241020543647E-3</v>
      </c>
      <c r="EM378" s="104"/>
      <c r="EN378" s="104"/>
      <c r="FC378" s="6">
        <f t="shared" si="1314"/>
        <v>87357</v>
      </c>
      <c r="FD378" s="6">
        <f t="shared" si="1315"/>
        <v>197935</v>
      </c>
      <c r="FE378" s="32">
        <f t="shared" si="1316"/>
        <v>492346</v>
      </c>
      <c r="FF378" s="34">
        <f t="shared" si="1317"/>
        <v>13581</v>
      </c>
      <c r="FG378" s="31">
        <f t="shared" si="1318"/>
        <v>153619</v>
      </c>
      <c r="FH378" s="6">
        <f t="shared" si="1319"/>
        <v>14784</v>
      </c>
      <c r="FI378" s="6">
        <f t="shared" si="890"/>
        <v>-198653</v>
      </c>
    </row>
    <row r="379" spans="2:166" s="292" customFormat="1">
      <c r="B379" s="50">
        <v>43497</v>
      </c>
      <c r="C379" s="292">
        <v>0</v>
      </c>
      <c r="D379" s="292">
        <v>0</v>
      </c>
      <c r="E379" s="292">
        <v>0</v>
      </c>
      <c r="F379" s="292">
        <v>0</v>
      </c>
      <c r="G379" s="292">
        <v>1305</v>
      </c>
      <c r="H379" s="292">
        <v>18355</v>
      </c>
      <c r="I379" s="292">
        <v>48665</v>
      </c>
      <c r="J379" s="292">
        <v>973</v>
      </c>
      <c r="K379" s="292">
        <v>2390</v>
      </c>
      <c r="L379" s="292">
        <v>1314</v>
      </c>
      <c r="M379" s="292">
        <v>33520</v>
      </c>
      <c r="N379" s="292">
        <v>1424</v>
      </c>
      <c r="O379" s="292">
        <v>805</v>
      </c>
      <c r="P379" s="292">
        <v>1720</v>
      </c>
      <c r="Q379" s="292">
        <v>10976</v>
      </c>
      <c r="R379" s="292">
        <v>264</v>
      </c>
      <c r="S379" s="292">
        <v>5914</v>
      </c>
      <c r="T379" s="292">
        <v>13962</v>
      </c>
      <c r="U379" s="292">
        <v>48</v>
      </c>
      <c r="V379" s="292">
        <v>4532</v>
      </c>
      <c r="W379" s="292">
        <v>42</v>
      </c>
      <c r="X379" s="292">
        <v>15260</v>
      </c>
      <c r="Y379" s="292">
        <v>438</v>
      </c>
      <c r="Z379" s="292">
        <v>5</v>
      </c>
      <c r="AA379" s="292">
        <v>6</v>
      </c>
      <c r="AB379" s="292">
        <v>1</v>
      </c>
      <c r="AC379" s="292">
        <v>74</v>
      </c>
      <c r="AD379" s="292">
        <v>27</v>
      </c>
      <c r="AE379" s="292">
        <v>24</v>
      </c>
      <c r="AF379" s="292">
        <v>16</v>
      </c>
      <c r="AG379" s="292">
        <v>45</v>
      </c>
      <c r="AH379" s="292">
        <v>124</v>
      </c>
      <c r="AI379" s="292">
        <v>2465</v>
      </c>
      <c r="AJ379" s="292">
        <v>1</v>
      </c>
      <c r="AK379" s="292">
        <v>13011</v>
      </c>
      <c r="AL379" s="292">
        <v>112548</v>
      </c>
      <c r="AM379" s="292">
        <v>2059</v>
      </c>
      <c r="AN379" s="292">
        <v>21642</v>
      </c>
      <c r="AO379" s="292">
        <v>22</v>
      </c>
      <c r="AP379" s="292">
        <v>91</v>
      </c>
      <c r="AQ379" s="292">
        <v>11352</v>
      </c>
      <c r="AR379" s="292">
        <v>0</v>
      </c>
      <c r="AS379" s="292">
        <v>659</v>
      </c>
      <c r="AT379" s="292">
        <v>37</v>
      </c>
      <c r="AU379" s="292">
        <v>10902</v>
      </c>
      <c r="AV379" s="292">
        <v>2328</v>
      </c>
      <c r="AW379" s="292">
        <v>3408</v>
      </c>
      <c r="AX379" s="292">
        <v>14964</v>
      </c>
      <c r="AY379" s="292">
        <v>63</v>
      </c>
      <c r="AZ379" s="292">
        <v>10</v>
      </c>
      <c r="BA379" s="292">
        <v>873</v>
      </c>
      <c r="BB379" s="292">
        <v>0</v>
      </c>
      <c r="BC379" s="292">
        <v>163</v>
      </c>
      <c r="BD379" s="292">
        <v>1205</v>
      </c>
      <c r="BE379" s="292">
        <v>0</v>
      </c>
      <c r="BF379" s="292">
        <v>0</v>
      </c>
      <c r="BG379" s="292">
        <v>8349</v>
      </c>
      <c r="BH379" s="292">
        <v>0</v>
      </c>
      <c r="BI379" s="292">
        <v>0</v>
      </c>
      <c r="BJ379" s="292">
        <v>0</v>
      </c>
      <c r="BK379" s="292">
        <v>35</v>
      </c>
      <c r="BL379" s="292">
        <v>5221</v>
      </c>
      <c r="BM379" s="292">
        <v>0</v>
      </c>
      <c r="BN379" s="292">
        <v>44</v>
      </c>
      <c r="BO379" s="292">
        <v>0</v>
      </c>
      <c r="BP379" s="292">
        <v>41375</v>
      </c>
      <c r="BQ379" s="292">
        <v>81873</v>
      </c>
      <c r="BR379" s="292">
        <v>3205</v>
      </c>
      <c r="BS379" s="292">
        <v>21</v>
      </c>
      <c r="BT379" s="292">
        <v>27306</v>
      </c>
      <c r="BU379" s="292">
        <v>2065</v>
      </c>
      <c r="BV379" s="292">
        <v>0</v>
      </c>
      <c r="BW379" s="292">
        <v>0</v>
      </c>
      <c r="BX379" s="292">
        <v>3</v>
      </c>
      <c r="BY379" s="292">
        <v>104</v>
      </c>
      <c r="BZ379" s="292">
        <v>245</v>
      </c>
      <c r="CA379" s="292">
        <v>0</v>
      </c>
      <c r="CB379" s="292">
        <v>28602</v>
      </c>
      <c r="CC379" s="292">
        <v>14791</v>
      </c>
      <c r="CD379" s="292">
        <v>130888</v>
      </c>
      <c r="CE379" s="292">
        <v>289071</v>
      </c>
      <c r="CF379" s="292">
        <v>40289</v>
      </c>
      <c r="CG379" s="292">
        <v>65522</v>
      </c>
      <c r="CH379" s="292">
        <v>0</v>
      </c>
      <c r="CI379" s="292">
        <v>7</v>
      </c>
      <c r="CJ379" s="292">
        <v>0</v>
      </c>
      <c r="CK379" s="292">
        <v>96</v>
      </c>
      <c r="CL379" s="292">
        <v>48828</v>
      </c>
      <c r="CM379" s="292">
        <v>33798</v>
      </c>
      <c r="CN379" s="292">
        <v>108058</v>
      </c>
      <c r="CO379" s="292">
        <v>27966</v>
      </c>
      <c r="CP379" s="292">
        <v>579</v>
      </c>
      <c r="CQ379" s="292">
        <v>1351</v>
      </c>
      <c r="CR379" s="292">
        <v>942</v>
      </c>
      <c r="CS379" s="292">
        <v>24</v>
      </c>
      <c r="CT379" s="292">
        <v>0</v>
      </c>
      <c r="CU379" s="292">
        <v>0</v>
      </c>
      <c r="CV379" s="292">
        <v>0</v>
      </c>
      <c r="CW379" s="292">
        <v>13</v>
      </c>
      <c r="CX379" s="292">
        <v>0</v>
      </c>
      <c r="CY379" s="292">
        <v>24</v>
      </c>
      <c r="DA379" s="6"/>
      <c r="DC379" s="6"/>
      <c r="DD379" s="6">
        <f t="shared" si="1320"/>
        <v>959765</v>
      </c>
      <c r="DE379" s="6">
        <f t="shared" ref="DE379" si="1358">SUM(M379:N379,P379:AX379,BB379:BC379)+CR379+CS379</f>
        <v>285040</v>
      </c>
      <c r="DF379" s="8">
        <f t="shared" si="1322"/>
        <v>1244805</v>
      </c>
      <c r="DK379" s="6">
        <f t="shared" ref="DK379" si="1359">SUM(M379:N379,P379:S379,U379:X379)</f>
        <v>73700</v>
      </c>
      <c r="DL379" s="6">
        <f t="shared" ref="DL379" si="1360">SUM(Y379:Z379,AB379:AF379,AH379:AM379,AO379,AS379:AW379,BA379:BC379)+CR379+CS379</f>
        <v>150151</v>
      </c>
      <c r="DM379" s="6">
        <f t="shared" ref="DM379" si="1361">T379</f>
        <v>13962</v>
      </c>
      <c r="DN379" s="6">
        <f t="shared" ref="DN379" si="1362">AG379+AX379+AN379+AP379+AQ379+AR379</f>
        <v>48094</v>
      </c>
      <c r="DO379" s="6">
        <f t="shared" ref="DO379" si="1363">SUM(AY379,BF379,BI379,BK379,BO379,BR379:BS379,BU379,BW379,BZ379:CB379,CD379:CF379,CJ379:CK379)</f>
        <v>494580</v>
      </c>
      <c r="DP379" s="6">
        <f t="shared" si="1346"/>
        <v>110438</v>
      </c>
      <c r="DQ379" s="6">
        <f t="shared" ref="DQ379" si="1364">BY379</f>
        <v>104</v>
      </c>
      <c r="DR379" s="6">
        <f t="shared" ref="DR379" si="1365">CC379+CI379+AA379</f>
        <v>14804</v>
      </c>
      <c r="DS379" s="6">
        <f t="shared" ref="DS379" si="1366">BP379+BV379</f>
        <v>41375</v>
      </c>
      <c r="DT379" s="6">
        <f t="shared" ref="DT379" si="1367">BG379+BJ379+BL379+BM379+BX379</f>
        <v>13573</v>
      </c>
      <c r="DU379" s="6">
        <f t="shared" si="1351"/>
        <v>82626</v>
      </c>
      <c r="DV379" s="6">
        <f t="shared" si="1352"/>
        <v>137954</v>
      </c>
      <c r="DW379" s="6">
        <f t="shared" si="1353"/>
        <v>1181361</v>
      </c>
      <c r="DY379" s="6">
        <f t="shared" si="1332"/>
        <v>644058</v>
      </c>
      <c r="DZ379" s="6">
        <f t="shared" ref="DZ379" si="1368">SUM(G379:L379,O379)</f>
        <v>73807</v>
      </c>
      <c r="EB379" s="6">
        <f t="shared" si="1334"/>
        <v>1318612</v>
      </c>
      <c r="EC379" s="6"/>
      <c r="ED379" s="6"/>
      <c r="EF379" s="6">
        <f t="shared" si="1335"/>
        <v>852795</v>
      </c>
      <c r="EG379" s="6">
        <f t="shared" ref="EG379" si="1369">SUM(M379:BC379)-AQ379</f>
        <v>274473</v>
      </c>
      <c r="EH379" s="6">
        <f t="shared" ref="EH379" si="1370">SUM(EF379:EG379)</f>
        <v>1127268</v>
      </c>
      <c r="EI379" s="36">
        <f t="shared" ref="EI379" si="1371">(EF379-EF378)/EF378</f>
        <v>2.6959037003497076E-2</v>
      </c>
      <c r="EJ379" s="36">
        <f t="shared" ref="EJ379" si="1372">(EG379-EG378)/EG378</f>
        <v>1.5873710945197381E-3</v>
      </c>
      <c r="EM379" s="104"/>
      <c r="EN379" s="104"/>
      <c r="FC379" s="6">
        <f t="shared" si="1314"/>
        <v>87662</v>
      </c>
      <c r="FD379" s="6">
        <f t="shared" si="1315"/>
        <v>198245</v>
      </c>
      <c r="FE379" s="32">
        <f t="shared" si="1316"/>
        <v>494580</v>
      </c>
      <c r="FF379" s="34">
        <f t="shared" si="1317"/>
        <v>13573</v>
      </c>
      <c r="FG379" s="31">
        <f t="shared" si="1318"/>
        <v>151917</v>
      </c>
      <c r="FH379" s="6">
        <f t="shared" si="1319"/>
        <v>14804</v>
      </c>
      <c r="FI379" s="6">
        <f t="shared" si="890"/>
        <v>-220580</v>
      </c>
    </row>
    <row r="380" spans="2:166" s="293" customFormat="1">
      <c r="B380" s="50">
        <v>43525</v>
      </c>
      <c r="C380" s="293">
        <v>0</v>
      </c>
      <c r="D380" s="293">
        <v>0</v>
      </c>
      <c r="E380" s="293">
        <v>0</v>
      </c>
      <c r="F380" s="293">
        <v>0</v>
      </c>
      <c r="G380" s="293">
        <v>1269</v>
      </c>
      <c r="H380" s="293">
        <v>18250</v>
      </c>
      <c r="I380" s="293">
        <v>48232</v>
      </c>
      <c r="J380" s="293">
        <v>985</v>
      </c>
      <c r="K380" s="293">
        <v>2400</v>
      </c>
      <c r="L380" s="293">
        <v>1304</v>
      </c>
      <c r="M380" s="293">
        <v>33478</v>
      </c>
      <c r="N380" s="293">
        <v>1415</v>
      </c>
      <c r="O380" s="293">
        <v>813</v>
      </c>
      <c r="P380" s="293">
        <v>1714</v>
      </c>
      <c r="Q380" s="293">
        <v>11000</v>
      </c>
      <c r="R380" s="293">
        <v>265</v>
      </c>
      <c r="S380" s="293">
        <v>6441</v>
      </c>
      <c r="T380" s="293">
        <v>13981</v>
      </c>
      <c r="U380" s="293">
        <v>47</v>
      </c>
      <c r="V380" s="293">
        <v>4511</v>
      </c>
      <c r="W380" s="293">
        <v>49</v>
      </c>
      <c r="X380" s="293">
        <v>14832</v>
      </c>
      <c r="Y380" s="293">
        <v>443</v>
      </c>
      <c r="Z380" s="293">
        <v>5</v>
      </c>
      <c r="AA380" s="293">
        <v>4</v>
      </c>
      <c r="AB380" s="293">
        <v>2</v>
      </c>
      <c r="AC380" s="293">
        <v>73</v>
      </c>
      <c r="AD380" s="293">
        <v>25</v>
      </c>
      <c r="AE380" s="293">
        <v>23</v>
      </c>
      <c r="AF380" s="293">
        <v>17</v>
      </c>
      <c r="AG380" s="293">
        <v>45</v>
      </c>
      <c r="AH380" s="293">
        <v>124</v>
      </c>
      <c r="AI380" s="293">
        <v>2447</v>
      </c>
      <c r="AJ380" s="293">
        <v>1</v>
      </c>
      <c r="AK380" s="293">
        <v>12386</v>
      </c>
      <c r="AL380" s="293">
        <v>112516</v>
      </c>
      <c r="AM380" s="293">
        <v>2059</v>
      </c>
      <c r="AN380" s="293">
        <v>21718</v>
      </c>
      <c r="AO380" s="293">
        <v>22</v>
      </c>
      <c r="AP380" s="293">
        <v>101</v>
      </c>
      <c r="AQ380" s="293">
        <v>11488</v>
      </c>
      <c r="AR380" s="293">
        <v>0</v>
      </c>
      <c r="AS380" s="293">
        <v>611</v>
      </c>
      <c r="AT380" s="293">
        <v>39</v>
      </c>
      <c r="AU380" s="293">
        <v>10954</v>
      </c>
      <c r="AV380" s="293">
        <v>2349</v>
      </c>
      <c r="AW380" s="293">
        <v>3604</v>
      </c>
      <c r="AX380" s="293">
        <v>14978</v>
      </c>
      <c r="AY380" s="293">
        <v>70</v>
      </c>
      <c r="AZ380" s="293">
        <v>12</v>
      </c>
      <c r="BA380" s="293">
        <v>863</v>
      </c>
      <c r="BB380" s="293">
        <v>0</v>
      </c>
      <c r="BC380" s="293">
        <v>174</v>
      </c>
      <c r="BD380" s="293">
        <v>1227</v>
      </c>
      <c r="BE380" s="293">
        <v>0</v>
      </c>
      <c r="BF380" s="293">
        <v>0</v>
      </c>
      <c r="BG380" s="293">
        <v>8361</v>
      </c>
      <c r="BH380" s="293">
        <v>0</v>
      </c>
      <c r="BI380" s="293">
        <v>0</v>
      </c>
      <c r="BJ380" s="293">
        <v>0</v>
      </c>
      <c r="BK380" s="293">
        <v>36</v>
      </c>
      <c r="BL380" s="293">
        <v>5208</v>
      </c>
      <c r="BM380" s="293">
        <v>0</v>
      </c>
      <c r="BN380" s="293">
        <v>39</v>
      </c>
      <c r="BO380" s="293">
        <v>0</v>
      </c>
      <c r="BP380" s="293">
        <v>40996</v>
      </c>
      <c r="BQ380" s="293">
        <v>80583</v>
      </c>
      <c r="BR380" s="293">
        <v>3188</v>
      </c>
      <c r="BS380" s="293">
        <v>21</v>
      </c>
      <c r="BT380" s="293">
        <v>26662</v>
      </c>
      <c r="BU380" s="293">
        <v>2089</v>
      </c>
      <c r="BV380" s="293">
        <v>3</v>
      </c>
      <c r="BW380" s="293">
        <v>0</v>
      </c>
      <c r="BX380" s="293">
        <v>3</v>
      </c>
      <c r="BY380" s="293">
        <v>93</v>
      </c>
      <c r="BZ380" s="293">
        <v>253</v>
      </c>
      <c r="CA380" s="293">
        <v>0</v>
      </c>
      <c r="CB380" s="293">
        <v>28457</v>
      </c>
      <c r="CC380" s="293">
        <v>14452</v>
      </c>
      <c r="CD380" s="293">
        <v>130896</v>
      </c>
      <c r="CE380" s="293">
        <v>289301</v>
      </c>
      <c r="CF380" s="293">
        <v>40089</v>
      </c>
      <c r="CG380" s="293">
        <v>65369</v>
      </c>
      <c r="CH380" s="293">
        <v>0</v>
      </c>
      <c r="CI380" s="293">
        <v>5</v>
      </c>
      <c r="CJ380" s="293">
        <v>0</v>
      </c>
      <c r="CK380" s="293">
        <v>91</v>
      </c>
      <c r="CL380" s="293">
        <v>51849</v>
      </c>
      <c r="CM380" s="293">
        <v>35446</v>
      </c>
      <c r="CN380" s="293">
        <v>118036</v>
      </c>
      <c r="CO380" s="293">
        <v>29408</v>
      </c>
      <c r="CP380" s="293">
        <v>616</v>
      </c>
      <c r="CQ380" s="293">
        <v>1810</v>
      </c>
      <c r="CR380" s="293">
        <v>981</v>
      </c>
      <c r="CS380" s="293">
        <v>24</v>
      </c>
      <c r="CT380" s="293">
        <v>0</v>
      </c>
      <c r="CU380" s="293">
        <v>0</v>
      </c>
      <c r="CV380" s="293">
        <v>0</v>
      </c>
      <c r="CW380" s="293">
        <v>13</v>
      </c>
      <c r="CX380" s="293">
        <v>0</v>
      </c>
      <c r="CY380" s="293">
        <v>23</v>
      </c>
      <c r="DA380" s="6"/>
      <c r="DC380" s="6"/>
      <c r="DD380" s="6">
        <f t="shared" si="1320"/>
        <v>973442</v>
      </c>
      <c r="DE380" s="6">
        <f t="shared" ref="DE380" si="1373">SUM(M380:N380,P380:AX380,BB380:BC380)+CR380+CS380</f>
        <v>284946</v>
      </c>
      <c r="DF380" s="8">
        <f t="shared" si="1322"/>
        <v>1258388</v>
      </c>
      <c r="DK380" s="6">
        <f t="shared" ref="DK380" si="1374">SUM(M380:N380,P380:S380,U380:X380)</f>
        <v>73752</v>
      </c>
      <c r="DL380" s="6">
        <f t="shared" ref="DL380" si="1375">SUM(Y380:Z380,AB380:AF380,AH380:AM380,AO380,AS380:AW380,BA380:BC380)+CR380+CS380</f>
        <v>149742</v>
      </c>
      <c r="DM380" s="6">
        <f t="shared" ref="DM380" si="1376">T380</f>
        <v>13981</v>
      </c>
      <c r="DN380" s="6">
        <f t="shared" ref="DN380" si="1377">AG380+AX380+AN380+AP380+AQ380+AR380</f>
        <v>48330</v>
      </c>
      <c r="DO380" s="6">
        <f t="shared" ref="DO380" si="1378">SUM(AY380,BF380,BI380,BK380,BO380,BR380:BS380,BU380,BW380,BZ380:CB380,CD380:CF380,CJ380:CK380)</f>
        <v>494491</v>
      </c>
      <c r="DP380" s="6">
        <f t="shared" si="1346"/>
        <v>108523</v>
      </c>
      <c r="DQ380" s="6">
        <f t="shared" ref="DQ380" si="1379">BY380</f>
        <v>93</v>
      </c>
      <c r="DR380" s="6">
        <f t="shared" ref="DR380" si="1380">CC380+CI380+AA380</f>
        <v>14461</v>
      </c>
      <c r="DS380" s="6">
        <f t="shared" ref="DS380" si="1381">BP380+BV380</f>
        <v>40999</v>
      </c>
      <c r="DT380" s="6">
        <f t="shared" ref="DT380" si="1382">BG380+BJ380+BL380+BM380+BX380</f>
        <v>13572</v>
      </c>
      <c r="DU380" s="6">
        <f t="shared" si="1351"/>
        <v>87295</v>
      </c>
      <c r="DV380" s="6">
        <f t="shared" si="1352"/>
        <v>149870</v>
      </c>
      <c r="DW380" s="6">
        <f t="shared" si="1353"/>
        <v>1195109</v>
      </c>
      <c r="DY380" s="6">
        <f t="shared" si="1332"/>
        <v>643299</v>
      </c>
      <c r="DZ380" s="6">
        <f t="shared" ref="DZ380" si="1383">SUM(G380:L380,O380)</f>
        <v>73253</v>
      </c>
      <c r="EB380" s="6">
        <f t="shared" si="1334"/>
        <v>1331641</v>
      </c>
      <c r="EC380" s="6"/>
      <c r="ED380" s="6"/>
      <c r="EF380" s="6">
        <f t="shared" si="1335"/>
        <v>866995</v>
      </c>
      <c r="EG380" s="6">
        <f t="shared" ref="EG380" si="1384">SUM(M380:BC380)-AQ380</f>
        <v>274211</v>
      </c>
      <c r="EH380" s="6">
        <f t="shared" ref="EH380" si="1385">SUM(EF380:EG380)</f>
        <v>1141206</v>
      </c>
      <c r="EI380" s="36">
        <f t="shared" ref="EI380" si="1386">(EF380-EF379)/EF379</f>
        <v>1.6651129521162766E-2</v>
      </c>
      <c r="EJ380" s="36">
        <f t="shared" ref="EJ380" si="1387">(EG380-EG379)/EG379</f>
        <v>-9.5455655018890752E-4</v>
      </c>
      <c r="EM380" s="104"/>
      <c r="EN380" s="104"/>
      <c r="FC380" s="6">
        <f t="shared" si="1314"/>
        <v>87733</v>
      </c>
      <c r="FD380" s="6">
        <f t="shared" si="1315"/>
        <v>198072</v>
      </c>
      <c r="FE380" s="32">
        <f t="shared" si="1316"/>
        <v>494491</v>
      </c>
      <c r="FF380" s="34">
        <f t="shared" si="1317"/>
        <v>13572</v>
      </c>
      <c r="FG380" s="31">
        <f t="shared" si="1318"/>
        <v>149615</v>
      </c>
      <c r="FH380" s="6">
        <f t="shared" si="1319"/>
        <v>14461</v>
      </c>
      <c r="FI380" s="6">
        <f t="shared" si="890"/>
        <v>-237165</v>
      </c>
    </row>
    <row r="381" spans="2:166" s="294" customFormat="1">
      <c r="B381" s="50">
        <v>43556</v>
      </c>
      <c r="C381" s="295">
        <v>0</v>
      </c>
      <c r="D381" s="295">
        <v>0</v>
      </c>
      <c r="E381" s="295">
        <v>0</v>
      </c>
      <c r="F381" s="295">
        <v>0</v>
      </c>
      <c r="G381" s="295">
        <v>1278</v>
      </c>
      <c r="H381" s="295">
        <v>18172</v>
      </c>
      <c r="I381" s="295">
        <v>48051</v>
      </c>
      <c r="J381" s="295">
        <v>965</v>
      </c>
      <c r="K381" s="295">
        <v>2357</v>
      </c>
      <c r="L381" s="295">
        <v>1310</v>
      </c>
      <c r="M381" s="295">
        <v>33474</v>
      </c>
      <c r="N381" s="295">
        <v>1392</v>
      </c>
      <c r="O381" s="295">
        <v>794</v>
      </c>
      <c r="P381" s="295">
        <v>1742</v>
      </c>
      <c r="Q381" s="295">
        <v>11027</v>
      </c>
      <c r="R381" s="295">
        <v>265</v>
      </c>
      <c r="S381" s="295">
        <v>6969</v>
      </c>
      <c r="T381" s="295">
        <v>14094</v>
      </c>
      <c r="U381" s="295">
        <v>56</v>
      </c>
      <c r="V381" s="295">
        <v>4573</v>
      </c>
      <c r="W381" s="295">
        <v>43</v>
      </c>
      <c r="X381" s="295">
        <v>14626</v>
      </c>
      <c r="Y381" s="295">
        <v>445</v>
      </c>
      <c r="Z381" s="295">
        <v>4</v>
      </c>
      <c r="AA381" s="295">
        <v>8</v>
      </c>
      <c r="AB381" s="295">
        <v>1</v>
      </c>
      <c r="AC381" s="295">
        <v>74</v>
      </c>
      <c r="AD381" s="295">
        <v>28</v>
      </c>
      <c r="AE381" s="295">
        <v>23</v>
      </c>
      <c r="AF381" s="295">
        <v>17</v>
      </c>
      <c r="AG381" s="295">
        <v>44</v>
      </c>
      <c r="AH381" s="295">
        <v>119</v>
      </c>
      <c r="AI381" s="295">
        <v>2468</v>
      </c>
      <c r="AJ381" s="295">
        <v>1</v>
      </c>
      <c r="AK381" s="295">
        <v>11868</v>
      </c>
      <c r="AL381" s="295">
        <v>112636</v>
      </c>
      <c r="AM381" s="295">
        <v>2067</v>
      </c>
      <c r="AN381" s="295">
        <v>21862</v>
      </c>
      <c r="AO381" s="295">
        <v>21</v>
      </c>
      <c r="AP381" s="295">
        <v>123</v>
      </c>
      <c r="AQ381" s="295">
        <v>11697</v>
      </c>
      <c r="AR381" s="295">
        <v>0</v>
      </c>
      <c r="AS381" s="295">
        <v>550</v>
      </c>
      <c r="AT381" s="295">
        <v>39</v>
      </c>
      <c r="AU381" s="295">
        <v>11027</v>
      </c>
      <c r="AV381" s="295">
        <v>2339</v>
      </c>
      <c r="AW381" s="295">
        <v>3799</v>
      </c>
      <c r="AX381" s="295">
        <v>15052</v>
      </c>
      <c r="AY381" s="295">
        <v>61</v>
      </c>
      <c r="AZ381" s="295">
        <v>8</v>
      </c>
      <c r="BA381" s="295">
        <v>857</v>
      </c>
      <c r="BB381" s="295">
        <v>0</v>
      </c>
      <c r="BC381" s="295">
        <v>175</v>
      </c>
      <c r="BD381" s="295">
        <v>1237</v>
      </c>
      <c r="BE381" s="295">
        <v>0</v>
      </c>
      <c r="BF381" s="295">
        <v>0</v>
      </c>
      <c r="BG381" s="295">
        <v>8393</v>
      </c>
      <c r="BH381" s="295">
        <v>0</v>
      </c>
      <c r="BI381" s="295">
        <v>0</v>
      </c>
      <c r="BJ381" s="295">
        <v>0</v>
      </c>
      <c r="BK381" s="295">
        <v>36</v>
      </c>
      <c r="BL381" s="295">
        <v>5223</v>
      </c>
      <c r="BM381" s="295">
        <v>0</v>
      </c>
      <c r="BN381" s="295">
        <v>27</v>
      </c>
      <c r="BO381" s="295">
        <v>0</v>
      </c>
      <c r="BP381" s="295">
        <v>40909</v>
      </c>
      <c r="BQ381" s="295">
        <v>80065</v>
      </c>
      <c r="BR381" s="295">
        <v>3256</v>
      </c>
      <c r="BS381" s="295">
        <v>21</v>
      </c>
      <c r="BT381" s="295">
        <v>26428</v>
      </c>
      <c r="BU381" s="295">
        <v>2041</v>
      </c>
      <c r="BV381" s="295">
        <v>0</v>
      </c>
      <c r="BW381" s="295">
        <v>0</v>
      </c>
      <c r="BX381" s="295">
        <v>3</v>
      </c>
      <c r="BY381" s="295">
        <v>8</v>
      </c>
      <c r="BZ381" s="295">
        <v>247</v>
      </c>
      <c r="CA381" s="295">
        <v>0</v>
      </c>
      <c r="CB381" s="295">
        <v>28538</v>
      </c>
      <c r="CC381" s="295">
        <v>14283</v>
      </c>
      <c r="CD381" s="295">
        <v>131298</v>
      </c>
      <c r="CE381" s="295">
        <v>290609</v>
      </c>
      <c r="CF381" s="295">
        <v>40279</v>
      </c>
      <c r="CG381" s="295">
        <v>65666</v>
      </c>
      <c r="CH381" s="295">
        <v>0</v>
      </c>
      <c r="CI381" s="295">
        <v>4</v>
      </c>
      <c r="CJ381" s="295">
        <v>0</v>
      </c>
      <c r="CK381" s="295">
        <v>89</v>
      </c>
      <c r="CL381" s="295">
        <v>54504</v>
      </c>
      <c r="CM381" s="295">
        <v>37057</v>
      </c>
      <c r="CN381" s="295">
        <v>130112</v>
      </c>
      <c r="CO381" s="295">
        <v>31042</v>
      </c>
      <c r="CP381" s="295">
        <v>675</v>
      </c>
      <c r="CQ381" s="295">
        <v>2202</v>
      </c>
      <c r="CR381" s="295">
        <v>997</v>
      </c>
      <c r="CS381" s="295">
        <v>26</v>
      </c>
      <c r="CT381" s="295">
        <v>0</v>
      </c>
      <c r="CU381" s="295">
        <v>0</v>
      </c>
      <c r="CV381" s="295">
        <v>0</v>
      </c>
      <c r="CW381" s="295">
        <v>13</v>
      </c>
      <c r="CX381" s="295">
        <v>0</v>
      </c>
      <c r="CY381" s="295">
        <v>23</v>
      </c>
      <c r="DA381" s="6"/>
      <c r="DC381" s="6"/>
      <c r="DD381" s="6">
        <f t="shared" si="1320"/>
        <v>993084</v>
      </c>
      <c r="DE381" s="6">
        <f t="shared" ref="DE381" si="1388">SUM(M381:N381,P381:AX381,BB381:BC381)+CR381+CS381</f>
        <v>285771</v>
      </c>
      <c r="DF381" s="8">
        <f t="shared" si="1322"/>
        <v>1278855</v>
      </c>
      <c r="DG381" s="295"/>
      <c r="DH381" s="295"/>
      <c r="DI381" s="295"/>
      <c r="DJ381" s="295"/>
      <c r="DK381" s="6">
        <f t="shared" ref="DK381" si="1389">SUM(M381:N381,P381:S381,U381:X381)</f>
        <v>74167</v>
      </c>
      <c r="DL381" s="6">
        <f t="shared" ref="DL381" si="1390">SUM(Y381:Z381,AB381:AF381,AH381:AM381,AO381,AS381:AW381,BA381:BC381)+CR381+CS381</f>
        <v>149581</v>
      </c>
      <c r="DM381" s="6">
        <f t="shared" ref="DM381" si="1391">T381</f>
        <v>14094</v>
      </c>
      <c r="DN381" s="6">
        <f t="shared" ref="DN381" si="1392">AG381+AX381+AN381+AP381+AQ381+AR381</f>
        <v>48778</v>
      </c>
      <c r="DO381" s="6">
        <f t="shared" ref="DO381" si="1393">SUM(AY381,BF381,BI381,BK381,BO381,BR381:BS381,BU381,BW381,BZ381:CB381,CD381:CF381,CJ381:CK381)</f>
        <v>496475</v>
      </c>
      <c r="DP381" s="6">
        <f t="shared" si="1346"/>
        <v>107765</v>
      </c>
      <c r="DQ381" s="6">
        <f t="shared" ref="DQ381" si="1394">BY381</f>
        <v>8</v>
      </c>
      <c r="DR381" s="6">
        <f t="shared" ref="DR381" si="1395">CC381+CI381+AA381</f>
        <v>14295</v>
      </c>
      <c r="DS381" s="6">
        <f t="shared" ref="DS381" si="1396">BP381+BV381</f>
        <v>40909</v>
      </c>
      <c r="DT381" s="6">
        <f t="shared" ref="DT381" si="1397">BG381+BJ381+BL381+BM381+BX381</f>
        <v>13619</v>
      </c>
      <c r="DU381" s="6">
        <f t="shared" si="1351"/>
        <v>91561</v>
      </c>
      <c r="DV381" s="6">
        <f t="shared" si="1352"/>
        <v>164031</v>
      </c>
      <c r="DW381" s="6">
        <f t="shared" si="1353"/>
        <v>1215283</v>
      </c>
      <c r="DX381" s="295"/>
      <c r="DY381" s="6">
        <f t="shared" si="1332"/>
        <v>645305</v>
      </c>
      <c r="DZ381" s="6">
        <f t="shared" ref="DZ381" si="1398">SUM(G381:L381,O381)</f>
        <v>72927</v>
      </c>
      <c r="EA381" s="295"/>
      <c r="EB381" s="6">
        <f t="shared" si="1334"/>
        <v>1351782</v>
      </c>
      <c r="EC381" s="6"/>
      <c r="ED381" s="6"/>
      <c r="EE381" s="295"/>
      <c r="EF381" s="6">
        <f t="shared" si="1335"/>
        <v>886440</v>
      </c>
      <c r="EG381" s="6">
        <f t="shared" ref="EG381" si="1399">SUM(M381:BC381)-AQ381</f>
        <v>274771</v>
      </c>
      <c r="EH381" s="6">
        <f t="shared" ref="EH381" si="1400">SUM(EF381:EG381)</f>
        <v>1161211</v>
      </c>
      <c r="EI381" s="36">
        <f t="shared" ref="EI381" si="1401">(EF381-EF380)/EF380</f>
        <v>2.2428041684208099E-2</v>
      </c>
      <c r="EJ381" s="36">
        <f t="shared" ref="EJ381" si="1402">(EG381-EG380)/EG380</f>
        <v>2.0422229596916241E-3</v>
      </c>
      <c r="EK381" s="295"/>
      <c r="EL381" s="295"/>
      <c r="EM381" s="104"/>
      <c r="EN381" s="104"/>
      <c r="EO381" s="295"/>
      <c r="EP381" s="295"/>
      <c r="EQ381" s="295"/>
      <c r="ER381" s="295"/>
      <c r="ES381" s="295"/>
      <c r="ET381" s="295"/>
      <c r="EU381" s="295"/>
      <c r="FC381" s="6">
        <f t="shared" si="1314"/>
        <v>88261</v>
      </c>
      <c r="FD381" s="6">
        <f t="shared" si="1315"/>
        <v>198359</v>
      </c>
      <c r="FE381" s="32">
        <f t="shared" si="1316"/>
        <v>496475</v>
      </c>
      <c r="FF381" s="34">
        <f t="shared" si="1317"/>
        <v>13619</v>
      </c>
      <c r="FG381" s="31">
        <f t="shared" si="1318"/>
        <v>148682</v>
      </c>
      <c r="FH381" s="6">
        <f t="shared" si="1319"/>
        <v>14295</v>
      </c>
      <c r="FI381" s="6">
        <f t="shared" si="890"/>
        <v>-255592</v>
      </c>
    </row>
    <row r="382" spans="2:166" s="296" customFormat="1">
      <c r="B382" s="50">
        <v>43586</v>
      </c>
      <c r="C382" s="296">
        <v>0</v>
      </c>
      <c r="D382" s="296">
        <v>0</v>
      </c>
      <c r="E382" s="296">
        <v>0</v>
      </c>
      <c r="F382" s="296">
        <v>0</v>
      </c>
      <c r="G382" s="296">
        <v>1293</v>
      </c>
      <c r="H382" s="296">
        <v>18290</v>
      </c>
      <c r="I382" s="296">
        <v>48299</v>
      </c>
      <c r="J382" s="296">
        <v>945</v>
      </c>
      <c r="K382" s="296">
        <v>2316</v>
      </c>
      <c r="L382" s="296">
        <v>1283</v>
      </c>
      <c r="M382" s="296">
        <v>33460</v>
      </c>
      <c r="N382" s="296">
        <v>1395</v>
      </c>
      <c r="O382" s="296">
        <v>804</v>
      </c>
      <c r="P382" s="296">
        <v>1771</v>
      </c>
      <c r="Q382" s="296">
        <v>11030</v>
      </c>
      <c r="R382" s="296">
        <v>270</v>
      </c>
      <c r="S382" s="296">
        <v>7391</v>
      </c>
      <c r="T382" s="296">
        <v>14215</v>
      </c>
      <c r="U382" s="296">
        <v>52</v>
      </c>
      <c r="V382" s="296">
        <v>4578</v>
      </c>
      <c r="W382" s="296">
        <v>41</v>
      </c>
      <c r="X382" s="296">
        <v>14326</v>
      </c>
      <c r="Y382" s="296">
        <v>447</v>
      </c>
      <c r="Z382" s="296">
        <v>4</v>
      </c>
      <c r="AA382" s="296">
        <v>8</v>
      </c>
      <c r="AB382" s="296">
        <v>1</v>
      </c>
      <c r="AC382" s="296">
        <v>76</v>
      </c>
      <c r="AD382" s="296">
        <v>29</v>
      </c>
      <c r="AE382" s="296">
        <v>23</v>
      </c>
      <c r="AF382" s="296">
        <v>17</v>
      </c>
      <c r="AG382" s="296">
        <v>40</v>
      </c>
      <c r="AH382" s="296">
        <v>140</v>
      </c>
      <c r="AI382" s="296">
        <v>2473</v>
      </c>
      <c r="AJ382" s="296">
        <v>1</v>
      </c>
      <c r="AK382" s="296">
        <v>11425</v>
      </c>
      <c r="AL382" s="296">
        <v>112582</v>
      </c>
      <c r="AM382" s="296">
        <v>2058</v>
      </c>
      <c r="AN382" s="296">
        <v>21936</v>
      </c>
      <c r="AO382" s="296">
        <v>20</v>
      </c>
      <c r="AP382" s="296">
        <v>133</v>
      </c>
      <c r="AQ382" s="296">
        <v>11858</v>
      </c>
      <c r="AR382" s="296">
        <v>0</v>
      </c>
      <c r="AS382" s="296">
        <v>526</v>
      </c>
      <c r="AT382" s="296">
        <v>38</v>
      </c>
      <c r="AU382" s="296">
        <v>11095</v>
      </c>
      <c r="AV382" s="296">
        <v>2332</v>
      </c>
      <c r="AW382" s="296">
        <v>3989</v>
      </c>
      <c r="AX382" s="296">
        <v>15071</v>
      </c>
      <c r="AY382" s="296">
        <v>48</v>
      </c>
      <c r="AZ382" s="296">
        <v>18</v>
      </c>
      <c r="BA382" s="296">
        <v>838</v>
      </c>
      <c r="BB382" s="296">
        <v>0</v>
      </c>
      <c r="BC382" s="296">
        <v>177</v>
      </c>
      <c r="BD382" s="296">
        <v>1257</v>
      </c>
      <c r="BE382" s="296">
        <v>0</v>
      </c>
      <c r="BF382" s="296">
        <v>0</v>
      </c>
      <c r="BG382" s="296">
        <v>8417</v>
      </c>
      <c r="BH382" s="296">
        <v>0</v>
      </c>
      <c r="BI382" s="296">
        <v>0</v>
      </c>
      <c r="BJ382" s="296">
        <v>0</v>
      </c>
      <c r="BK382" s="296">
        <v>39</v>
      </c>
      <c r="BL382" s="296">
        <v>5278</v>
      </c>
      <c r="BM382" s="296">
        <v>0</v>
      </c>
      <c r="BN382" s="296">
        <v>14</v>
      </c>
      <c r="BO382" s="296">
        <v>0</v>
      </c>
      <c r="BP382" s="296">
        <v>41089</v>
      </c>
      <c r="BQ382" s="296">
        <v>78933</v>
      </c>
      <c r="BR382" s="296">
        <v>3304</v>
      </c>
      <c r="BS382" s="296">
        <v>20</v>
      </c>
      <c r="BT382" s="296">
        <v>26120</v>
      </c>
      <c r="BU382" s="296">
        <v>1977</v>
      </c>
      <c r="BV382" s="296">
        <v>0</v>
      </c>
      <c r="BW382" s="296">
        <v>0</v>
      </c>
      <c r="BX382" s="296">
        <v>3</v>
      </c>
      <c r="BY382" s="296">
        <v>5</v>
      </c>
      <c r="BZ382" s="296">
        <v>237</v>
      </c>
      <c r="CA382" s="296">
        <v>0</v>
      </c>
      <c r="CB382" s="296">
        <v>28689</v>
      </c>
      <c r="CC382" s="296">
        <v>14439</v>
      </c>
      <c r="CD382" s="296">
        <v>131642</v>
      </c>
      <c r="CE382" s="296">
        <v>291628</v>
      </c>
      <c r="CF382" s="296">
        <v>40190</v>
      </c>
      <c r="CG382" s="296">
        <v>65969</v>
      </c>
      <c r="CH382" s="296">
        <v>0</v>
      </c>
      <c r="CI382" s="296">
        <v>7</v>
      </c>
      <c r="CJ382" s="296">
        <v>0</v>
      </c>
      <c r="CK382" s="296">
        <v>91</v>
      </c>
      <c r="CL382" s="296">
        <v>57144</v>
      </c>
      <c r="CM382" s="296">
        <v>38660</v>
      </c>
      <c r="CN382" s="296">
        <v>139184</v>
      </c>
      <c r="CO382" s="296">
        <v>32566</v>
      </c>
      <c r="CP382" s="296">
        <v>637</v>
      </c>
      <c r="CQ382" s="296">
        <v>2832</v>
      </c>
      <c r="CR382" s="296">
        <v>1023</v>
      </c>
      <c r="CS382" s="296">
        <v>24</v>
      </c>
      <c r="CT382" s="296">
        <v>0</v>
      </c>
      <c r="CU382" s="296">
        <v>0</v>
      </c>
      <c r="CV382" s="296">
        <v>0</v>
      </c>
      <c r="CW382" s="296">
        <v>13</v>
      </c>
      <c r="CX382" s="296">
        <v>0</v>
      </c>
      <c r="CY382" s="296">
        <v>23</v>
      </c>
      <c r="DA382" s="6"/>
      <c r="DC382" s="6"/>
      <c r="DD382" s="6">
        <f t="shared" si="1320"/>
        <v>1009180</v>
      </c>
      <c r="DE382" s="6">
        <f t="shared" ref="DE382" si="1403">SUM(M382:N382,P382:AX382,BB382:BC382)+CR382+CS382</f>
        <v>286075</v>
      </c>
      <c r="DF382" s="8">
        <f t="shared" si="1322"/>
        <v>1295255</v>
      </c>
      <c r="DK382" s="6">
        <f t="shared" ref="DK382" si="1404">SUM(M382:N382,P382:S382,U382:X382)</f>
        <v>74314</v>
      </c>
      <c r="DL382" s="6">
        <f t="shared" ref="DL382" si="1405">SUM(Y382:Z382,AB382:AF382,AH382:AM382,AO382,AS382:AW382,BA382:BC382)+CR382+CS382</f>
        <v>149338</v>
      </c>
      <c r="DM382" s="6">
        <f t="shared" ref="DM382" si="1406">T382</f>
        <v>14215</v>
      </c>
      <c r="DN382" s="6">
        <f t="shared" ref="DN382" si="1407">AG382+AX382+AN382+AP382+AQ382+AR382</f>
        <v>49038</v>
      </c>
      <c r="DO382" s="6">
        <f t="shared" ref="DO382" si="1408">SUM(AY382,BF382,BI382,BK382,BO382,BR382:BS382,BU382,BW382,BZ382:CB382,CD382:CF382,CJ382:CK382)</f>
        <v>497865</v>
      </c>
      <c r="DP382" s="6">
        <f t="shared" si="1346"/>
        <v>106342</v>
      </c>
      <c r="DQ382" s="6">
        <f t="shared" ref="DQ382" si="1409">BY382</f>
        <v>5</v>
      </c>
      <c r="DR382" s="6">
        <f t="shared" ref="DR382" si="1410">CC382+CI382+AA382</f>
        <v>14454</v>
      </c>
      <c r="DS382" s="6">
        <f t="shared" ref="DS382" si="1411">BP382+BV382</f>
        <v>41089</v>
      </c>
      <c r="DT382" s="6">
        <f t="shared" ref="DT382" si="1412">BG382+BJ382+BL382+BM382+BX382</f>
        <v>13698</v>
      </c>
      <c r="DU382" s="6">
        <f t="shared" si="1351"/>
        <v>95804</v>
      </c>
      <c r="DV382" s="6">
        <f t="shared" si="1352"/>
        <v>175219</v>
      </c>
      <c r="DW382" s="6">
        <f t="shared" si="1353"/>
        <v>1231381</v>
      </c>
      <c r="DY382" s="6">
        <f t="shared" si="1332"/>
        <v>647382</v>
      </c>
      <c r="DZ382" s="6">
        <f t="shared" ref="DZ382" si="1413">SUM(G382:L382,O382)</f>
        <v>73230</v>
      </c>
      <c r="EB382" s="6">
        <f t="shared" si="1334"/>
        <v>1368485</v>
      </c>
      <c r="EC382" s="6"/>
      <c r="ED382" s="6"/>
      <c r="EF382" s="6">
        <f t="shared" si="1335"/>
        <v>902056</v>
      </c>
      <c r="EG382" s="6">
        <f t="shared" ref="EG382" si="1414">SUM(M382:BC382)-AQ382</f>
        <v>274878</v>
      </c>
      <c r="EH382" s="6">
        <f t="shared" ref="EH382" si="1415">SUM(EF382:EG382)</f>
        <v>1176934</v>
      </c>
      <c r="EI382" s="36">
        <f t="shared" ref="EI382" si="1416">(EF382-EF381)/EF381</f>
        <v>1.7616533549930057E-2</v>
      </c>
      <c r="EJ382" s="36">
        <f t="shared" ref="EJ382" si="1417">(EG382-EG381)/EG381</f>
        <v>3.8941518573648603E-4</v>
      </c>
      <c r="EM382" s="104"/>
      <c r="EN382" s="104"/>
      <c r="FC382" s="6">
        <f t="shared" si="1314"/>
        <v>88529</v>
      </c>
      <c r="FD382" s="6">
        <f t="shared" si="1315"/>
        <v>198376</v>
      </c>
      <c r="FE382" s="32">
        <f t="shared" si="1316"/>
        <v>497865</v>
      </c>
      <c r="FF382" s="34">
        <f t="shared" si="1317"/>
        <v>13698</v>
      </c>
      <c r="FG382" s="31">
        <f t="shared" si="1318"/>
        <v>147436</v>
      </c>
      <c r="FH382" s="6">
        <f t="shared" si="1319"/>
        <v>14454</v>
      </c>
      <c r="FI382" s="6">
        <f t="shared" si="890"/>
        <v>-271023</v>
      </c>
    </row>
    <row r="383" spans="2:166" s="297" customFormat="1">
      <c r="B383" s="50">
        <v>43617</v>
      </c>
      <c r="C383" s="297">
        <v>0</v>
      </c>
      <c r="D383" s="297">
        <v>0</v>
      </c>
      <c r="E383" s="297">
        <v>0</v>
      </c>
      <c r="F383" s="297">
        <v>0</v>
      </c>
      <c r="G383" s="297">
        <v>1368</v>
      </c>
      <c r="H383" s="297">
        <v>18340</v>
      </c>
      <c r="I383" s="297">
        <v>48279</v>
      </c>
      <c r="J383" s="297">
        <v>927</v>
      </c>
      <c r="K383" s="297">
        <v>2307</v>
      </c>
      <c r="L383" s="297">
        <v>1298</v>
      </c>
      <c r="M383" s="297">
        <v>33482</v>
      </c>
      <c r="N383" s="297">
        <v>1382</v>
      </c>
      <c r="O383" s="297">
        <v>785</v>
      </c>
      <c r="P383" s="297">
        <v>1783</v>
      </c>
      <c r="Q383" s="297">
        <v>11162</v>
      </c>
      <c r="R383" s="297">
        <v>276</v>
      </c>
      <c r="S383" s="297">
        <v>7837</v>
      </c>
      <c r="T383" s="297">
        <v>14421</v>
      </c>
      <c r="U383" s="297">
        <v>56</v>
      </c>
      <c r="V383" s="297">
        <v>4544</v>
      </c>
      <c r="W383" s="297">
        <v>45</v>
      </c>
      <c r="X383" s="297">
        <v>14090</v>
      </c>
      <c r="Y383" s="297">
        <v>446</v>
      </c>
      <c r="Z383" s="297">
        <v>4</v>
      </c>
      <c r="AA383" s="297">
        <v>10</v>
      </c>
      <c r="AB383" s="297">
        <v>1</v>
      </c>
      <c r="AC383" s="297">
        <v>74</v>
      </c>
      <c r="AD383" s="297">
        <v>30</v>
      </c>
      <c r="AE383" s="297">
        <v>23</v>
      </c>
      <c r="AF383" s="297">
        <v>17</v>
      </c>
      <c r="AG383" s="297">
        <v>40</v>
      </c>
      <c r="AH383" s="297">
        <v>128</v>
      </c>
      <c r="AI383" s="297">
        <v>2477</v>
      </c>
      <c r="AJ383" s="297">
        <v>1</v>
      </c>
      <c r="AK383" s="297">
        <v>11057</v>
      </c>
      <c r="AL383" s="297">
        <v>112624</v>
      </c>
      <c r="AM383" s="297">
        <v>2063</v>
      </c>
      <c r="AN383" s="297">
        <v>22064</v>
      </c>
      <c r="AO383" s="297">
        <v>20</v>
      </c>
      <c r="AP383" s="297">
        <v>116</v>
      </c>
      <c r="AQ383" s="297">
        <v>12012</v>
      </c>
      <c r="AR383" s="297">
        <v>0</v>
      </c>
      <c r="AS383" s="297">
        <v>521</v>
      </c>
      <c r="AT383" s="297">
        <v>40</v>
      </c>
      <c r="AU383" s="297">
        <v>11107</v>
      </c>
      <c r="AV383" s="297">
        <v>2354</v>
      </c>
      <c r="AW383" s="297">
        <v>4153</v>
      </c>
      <c r="AX383" s="297">
        <v>15187</v>
      </c>
      <c r="AY383" s="297">
        <v>52</v>
      </c>
      <c r="AZ383" s="297">
        <v>7</v>
      </c>
      <c r="BA383" s="297">
        <v>841</v>
      </c>
      <c r="BB383" s="297">
        <v>0</v>
      </c>
      <c r="BC383" s="297">
        <v>169</v>
      </c>
      <c r="BD383" s="297">
        <v>1269</v>
      </c>
      <c r="BE383" s="297">
        <v>0</v>
      </c>
      <c r="BF383" s="297">
        <v>0</v>
      </c>
      <c r="BG383" s="297">
        <v>8399</v>
      </c>
      <c r="BH383" s="297">
        <v>0</v>
      </c>
      <c r="BI383" s="297">
        <v>0</v>
      </c>
      <c r="BJ383" s="297">
        <v>0</v>
      </c>
      <c r="BK383" s="297">
        <v>37</v>
      </c>
      <c r="BL383" s="297">
        <v>5313</v>
      </c>
      <c r="BM383" s="297">
        <v>0</v>
      </c>
      <c r="BN383" s="297">
        <v>14</v>
      </c>
      <c r="BO383" s="297">
        <v>0</v>
      </c>
      <c r="BP383" s="297">
        <v>41289</v>
      </c>
      <c r="BQ383" s="297">
        <v>78439</v>
      </c>
      <c r="BR383" s="297">
        <v>3302</v>
      </c>
      <c r="BS383" s="297">
        <v>22</v>
      </c>
      <c r="BT383" s="297">
        <v>25934</v>
      </c>
      <c r="BU383" s="297">
        <v>1968</v>
      </c>
      <c r="BV383" s="297">
        <v>0</v>
      </c>
      <c r="BW383" s="297">
        <v>0</v>
      </c>
      <c r="BX383" s="297">
        <v>4</v>
      </c>
      <c r="BY383" s="297">
        <v>0</v>
      </c>
      <c r="BZ383" s="297">
        <v>245</v>
      </c>
      <c r="CA383" s="297">
        <v>0</v>
      </c>
      <c r="CB383" s="297">
        <v>28760</v>
      </c>
      <c r="CC383" s="297">
        <v>14458</v>
      </c>
      <c r="CD383" s="297">
        <v>132298</v>
      </c>
      <c r="CE383" s="297">
        <v>293134</v>
      </c>
      <c r="CF383" s="297">
        <v>40061</v>
      </c>
      <c r="CG383" s="297">
        <v>66297</v>
      </c>
      <c r="CH383" s="297">
        <v>0</v>
      </c>
      <c r="CI383" s="297">
        <v>6</v>
      </c>
      <c r="CJ383" s="297">
        <v>0</v>
      </c>
      <c r="CK383" s="297">
        <v>89</v>
      </c>
      <c r="CL383" s="297">
        <v>59432</v>
      </c>
      <c r="CM383" s="297">
        <v>39818</v>
      </c>
      <c r="CN383" s="297">
        <v>147106</v>
      </c>
      <c r="CO383" s="297">
        <v>33797</v>
      </c>
      <c r="CP383" s="297">
        <v>637</v>
      </c>
      <c r="CQ383" s="297">
        <v>3676</v>
      </c>
      <c r="CR383" s="297">
        <v>1032</v>
      </c>
      <c r="CS383" s="297">
        <v>29</v>
      </c>
      <c r="CT383" s="297">
        <v>0</v>
      </c>
      <c r="CU383" s="297">
        <v>0</v>
      </c>
      <c r="CV383" s="297">
        <v>0</v>
      </c>
      <c r="CW383" s="297">
        <v>13</v>
      </c>
      <c r="CX383" s="297">
        <v>0</v>
      </c>
      <c r="CY383" s="297">
        <v>23</v>
      </c>
      <c r="DB383" s="6"/>
      <c r="DD383" s="6">
        <f t="shared" ref="DD383" si="1418">SUM(AY383:AZ383,BE383:CQ383)</f>
        <v>1024594</v>
      </c>
      <c r="DE383" s="6">
        <f t="shared" ref="DE383" si="1419">SUM(M383:N383,P383:AX383,BB383:BC383)+CR383+CS383</f>
        <v>286877</v>
      </c>
      <c r="DF383" s="8">
        <f t="shared" ref="DF383" si="1420">SUM(DD383:DE383)</f>
        <v>1311471</v>
      </c>
      <c r="DG383" s="8"/>
      <c r="DK383" s="6">
        <f t="shared" ref="DK383" si="1421">SUM(M383:N383,P383:S383,U383:X383)</f>
        <v>74657</v>
      </c>
      <c r="DL383" s="6">
        <f t="shared" ref="DL383" si="1422">SUM(Y383:Z383,AB383:AF383,AH383:AM383,AO383,AS383:AW383,BA383:BC383)+CR383+CS383</f>
        <v>149211</v>
      </c>
      <c r="DM383" s="6">
        <f t="shared" ref="DM383" si="1423">T383</f>
        <v>14421</v>
      </c>
      <c r="DN383" s="6">
        <f t="shared" ref="DN383" si="1424">AG383+AX383+AN383+AP383+AQ383+AR383</f>
        <v>49419</v>
      </c>
      <c r="DO383" s="6">
        <f t="shared" ref="DO383" si="1425">SUM(AY383,BF383,BI383,BK383,BO383,BR383:BS383,BU383,BW383,BZ383:CB383,CD383:CF383,CJ383:CK383)</f>
        <v>499968</v>
      </c>
      <c r="DP383" s="6">
        <f t="shared" si="1346"/>
        <v>105663</v>
      </c>
      <c r="DQ383" s="6">
        <f t="shared" ref="DQ383" si="1426">BY383</f>
        <v>0</v>
      </c>
      <c r="DR383" s="6">
        <f t="shared" ref="DR383" si="1427">CC383+CI383+AA383</f>
        <v>14474</v>
      </c>
      <c r="DS383" s="6">
        <f t="shared" ref="DS383" si="1428">BP383+BV383</f>
        <v>41289</v>
      </c>
      <c r="DT383" s="6">
        <f t="shared" ref="DT383" si="1429">BG383+BJ383+BL383+BM383+BX383</f>
        <v>13716</v>
      </c>
      <c r="DU383" s="6">
        <f t="shared" si="1351"/>
        <v>99250</v>
      </c>
      <c r="DV383" s="6">
        <f t="shared" si="1352"/>
        <v>185216</v>
      </c>
      <c r="DW383" s="6">
        <f t="shared" si="1353"/>
        <v>1247284</v>
      </c>
      <c r="DX383" s="6"/>
      <c r="DY383" s="6">
        <f t="shared" ref="DY383" si="1430">DO383+DT383+H383+I383+J383+K383+CG383</f>
        <v>649834</v>
      </c>
      <c r="DZ383" s="6">
        <f t="shared" ref="DZ383" si="1431">SUM(G383:L383,O383)</f>
        <v>73304</v>
      </c>
      <c r="EB383" s="6">
        <f t="shared" ref="EB383" si="1432">DZ383+DF383</f>
        <v>1384775</v>
      </c>
      <c r="EC383" s="6"/>
      <c r="ED383" s="6"/>
      <c r="EF383" s="6">
        <f t="shared" ref="EF383" si="1433">SUM(BE383:CQ383)-CG383-BP383</f>
        <v>916949</v>
      </c>
      <c r="EG383" s="6">
        <f t="shared" ref="EG383" si="1434">SUM(M383:BC383)-AQ383</f>
        <v>275489</v>
      </c>
      <c r="EH383" s="6">
        <f t="shared" ref="EH383" si="1435">SUM(EF383:EG383)</f>
        <v>1192438</v>
      </c>
      <c r="EI383" s="36">
        <f t="shared" ref="EI383" si="1436">(EF383-EF382)/EF382</f>
        <v>1.6510061459598959E-2</v>
      </c>
      <c r="EJ383" s="36">
        <f t="shared" ref="EJ383" si="1437">(EG383-EG382)/EG382</f>
        <v>2.2228042986343031E-3</v>
      </c>
      <c r="EK383" s="6"/>
      <c r="EN383" s="104"/>
      <c r="EO383" s="104"/>
      <c r="FC383" s="6">
        <f t="shared" si="1314"/>
        <v>89078</v>
      </c>
      <c r="FD383" s="6">
        <f t="shared" si="1315"/>
        <v>198630</v>
      </c>
      <c r="FE383" s="32">
        <f t="shared" si="1316"/>
        <v>499968</v>
      </c>
      <c r="FF383" s="34">
        <f t="shared" si="1317"/>
        <v>13716</v>
      </c>
      <c r="FG383" s="31">
        <f t="shared" si="1318"/>
        <v>146952</v>
      </c>
      <c r="FH383" s="6">
        <f t="shared" si="1319"/>
        <v>14474</v>
      </c>
      <c r="FI383" s="6">
        <f t="shared" si="890"/>
        <v>-284466</v>
      </c>
      <c r="FJ383" s="6">
        <f>SUM(DU383:DV383)</f>
        <v>284466</v>
      </c>
    </row>
    <row r="384" spans="2:166" s="269" customFormat="1">
      <c r="B384" s="50">
        <v>43647</v>
      </c>
      <c r="C384" s="300">
        <v>0</v>
      </c>
      <c r="D384" s="300">
        <v>0</v>
      </c>
      <c r="E384" s="300">
        <v>0</v>
      </c>
      <c r="F384" s="300">
        <v>0</v>
      </c>
      <c r="G384" s="300">
        <v>1413</v>
      </c>
      <c r="H384" s="300">
        <v>18415</v>
      </c>
      <c r="I384" s="300">
        <v>48474</v>
      </c>
      <c r="J384" s="300">
        <v>917</v>
      </c>
      <c r="K384" s="300">
        <v>2297</v>
      </c>
      <c r="L384" s="300">
        <v>1282</v>
      </c>
      <c r="M384" s="300">
        <v>33487</v>
      </c>
      <c r="N384" s="300">
        <v>1379</v>
      </c>
      <c r="O384" s="300">
        <v>811</v>
      </c>
      <c r="P384" s="300">
        <v>1754</v>
      </c>
      <c r="Q384" s="300">
        <v>11162</v>
      </c>
      <c r="R384" s="300">
        <v>275</v>
      </c>
      <c r="S384" s="300">
        <v>7681</v>
      </c>
      <c r="T384" s="300">
        <v>14469</v>
      </c>
      <c r="U384" s="300">
        <v>61</v>
      </c>
      <c r="V384" s="300">
        <v>4567</v>
      </c>
      <c r="W384" s="300">
        <v>48</v>
      </c>
      <c r="X384" s="300">
        <v>14395</v>
      </c>
      <c r="Y384" s="300">
        <v>448</v>
      </c>
      <c r="Z384" s="300">
        <v>4</v>
      </c>
      <c r="AA384" s="300">
        <v>4</v>
      </c>
      <c r="AB384" s="300">
        <v>0</v>
      </c>
      <c r="AC384" s="300">
        <v>73</v>
      </c>
      <c r="AD384" s="300">
        <v>28</v>
      </c>
      <c r="AE384" s="300">
        <v>22</v>
      </c>
      <c r="AF384" s="300">
        <v>18</v>
      </c>
      <c r="AG384" s="300">
        <v>41</v>
      </c>
      <c r="AH384" s="300">
        <v>133</v>
      </c>
      <c r="AI384" s="300">
        <v>2476</v>
      </c>
      <c r="AJ384" s="300">
        <v>2</v>
      </c>
      <c r="AK384" s="300">
        <v>10837</v>
      </c>
      <c r="AL384" s="300">
        <v>112626</v>
      </c>
      <c r="AM384" s="300">
        <v>2043</v>
      </c>
      <c r="AN384" s="300">
        <v>22065</v>
      </c>
      <c r="AO384" s="300">
        <v>18</v>
      </c>
      <c r="AP384" s="300">
        <v>98</v>
      </c>
      <c r="AQ384" s="300">
        <v>12121</v>
      </c>
      <c r="AR384" s="300">
        <v>0</v>
      </c>
      <c r="AS384" s="300">
        <v>510</v>
      </c>
      <c r="AT384" s="300">
        <v>41</v>
      </c>
      <c r="AU384" s="300">
        <v>10980</v>
      </c>
      <c r="AV384" s="300">
        <v>2361</v>
      </c>
      <c r="AW384" s="300">
        <v>4151</v>
      </c>
      <c r="AX384" s="300">
        <v>15223</v>
      </c>
      <c r="AY384" s="300">
        <v>40</v>
      </c>
      <c r="AZ384" s="300">
        <v>2</v>
      </c>
      <c r="BA384" s="300">
        <v>824</v>
      </c>
      <c r="BB384" s="300">
        <v>0</v>
      </c>
      <c r="BC384" s="300">
        <v>171</v>
      </c>
      <c r="BD384" s="300">
        <v>1271</v>
      </c>
      <c r="BE384" s="300">
        <v>0</v>
      </c>
      <c r="BF384" s="300">
        <v>0</v>
      </c>
      <c r="BG384" s="300">
        <v>8398</v>
      </c>
      <c r="BH384" s="300">
        <v>0</v>
      </c>
      <c r="BI384" s="300">
        <v>0</v>
      </c>
      <c r="BJ384" s="300">
        <v>0</v>
      </c>
      <c r="BK384" s="300">
        <v>36</v>
      </c>
      <c r="BL384" s="300">
        <v>5301</v>
      </c>
      <c r="BM384" s="300">
        <v>1</v>
      </c>
      <c r="BN384" s="300">
        <v>12</v>
      </c>
      <c r="BO384" s="300">
        <v>0</v>
      </c>
      <c r="BP384" s="300">
        <v>41514</v>
      </c>
      <c r="BQ384" s="300">
        <v>77938</v>
      </c>
      <c r="BR384" s="300">
        <v>2960</v>
      </c>
      <c r="BS384" s="300">
        <v>18</v>
      </c>
      <c r="BT384" s="300">
        <v>25832</v>
      </c>
      <c r="BU384" s="300">
        <v>1816</v>
      </c>
      <c r="BV384" s="300">
        <v>0</v>
      </c>
      <c r="BW384" s="300">
        <v>0</v>
      </c>
      <c r="BX384" s="300">
        <v>4</v>
      </c>
      <c r="BY384" s="300">
        <v>0</v>
      </c>
      <c r="BZ384" s="300">
        <v>247</v>
      </c>
      <c r="CA384" s="300">
        <v>0</v>
      </c>
      <c r="CB384" s="300">
        <v>28872</v>
      </c>
      <c r="CC384" s="300">
        <v>14262</v>
      </c>
      <c r="CD384" s="300">
        <v>132121</v>
      </c>
      <c r="CE384" s="300">
        <v>293739</v>
      </c>
      <c r="CF384" s="300">
        <v>39891</v>
      </c>
      <c r="CG384" s="300">
        <v>66477</v>
      </c>
      <c r="CH384" s="300">
        <v>0</v>
      </c>
      <c r="CI384" s="300">
        <v>4</v>
      </c>
      <c r="CJ384" s="300">
        <v>0</v>
      </c>
      <c r="CK384" s="300">
        <v>91</v>
      </c>
      <c r="CL384" s="300">
        <v>60381</v>
      </c>
      <c r="CM384" s="300">
        <v>40681</v>
      </c>
      <c r="CN384" s="300">
        <v>152885</v>
      </c>
      <c r="CO384" s="300">
        <v>34800</v>
      </c>
      <c r="CP384" s="300">
        <v>522</v>
      </c>
      <c r="CQ384" s="300">
        <v>4296</v>
      </c>
      <c r="CR384" s="300">
        <v>1069</v>
      </c>
      <c r="CS384" s="300">
        <v>30</v>
      </c>
      <c r="CT384" s="300">
        <v>0</v>
      </c>
      <c r="CU384" s="300">
        <v>0</v>
      </c>
      <c r="CV384" s="300">
        <v>0</v>
      </c>
      <c r="CW384" s="300">
        <v>13</v>
      </c>
      <c r="CX384" s="300">
        <v>0</v>
      </c>
      <c r="CY384" s="300">
        <v>23</v>
      </c>
      <c r="DB384" s="6"/>
      <c r="DD384" s="6">
        <f t="shared" ref="DD384" si="1438">SUM(AY384:AZ384,BE384:CQ384)</f>
        <v>1033141</v>
      </c>
      <c r="DE384" s="6">
        <f t="shared" ref="DE384" si="1439">SUM(M384:N384,P384:AX384,BB384:BC384)+CR384+CS384</f>
        <v>286871</v>
      </c>
      <c r="DF384" s="8">
        <f t="shared" ref="DF384" si="1440">SUM(DD384:DE384)</f>
        <v>1320012</v>
      </c>
      <c r="DG384" s="8"/>
      <c r="DH384" s="300"/>
      <c r="DI384" s="300"/>
      <c r="DJ384" s="300"/>
      <c r="DK384" s="6">
        <f t="shared" ref="DK384" si="1441">SUM(M384:N384,P384:S384,U384:X384)</f>
        <v>74809</v>
      </c>
      <c r="DL384" s="6">
        <f t="shared" ref="DL384" si="1442">SUM(Y384:Z384,AB384:AF384,AH384:AM384,AO384,AS384:AW384,BA384:BC384)+CR384+CS384</f>
        <v>148865</v>
      </c>
      <c r="DM384" s="6">
        <f t="shared" ref="DM384" si="1443">T384</f>
        <v>14469</v>
      </c>
      <c r="DN384" s="6">
        <f t="shared" ref="DN384" si="1444">AG384+AX384+AN384+AP384+AQ384+AR384</f>
        <v>49548</v>
      </c>
      <c r="DO384" s="6">
        <f t="shared" ref="DO384" si="1445">SUM(AY384,BF384,BI384,BK384,BO384,BR384:BS384,BU384,BW384,BZ384:CB384,CD384:CF384,CJ384:CK384)</f>
        <v>499831</v>
      </c>
      <c r="DP384" s="6">
        <f t="shared" ref="DP384" si="1446">SUM(AZ384,BD384:BE384,BH384,BN384,BQ384,BT384)</f>
        <v>105055</v>
      </c>
      <c r="DQ384" s="6">
        <f t="shared" ref="DQ384" si="1447">BY384</f>
        <v>0</v>
      </c>
      <c r="DR384" s="6">
        <f t="shared" ref="DR384" si="1448">CC384+CI384+AA384</f>
        <v>14270</v>
      </c>
      <c r="DS384" s="6">
        <f t="shared" ref="DS384" si="1449">BP384+BV384</f>
        <v>41514</v>
      </c>
      <c r="DT384" s="6">
        <f t="shared" ref="DT384" si="1450">BG384+BJ384+BL384+BM384+BX384</f>
        <v>13704</v>
      </c>
      <c r="DU384" s="6">
        <f t="shared" ref="DU384" si="1451">SUM(CL384:CM384)</f>
        <v>101062</v>
      </c>
      <c r="DV384" s="6">
        <f t="shared" ref="DV384" si="1452">SUM(CN384:CQ384)</f>
        <v>192503</v>
      </c>
      <c r="DW384" s="6">
        <f t="shared" ref="DW384" si="1453">SUM(DK384:DV384)</f>
        <v>1255630</v>
      </c>
      <c r="DX384" s="6"/>
      <c r="DY384" s="6">
        <f t="shared" ref="DY384" si="1454">DO384+DT384+H384+I384+J384+K384+CG384</f>
        <v>650115</v>
      </c>
      <c r="DZ384" s="6">
        <f t="shared" ref="DZ384" si="1455">SUM(G384:L384,O384)</f>
        <v>73609</v>
      </c>
      <c r="EA384" s="300"/>
      <c r="EB384" s="6">
        <f t="shared" ref="EB384" si="1456">DZ384+DF384</f>
        <v>1393621</v>
      </c>
      <c r="EC384" s="6"/>
      <c r="ED384" s="6"/>
      <c r="EE384" s="300"/>
      <c r="EF384" s="6">
        <f t="shared" ref="EF384" si="1457">SUM(BE384:CQ384)-CG384-BP384</f>
        <v>925108</v>
      </c>
      <c r="EG384" s="6">
        <f t="shared" ref="EG384" si="1458">SUM(M384:BC384)-AQ384</f>
        <v>275328</v>
      </c>
      <c r="EH384" s="6">
        <f t="shared" ref="EH384" si="1459">SUM(EF384:EG384)</f>
        <v>1200436</v>
      </c>
      <c r="EI384" s="36">
        <f t="shared" ref="EI384" si="1460">(EF384-EF383)/EF383</f>
        <v>8.8979866928258818E-3</v>
      </c>
      <c r="EJ384" s="36">
        <f t="shared" ref="EJ384" si="1461">(EG384-EG383)/EG383</f>
        <v>-5.8441534870720788E-4</v>
      </c>
      <c r="EK384" s="6"/>
      <c r="EN384" s="104"/>
      <c r="EO384" s="104"/>
      <c r="FC384" s="6">
        <f t="shared" ref="FC384:FC394" si="1462">SUM(DK384,DM384)</f>
        <v>89278</v>
      </c>
      <c r="FD384" s="6">
        <f t="shared" ref="FD384:FD394" si="1463">SUM(DL384,DN384)</f>
        <v>198413</v>
      </c>
      <c r="FE384" s="32">
        <f t="shared" ref="FE384:FE394" si="1464">SUM(DO384)</f>
        <v>499831</v>
      </c>
      <c r="FF384" s="34">
        <f t="shared" ref="FF384:FF394" si="1465">SUM(DT384)</f>
        <v>13704</v>
      </c>
      <c r="FG384" s="31">
        <f t="shared" ref="FG384:FG394" si="1466">SUM(DP384,DS384,DQ384)</f>
        <v>146569</v>
      </c>
      <c r="FH384" s="6">
        <f t="shared" ref="FH384:FH394" si="1467">SUM(DR384)</f>
        <v>14270</v>
      </c>
      <c r="FI384" s="6">
        <f t="shared" ref="FI384:FI394" si="1468">SUM(FC384:FH384)-DW384</f>
        <v>-293565</v>
      </c>
      <c r="FJ384" s="6">
        <f>SUM(DU384:DV384)</f>
        <v>293565</v>
      </c>
    </row>
    <row r="385" spans="2:166" s="297" customFormat="1">
      <c r="B385" s="50">
        <v>43678</v>
      </c>
      <c r="C385" s="301">
        <v>0</v>
      </c>
      <c r="D385" s="301">
        <v>0</v>
      </c>
      <c r="E385" s="301">
        <v>0</v>
      </c>
      <c r="F385" s="301">
        <v>0</v>
      </c>
      <c r="G385" s="301">
        <v>1426</v>
      </c>
      <c r="H385" s="301">
        <v>18636</v>
      </c>
      <c r="I385" s="301">
        <v>48654</v>
      </c>
      <c r="J385" s="301">
        <v>915</v>
      </c>
      <c r="K385" s="301">
        <v>2279</v>
      </c>
      <c r="L385" s="301">
        <v>1320</v>
      </c>
      <c r="M385" s="301">
        <v>33447</v>
      </c>
      <c r="N385" s="301">
        <v>1366</v>
      </c>
      <c r="O385" s="301">
        <v>844</v>
      </c>
      <c r="P385" s="301">
        <v>1758</v>
      </c>
      <c r="Q385" s="301">
        <v>11057</v>
      </c>
      <c r="R385" s="301">
        <v>272</v>
      </c>
      <c r="S385" s="301">
        <v>7385</v>
      </c>
      <c r="T385" s="301">
        <v>14591</v>
      </c>
      <c r="U385" s="301">
        <v>55</v>
      </c>
      <c r="V385" s="301">
        <v>4578</v>
      </c>
      <c r="W385" s="301">
        <v>50</v>
      </c>
      <c r="X385" s="301">
        <v>14921</v>
      </c>
      <c r="Y385" s="301">
        <v>452</v>
      </c>
      <c r="Z385" s="301">
        <v>4</v>
      </c>
      <c r="AA385" s="301">
        <v>5</v>
      </c>
      <c r="AB385" s="301">
        <v>0</v>
      </c>
      <c r="AC385" s="301">
        <v>74</v>
      </c>
      <c r="AD385" s="301">
        <v>24</v>
      </c>
      <c r="AE385" s="301">
        <v>23</v>
      </c>
      <c r="AF385" s="301">
        <v>19</v>
      </c>
      <c r="AG385" s="301">
        <v>42</v>
      </c>
      <c r="AH385" s="301">
        <v>149</v>
      </c>
      <c r="AI385" s="301">
        <v>2494</v>
      </c>
      <c r="AJ385" s="301">
        <v>2</v>
      </c>
      <c r="AK385" s="301">
        <v>10758</v>
      </c>
      <c r="AL385" s="301">
        <v>112507</v>
      </c>
      <c r="AM385" s="301">
        <v>2027</v>
      </c>
      <c r="AN385" s="301">
        <v>22173</v>
      </c>
      <c r="AO385" s="301">
        <v>16</v>
      </c>
      <c r="AP385" s="301">
        <v>66</v>
      </c>
      <c r="AQ385" s="301">
        <v>12145</v>
      </c>
      <c r="AR385" s="301">
        <v>0</v>
      </c>
      <c r="AS385" s="301">
        <v>521</v>
      </c>
      <c r="AT385" s="301">
        <v>40</v>
      </c>
      <c r="AU385" s="301">
        <v>10845</v>
      </c>
      <c r="AV385" s="301">
        <v>2370</v>
      </c>
      <c r="AW385" s="301">
        <v>4112</v>
      </c>
      <c r="AX385" s="301">
        <v>15218</v>
      </c>
      <c r="AY385" s="301">
        <v>57</v>
      </c>
      <c r="AZ385" s="301">
        <v>6</v>
      </c>
      <c r="BA385" s="301">
        <v>804</v>
      </c>
      <c r="BB385" s="301">
        <v>0</v>
      </c>
      <c r="BC385" s="301">
        <v>178</v>
      </c>
      <c r="BD385" s="301">
        <v>1294</v>
      </c>
      <c r="BE385" s="301">
        <v>0</v>
      </c>
      <c r="BF385" s="301">
        <v>0</v>
      </c>
      <c r="BG385" s="301">
        <v>8392</v>
      </c>
      <c r="BH385" s="301">
        <v>0</v>
      </c>
      <c r="BI385" s="301">
        <v>0</v>
      </c>
      <c r="BJ385" s="301">
        <v>0</v>
      </c>
      <c r="BK385" s="301">
        <v>33</v>
      </c>
      <c r="BL385" s="301">
        <v>5313</v>
      </c>
      <c r="BM385" s="301">
        <v>0</v>
      </c>
      <c r="BN385" s="301">
        <v>12</v>
      </c>
      <c r="BO385" s="301">
        <v>0</v>
      </c>
      <c r="BP385" s="301">
        <v>41557</v>
      </c>
      <c r="BQ385" s="301">
        <v>77880</v>
      </c>
      <c r="BR385" s="301">
        <v>2628</v>
      </c>
      <c r="BS385" s="301">
        <v>20</v>
      </c>
      <c r="BT385" s="301">
        <v>25918</v>
      </c>
      <c r="BU385" s="301">
        <v>1629</v>
      </c>
      <c r="BV385" s="301">
        <v>0</v>
      </c>
      <c r="BW385" s="301">
        <v>0</v>
      </c>
      <c r="BX385" s="301">
        <v>3</v>
      </c>
      <c r="BY385" s="301">
        <v>0</v>
      </c>
      <c r="BZ385" s="301">
        <v>264</v>
      </c>
      <c r="CA385" s="301">
        <v>0</v>
      </c>
      <c r="CB385" s="301">
        <v>28955</v>
      </c>
      <c r="CC385" s="301">
        <v>14167</v>
      </c>
      <c r="CD385" s="301">
        <v>131998</v>
      </c>
      <c r="CE385" s="301">
        <v>294254</v>
      </c>
      <c r="CF385" s="301">
        <v>39942</v>
      </c>
      <c r="CG385" s="301">
        <v>66531</v>
      </c>
      <c r="CH385" s="301">
        <v>0</v>
      </c>
      <c r="CI385" s="301">
        <v>4</v>
      </c>
      <c r="CJ385" s="301">
        <v>0</v>
      </c>
      <c r="CK385" s="301">
        <v>89</v>
      </c>
      <c r="CL385" s="301">
        <v>61351</v>
      </c>
      <c r="CM385" s="301">
        <v>41496</v>
      </c>
      <c r="CN385" s="301">
        <v>159102</v>
      </c>
      <c r="CO385" s="301">
        <v>35953</v>
      </c>
      <c r="CP385" s="301">
        <v>698</v>
      </c>
      <c r="CQ385" s="301">
        <v>4558</v>
      </c>
      <c r="CR385" s="301">
        <v>1092</v>
      </c>
      <c r="CS385" s="301">
        <v>27</v>
      </c>
      <c r="CT385" s="301">
        <v>0</v>
      </c>
      <c r="CU385" s="301">
        <v>0</v>
      </c>
      <c r="CV385" s="301">
        <v>0</v>
      </c>
      <c r="CW385" s="301">
        <v>13</v>
      </c>
      <c r="CX385" s="301">
        <v>0</v>
      </c>
      <c r="CY385" s="301">
        <v>23</v>
      </c>
      <c r="DB385" s="6"/>
      <c r="DD385" s="6">
        <f t="shared" ref="DD385" si="1469">SUM(AY385:AZ385,BE385:CQ385)</f>
        <v>1042810</v>
      </c>
      <c r="DE385" s="6">
        <f t="shared" ref="DE385" si="1470">SUM(M385:N385,P385:AX385,BB385:BC385)+CR385+CS385</f>
        <v>286863</v>
      </c>
      <c r="DF385" s="8">
        <f t="shared" ref="DF385" si="1471">SUM(DD385:DE385)</f>
        <v>1329673</v>
      </c>
      <c r="DG385" s="8"/>
      <c r="DH385" s="301"/>
      <c r="DI385" s="301"/>
      <c r="DJ385" s="301"/>
      <c r="DK385" s="6">
        <f t="shared" ref="DK385" si="1472">SUM(M385:N385,P385:S385,U385:X385)</f>
        <v>74889</v>
      </c>
      <c r="DL385" s="6">
        <f t="shared" ref="DL385" si="1473">SUM(Y385:Z385,AB385:AF385,AH385:AM385,AO385,AS385:AW385,BA385:BC385)+CR385+CS385</f>
        <v>148538</v>
      </c>
      <c r="DM385" s="6">
        <f t="shared" ref="DM385" si="1474">T385</f>
        <v>14591</v>
      </c>
      <c r="DN385" s="6">
        <f t="shared" ref="DN385" si="1475">AG385+AX385+AN385+AP385+AQ385+AR385</f>
        <v>49644</v>
      </c>
      <c r="DO385" s="6">
        <f t="shared" ref="DO385" si="1476">SUM(AY385,BF385,BI385,BK385,BO385,BR385:BS385,BU385,BW385,BZ385:CB385,CD385:CF385,CJ385:CK385)</f>
        <v>499869</v>
      </c>
      <c r="DP385" s="6">
        <f t="shared" ref="DP385" si="1477">SUM(AZ385,BD385:BE385,BH385,BN385,BQ385,BT385)</f>
        <v>105110</v>
      </c>
      <c r="DQ385" s="6">
        <f t="shared" ref="DQ385" si="1478">BY385</f>
        <v>0</v>
      </c>
      <c r="DR385" s="6">
        <f t="shared" ref="DR385" si="1479">CC385+CI385+AA385</f>
        <v>14176</v>
      </c>
      <c r="DS385" s="6">
        <f t="shared" ref="DS385" si="1480">BP385+BV385</f>
        <v>41557</v>
      </c>
      <c r="DT385" s="6">
        <f t="shared" ref="DT385" si="1481">BG385+BJ385+BL385+BM385+BX385</f>
        <v>13708</v>
      </c>
      <c r="DU385" s="6">
        <f t="shared" ref="DU385" si="1482">SUM(CL385:CM385)</f>
        <v>102847</v>
      </c>
      <c r="DV385" s="6">
        <f t="shared" ref="DV385" si="1483">SUM(CN385:CQ385)</f>
        <v>200311</v>
      </c>
      <c r="DW385" s="6">
        <f t="shared" ref="DW385" si="1484">SUM(DK385:DV385)</f>
        <v>1265240</v>
      </c>
      <c r="DX385" s="6"/>
      <c r="DY385" s="6">
        <f t="shared" ref="DY385" si="1485">DO385+DT385+H385+I385+J385+K385+CG385</f>
        <v>650592</v>
      </c>
      <c r="DZ385" s="6">
        <f t="shared" ref="DZ385" si="1486">SUM(G385:L385,O385)</f>
        <v>74074</v>
      </c>
      <c r="EA385" s="301"/>
      <c r="EB385" s="6">
        <f t="shared" ref="EB385" si="1487">DZ385+DF385</f>
        <v>1403747</v>
      </c>
      <c r="EC385" s="6"/>
      <c r="ED385" s="6"/>
      <c r="EE385" s="301"/>
      <c r="EF385" s="6">
        <f t="shared" ref="EF385" si="1488">SUM(BE385:CQ385)-CG385-BP385</f>
        <v>934659</v>
      </c>
      <c r="EG385" s="6">
        <f t="shared" ref="EG385" si="1489">SUM(M385:BC385)-AQ385</f>
        <v>275310</v>
      </c>
      <c r="EH385" s="6">
        <f t="shared" ref="EH385" si="1490">SUM(EF385:EG385)</f>
        <v>1209969</v>
      </c>
      <c r="EI385" s="36">
        <f t="shared" ref="EI385" si="1491">(EF385-EF384)/EF384</f>
        <v>1.0324199985299013E-2</v>
      </c>
      <c r="EJ385" s="36">
        <f t="shared" ref="EJ385" si="1492">(EG385-EG384)/EG384</f>
        <v>-6.5376569037656898E-5</v>
      </c>
      <c r="EK385" s="6"/>
      <c r="EN385" s="104"/>
      <c r="EO385" s="104"/>
      <c r="FC385" s="6">
        <f t="shared" si="1462"/>
        <v>89480</v>
      </c>
      <c r="FD385" s="6">
        <f t="shared" si="1463"/>
        <v>198182</v>
      </c>
      <c r="FE385" s="32">
        <f t="shared" si="1464"/>
        <v>499869</v>
      </c>
      <c r="FF385" s="34">
        <f t="shared" si="1465"/>
        <v>13708</v>
      </c>
      <c r="FG385" s="31">
        <f t="shared" si="1466"/>
        <v>146667</v>
      </c>
      <c r="FH385" s="6">
        <f t="shared" si="1467"/>
        <v>14176</v>
      </c>
      <c r="FI385" s="6">
        <f t="shared" si="1468"/>
        <v>-303158</v>
      </c>
      <c r="FJ385" s="6">
        <f t="shared" ref="FJ385:FJ401" si="1493">SUM(DU385:DV385)</f>
        <v>303158</v>
      </c>
    </row>
    <row r="386" spans="2:166" s="302" customFormat="1">
      <c r="B386" s="50">
        <v>43709</v>
      </c>
      <c r="C386" s="302">
        <v>0</v>
      </c>
      <c r="D386" s="302">
        <v>0</v>
      </c>
      <c r="E386" s="302">
        <v>0</v>
      </c>
      <c r="F386" s="302">
        <v>0</v>
      </c>
      <c r="G386" s="302">
        <v>1456</v>
      </c>
      <c r="H386" s="302">
        <v>19031</v>
      </c>
      <c r="I386" s="302">
        <v>49235</v>
      </c>
      <c r="J386" s="302">
        <v>904</v>
      </c>
      <c r="K386" s="302">
        <v>2343</v>
      </c>
      <c r="L386" s="302">
        <v>1350</v>
      </c>
      <c r="M386" s="302">
        <v>33497</v>
      </c>
      <c r="N386" s="302">
        <v>1370</v>
      </c>
      <c r="O386" s="302">
        <v>874</v>
      </c>
      <c r="P386" s="302">
        <v>1753</v>
      </c>
      <c r="Q386" s="302">
        <v>11114</v>
      </c>
      <c r="R386" s="302">
        <v>272</v>
      </c>
      <c r="S386" s="302">
        <v>7209</v>
      </c>
      <c r="T386" s="302">
        <v>14649</v>
      </c>
      <c r="U386" s="302">
        <v>53</v>
      </c>
      <c r="V386" s="302">
        <v>4617</v>
      </c>
      <c r="W386" s="302">
        <v>54</v>
      </c>
      <c r="X386" s="302">
        <v>15363</v>
      </c>
      <c r="Y386" s="302">
        <v>457</v>
      </c>
      <c r="Z386" s="302">
        <v>4</v>
      </c>
      <c r="AA386" s="302">
        <v>3</v>
      </c>
      <c r="AB386" s="302">
        <v>0</v>
      </c>
      <c r="AC386" s="302">
        <v>72</v>
      </c>
      <c r="AD386" s="302">
        <v>24</v>
      </c>
      <c r="AE386" s="302">
        <v>24</v>
      </c>
      <c r="AF386" s="302">
        <v>19</v>
      </c>
      <c r="AG386" s="302">
        <v>42</v>
      </c>
      <c r="AH386" s="302">
        <v>160</v>
      </c>
      <c r="AI386" s="302">
        <v>2524</v>
      </c>
      <c r="AJ386" s="302">
        <v>2</v>
      </c>
      <c r="AK386" s="302">
        <v>10638</v>
      </c>
      <c r="AL386" s="302">
        <v>112543</v>
      </c>
      <c r="AM386" s="302">
        <v>2037</v>
      </c>
      <c r="AN386" s="302">
        <v>22320</v>
      </c>
      <c r="AO386" s="302">
        <v>14</v>
      </c>
      <c r="AP386" s="302">
        <v>61</v>
      </c>
      <c r="AQ386" s="302">
        <v>12191</v>
      </c>
      <c r="AR386" s="302">
        <v>0</v>
      </c>
      <c r="AS386" s="302">
        <v>520</v>
      </c>
      <c r="AT386" s="302">
        <v>39</v>
      </c>
      <c r="AU386" s="302">
        <v>10743</v>
      </c>
      <c r="AV386" s="302">
        <v>2366</v>
      </c>
      <c r="AW386" s="302">
        <v>4058</v>
      </c>
      <c r="AX386" s="302">
        <v>15196</v>
      </c>
      <c r="AY386" s="302">
        <v>58</v>
      </c>
      <c r="AZ386" s="302">
        <v>2</v>
      </c>
      <c r="BA386" s="302">
        <v>795</v>
      </c>
      <c r="BB386" s="302">
        <v>0</v>
      </c>
      <c r="BC386" s="302">
        <v>183</v>
      </c>
      <c r="BD386" s="302">
        <v>1398</v>
      </c>
      <c r="BE386" s="302">
        <v>0</v>
      </c>
      <c r="BF386" s="302">
        <v>0</v>
      </c>
      <c r="BG386" s="302">
        <v>8420</v>
      </c>
      <c r="BH386" s="302">
        <v>0</v>
      </c>
      <c r="BI386" s="302">
        <v>0</v>
      </c>
      <c r="BJ386" s="302">
        <v>0</v>
      </c>
      <c r="BK386" s="302">
        <v>27</v>
      </c>
      <c r="BL386" s="302">
        <v>5280</v>
      </c>
      <c r="BM386" s="302">
        <v>0</v>
      </c>
      <c r="BN386" s="302">
        <v>14</v>
      </c>
      <c r="BO386" s="302">
        <v>0</v>
      </c>
      <c r="BP386" s="302">
        <v>41635</v>
      </c>
      <c r="BQ386" s="302">
        <v>78101</v>
      </c>
      <c r="BR386" s="302">
        <v>2352</v>
      </c>
      <c r="BS386" s="302">
        <v>19</v>
      </c>
      <c r="BT386" s="302">
        <v>25981</v>
      </c>
      <c r="BU386" s="302">
        <v>1457</v>
      </c>
      <c r="BV386" s="302">
        <v>0</v>
      </c>
      <c r="BW386" s="302">
        <v>0</v>
      </c>
      <c r="BX386" s="302">
        <v>1</v>
      </c>
      <c r="BY386" s="302">
        <v>0</v>
      </c>
      <c r="BZ386" s="302">
        <v>277</v>
      </c>
      <c r="CA386" s="302">
        <v>0</v>
      </c>
      <c r="CB386" s="302">
        <v>29010</v>
      </c>
      <c r="CC386" s="302">
        <v>14576</v>
      </c>
      <c r="CD386" s="302">
        <v>132045</v>
      </c>
      <c r="CE386" s="302">
        <v>294621</v>
      </c>
      <c r="CF386" s="302">
        <v>39841</v>
      </c>
      <c r="CG386" s="302">
        <v>66658</v>
      </c>
      <c r="CH386" s="302">
        <v>0</v>
      </c>
      <c r="CI386" s="302">
        <v>9</v>
      </c>
      <c r="CJ386" s="302">
        <v>0</v>
      </c>
      <c r="CK386" s="302">
        <v>89</v>
      </c>
      <c r="CL386" s="302">
        <v>61997</v>
      </c>
      <c r="CM386" s="302">
        <v>42337</v>
      </c>
      <c r="CN386" s="302">
        <v>165236</v>
      </c>
      <c r="CO386" s="302">
        <v>37068</v>
      </c>
      <c r="CP386" s="302">
        <v>556</v>
      </c>
      <c r="CQ386" s="302">
        <v>5432</v>
      </c>
      <c r="CR386" s="302">
        <v>1015</v>
      </c>
      <c r="CS386" s="302">
        <v>33</v>
      </c>
      <c r="CT386" s="302">
        <v>0</v>
      </c>
      <c r="CU386" s="302">
        <v>0</v>
      </c>
      <c r="CV386" s="302">
        <v>0</v>
      </c>
      <c r="CW386" s="302">
        <v>13</v>
      </c>
      <c r="CX386" s="302">
        <v>0</v>
      </c>
      <c r="CY386" s="302">
        <v>23</v>
      </c>
      <c r="DB386" s="6"/>
      <c r="DD386" s="6">
        <f t="shared" ref="DD386" si="1494">SUM(AY386:AZ386,BE386:CQ386)</f>
        <v>1053099</v>
      </c>
      <c r="DE386" s="6">
        <f t="shared" ref="DE386" si="1495">SUM(M386:N386,P386:AX386,BB386:BC386)+CR386+CS386</f>
        <v>287239</v>
      </c>
      <c r="DF386" s="8">
        <f t="shared" ref="DF386" si="1496">SUM(DD386:DE386)</f>
        <v>1340338</v>
      </c>
      <c r="DG386" s="8"/>
      <c r="DK386" s="6">
        <f t="shared" ref="DK386" si="1497">SUM(M386:N386,P386:S386,U386:X386)</f>
        <v>75302</v>
      </c>
      <c r="DL386" s="6">
        <f t="shared" ref="DL386" si="1498">SUM(Y386:Z386,AB386:AF386,AH386:AM386,AO386,AS386:AW386,BA386:BC386)+CR386+CS386</f>
        <v>148270</v>
      </c>
      <c r="DM386" s="6">
        <f t="shared" ref="DM386" si="1499">T386</f>
        <v>14649</v>
      </c>
      <c r="DN386" s="6">
        <f t="shared" ref="DN386" si="1500">AG386+AX386+AN386+AP386+AQ386+AR386</f>
        <v>49810</v>
      </c>
      <c r="DO386" s="6">
        <f t="shared" ref="DO386" si="1501">SUM(AY386,BF386,BI386,BK386,BO386,BR386:BS386,BU386,BW386,BZ386:CB386,CD386:CF386,CJ386:CK386)</f>
        <v>499796</v>
      </c>
      <c r="DP386" s="6">
        <f t="shared" ref="DP386" si="1502">SUM(AZ386,BD386:BE386,BH386,BN386,BQ386,BT386)</f>
        <v>105496</v>
      </c>
      <c r="DQ386" s="6">
        <f t="shared" ref="DQ386" si="1503">BY386</f>
        <v>0</v>
      </c>
      <c r="DR386" s="6">
        <f t="shared" ref="DR386" si="1504">CC386+CI386+AA386</f>
        <v>14588</v>
      </c>
      <c r="DS386" s="6">
        <f t="shared" ref="DS386" si="1505">BP386+BV386</f>
        <v>41635</v>
      </c>
      <c r="DT386" s="6">
        <f t="shared" ref="DT386" si="1506">BG386+BJ386+BL386+BM386+BX386</f>
        <v>13701</v>
      </c>
      <c r="DU386" s="6">
        <f t="shared" ref="DU386" si="1507">SUM(CL386:CM386)</f>
        <v>104334</v>
      </c>
      <c r="DV386" s="6">
        <f t="shared" ref="DV386" si="1508">SUM(CN386:CQ386)</f>
        <v>208292</v>
      </c>
      <c r="DW386" s="6">
        <f t="shared" ref="DW386" si="1509">SUM(DK386:DV386)</f>
        <v>1275873</v>
      </c>
      <c r="DX386" s="6"/>
      <c r="DY386" s="6">
        <f t="shared" ref="DY386" si="1510">DO386+DT386+H386+I386+J386+K386+CG386</f>
        <v>651668</v>
      </c>
      <c r="DZ386" s="6">
        <f t="shared" ref="DZ386" si="1511">SUM(G386:L386,O386)</f>
        <v>75193</v>
      </c>
      <c r="EB386" s="6">
        <f t="shared" ref="EB386" si="1512">DZ386+DF386</f>
        <v>1415531</v>
      </c>
      <c r="EC386" s="6"/>
      <c r="ED386" s="6"/>
      <c r="EF386" s="6">
        <f t="shared" ref="EF386" si="1513">SUM(BE386:CQ386)-CG386-BP386</f>
        <v>944746</v>
      </c>
      <c r="EG386" s="6">
        <f t="shared" ref="EG386" si="1514">SUM(M386:BC386)-AQ386</f>
        <v>275729</v>
      </c>
      <c r="EH386" s="6">
        <f t="shared" ref="EH386" si="1515">SUM(EF386:EG386)</f>
        <v>1220475</v>
      </c>
      <c r="EI386" s="36">
        <f t="shared" ref="EI386" si="1516">(EF386-EF385)/EF385</f>
        <v>1.0792171262460426E-2</v>
      </c>
      <c r="EJ386" s="36">
        <f t="shared" ref="EJ386" si="1517">(EG386-EG385)/EG385</f>
        <v>1.5219207438887073E-3</v>
      </c>
      <c r="EK386" s="6"/>
      <c r="EN386" s="104"/>
      <c r="EO386" s="104"/>
      <c r="FC386" s="6">
        <f t="shared" si="1462"/>
        <v>89951</v>
      </c>
      <c r="FD386" s="6">
        <f t="shared" si="1463"/>
        <v>198080</v>
      </c>
      <c r="FE386" s="32">
        <f t="shared" si="1464"/>
        <v>499796</v>
      </c>
      <c r="FF386" s="34">
        <f t="shared" si="1465"/>
        <v>13701</v>
      </c>
      <c r="FG386" s="31">
        <f t="shared" si="1466"/>
        <v>147131</v>
      </c>
      <c r="FH386" s="6">
        <f t="shared" si="1467"/>
        <v>14588</v>
      </c>
      <c r="FI386" s="6">
        <f t="shared" si="1468"/>
        <v>-312626</v>
      </c>
      <c r="FJ386" s="6">
        <f t="shared" si="1493"/>
        <v>312626</v>
      </c>
    </row>
    <row r="387" spans="2:166" s="301" customFormat="1">
      <c r="B387" s="50">
        <v>43739</v>
      </c>
      <c r="C387" s="303">
        <v>0</v>
      </c>
      <c r="D387" s="303">
        <v>0</v>
      </c>
      <c r="E387" s="303">
        <v>0</v>
      </c>
      <c r="F387" s="303">
        <v>0</v>
      </c>
      <c r="G387" s="303">
        <v>1467</v>
      </c>
      <c r="H387" s="303">
        <v>19121</v>
      </c>
      <c r="I387" s="303">
        <v>49741</v>
      </c>
      <c r="J387" s="303">
        <v>911</v>
      </c>
      <c r="K387" s="303">
        <v>2382</v>
      </c>
      <c r="L387" s="303">
        <v>1350</v>
      </c>
      <c r="M387" s="303">
        <v>33578</v>
      </c>
      <c r="N387" s="303">
        <v>1378</v>
      </c>
      <c r="O387" s="303">
        <v>888</v>
      </c>
      <c r="P387" s="303">
        <v>1752</v>
      </c>
      <c r="Q387" s="303">
        <v>11100</v>
      </c>
      <c r="R387" s="303">
        <v>276</v>
      </c>
      <c r="S387" s="303">
        <v>7021</v>
      </c>
      <c r="T387" s="303">
        <v>14679</v>
      </c>
      <c r="U387" s="303">
        <v>56</v>
      </c>
      <c r="V387" s="303">
        <v>4674</v>
      </c>
      <c r="W387" s="303">
        <v>54</v>
      </c>
      <c r="X387" s="303">
        <v>15705</v>
      </c>
      <c r="Y387" s="303">
        <v>457</v>
      </c>
      <c r="Z387" s="303">
        <v>3</v>
      </c>
      <c r="AA387" s="303">
        <v>2</v>
      </c>
      <c r="AB387" s="303">
        <v>0</v>
      </c>
      <c r="AC387" s="303">
        <v>74</v>
      </c>
      <c r="AD387" s="303">
        <v>24</v>
      </c>
      <c r="AE387" s="303">
        <v>24</v>
      </c>
      <c r="AF387" s="303">
        <v>18</v>
      </c>
      <c r="AG387" s="303">
        <v>43</v>
      </c>
      <c r="AH387" s="303">
        <v>167</v>
      </c>
      <c r="AI387" s="303">
        <v>2541</v>
      </c>
      <c r="AJ387" s="303">
        <v>2</v>
      </c>
      <c r="AK387" s="303">
        <v>10571</v>
      </c>
      <c r="AL387" s="303">
        <v>112552</v>
      </c>
      <c r="AM387" s="303">
        <v>2023</v>
      </c>
      <c r="AN387" s="303">
        <v>22313</v>
      </c>
      <c r="AO387" s="303">
        <v>12</v>
      </c>
      <c r="AP387" s="303">
        <v>50</v>
      </c>
      <c r="AQ387" s="303">
        <v>12270</v>
      </c>
      <c r="AR387" s="303">
        <v>0</v>
      </c>
      <c r="AS387" s="303">
        <v>502</v>
      </c>
      <c r="AT387" s="303">
        <v>40</v>
      </c>
      <c r="AU387" s="303">
        <v>10675</v>
      </c>
      <c r="AV387" s="303">
        <v>2372</v>
      </c>
      <c r="AW387" s="303">
        <v>4024</v>
      </c>
      <c r="AX387" s="303">
        <v>15138</v>
      </c>
      <c r="AY387" s="303">
        <v>63</v>
      </c>
      <c r="AZ387" s="303">
        <v>1</v>
      </c>
      <c r="BA387" s="303">
        <v>777</v>
      </c>
      <c r="BB387" s="303">
        <v>0</v>
      </c>
      <c r="BC387" s="303">
        <v>188</v>
      </c>
      <c r="BD387" s="303">
        <v>1422</v>
      </c>
      <c r="BE387" s="303">
        <v>0</v>
      </c>
      <c r="BF387" s="303">
        <v>0</v>
      </c>
      <c r="BG387" s="303">
        <v>8432</v>
      </c>
      <c r="BH387" s="303">
        <v>0</v>
      </c>
      <c r="BI387" s="303">
        <v>0</v>
      </c>
      <c r="BJ387" s="303">
        <v>0</v>
      </c>
      <c r="BK387" s="303">
        <v>23</v>
      </c>
      <c r="BL387" s="303">
        <v>5282</v>
      </c>
      <c r="BM387" s="303">
        <v>0</v>
      </c>
      <c r="BN387" s="303">
        <v>11</v>
      </c>
      <c r="BO387" s="303">
        <v>0</v>
      </c>
      <c r="BP387" s="303">
        <v>42114</v>
      </c>
      <c r="BQ387" s="303">
        <v>78906</v>
      </c>
      <c r="BR387" s="303">
        <v>2039</v>
      </c>
      <c r="BS387" s="303">
        <v>24</v>
      </c>
      <c r="BT387" s="303">
        <v>26202</v>
      </c>
      <c r="BU387" s="303">
        <v>1349</v>
      </c>
      <c r="BV387" s="303">
        <v>0</v>
      </c>
      <c r="BW387" s="303">
        <v>0</v>
      </c>
      <c r="BX387" s="303">
        <v>1</v>
      </c>
      <c r="BY387" s="303">
        <v>0</v>
      </c>
      <c r="BZ387" s="303">
        <v>259</v>
      </c>
      <c r="CA387" s="303">
        <v>0</v>
      </c>
      <c r="CB387" s="303">
        <v>29015</v>
      </c>
      <c r="CC387" s="303">
        <v>13924</v>
      </c>
      <c r="CD387" s="303">
        <v>132047</v>
      </c>
      <c r="CE387" s="303">
        <v>295629</v>
      </c>
      <c r="CF387" s="303">
        <v>40023</v>
      </c>
      <c r="CG387" s="303">
        <v>67165</v>
      </c>
      <c r="CH387" s="303">
        <v>0</v>
      </c>
      <c r="CI387" s="303">
        <v>7</v>
      </c>
      <c r="CJ387" s="303">
        <v>0</v>
      </c>
      <c r="CK387" s="303">
        <v>88</v>
      </c>
      <c r="CL387" s="303">
        <v>63246</v>
      </c>
      <c r="CM387" s="303">
        <v>43230</v>
      </c>
      <c r="CN387" s="303">
        <v>171170</v>
      </c>
      <c r="CO387" s="303">
        <v>37856</v>
      </c>
      <c r="CP387" s="303">
        <v>488</v>
      </c>
      <c r="CQ387" s="303">
        <v>7030</v>
      </c>
      <c r="CR387" s="303">
        <v>1104</v>
      </c>
      <c r="CS387" s="303">
        <v>33</v>
      </c>
      <c r="CT387" s="303">
        <v>0</v>
      </c>
      <c r="CU387" s="303">
        <v>0</v>
      </c>
      <c r="CV387" s="303">
        <v>0</v>
      </c>
      <c r="CW387" s="303">
        <v>13</v>
      </c>
      <c r="CX387" s="303">
        <v>0</v>
      </c>
      <c r="CY387" s="303">
        <v>23</v>
      </c>
      <c r="DB387" s="6"/>
      <c r="DD387" s="6">
        <f t="shared" ref="DD387:DD392" si="1518">SUM(AY387:AZ387,BE387:CQ387)</f>
        <v>1065624</v>
      </c>
      <c r="DE387" s="6">
        <f t="shared" ref="DE387" si="1519">SUM(M387:N387,P387:AX387,BB387:BC387)+CR387+CS387</f>
        <v>287495</v>
      </c>
      <c r="DF387" s="8">
        <f t="shared" ref="DF387" si="1520">SUM(DD387:DE387)</f>
        <v>1353119</v>
      </c>
      <c r="DG387" s="8"/>
      <c r="DH387" s="6"/>
      <c r="DI387" s="303"/>
      <c r="DJ387" s="303"/>
      <c r="DK387" s="6">
        <f t="shared" ref="DK387" si="1521">SUM(M387:N387,P387:S387,U387:X387)</f>
        <v>75594</v>
      </c>
      <c r="DL387" s="6">
        <f t="shared" ref="DL387" si="1522">SUM(Y387:Z387,AB387:AF387,AH387:AM387,AO387,AS387:AW387,BA387:BC387)+CR387+CS387</f>
        <v>148183</v>
      </c>
      <c r="DM387" s="6">
        <f t="shared" ref="DM387" si="1523">T387</f>
        <v>14679</v>
      </c>
      <c r="DN387" s="6">
        <f t="shared" ref="DN387" si="1524">AG387+AX387+AN387+AP387+AQ387+AR387</f>
        <v>49814</v>
      </c>
      <c r="DO387" s="6">
        <f t="shared" ref="DO387" si="1525">SUM(AY387,BF387,BI387,BK387,BO387,BR387:BS387,BU387,BW387,BZ387:CB387,CD387:CF387,CJ387:CK387)</f>
        <v>500559</v>
      </c>
      <c r="DP387" s="6">
        <f t="shared" ref="DP387" si="1526">SUM(AZ387,BD387:BE387,BH387,BN387,BQ387,BT387)</f>
        <v>106542</v>
      </c>
      <c r="DQ387" s="6">
        <f t="shared" ref="DQ387" si="1527">BY387</f>
        <v>0</v>
      </c>
      <c r="DR387" s="6">
        <f t="shared" ref="DR387" si="1528">CC387+CI387+AA387</f>
        <v>13933</v>
      </c>
      <c r="DS387" s="6">
        <f t="shared" ref="DS387" si="1529">BP387+BV387</f>
        <v>42114</v>
      </c>
      <c r="DT387" s="6">
        <f t="shared" ref="DT387" si="1530">BG387+BJ387+BL387+BM387+BX387</f>
        <v>13715</v>
      </c>
      <c r="DU387" s="6">
        <f t="shared" ref="DU387" si="1531">SUM(CL387:CM387)</f>
        <v>106476</v>
      </c>
      <c r="DV387" s="6">
        <f t="shared" ref="DV387" si="1532">SUM(CN387:CQ387)</f>
        <v>216544</v>
      </c>
      <c r="DW387" s="6">
        <f t="shared" ref="DW387" si="1533">SUM(DK387:DV387)</f>
        <v>1288153</v>
      </c>
      <c r="DX387" s="6"/>
      <c r="DY387" s="6">
        <f t="shared" ref="DY387" si="1534">DO387+DT387+H387+I387+J387+K387+CG387</f>
        <v>653594</v>
      </c>
      <c r="DZ387" s="6">
        <f t="shared" ref="DZ387" si="1535">SUM(G387:L387,O387)</f>
        <v>75860</v>
      </c>
      <c r="EA387" s="303"/>
      <c r="EB387" s="6">
        <f t="shared" ref="EB387" si="1536">DZ387+DF387</f>
        <v>1428979</v>
      </c>
      <c r="EC387" s="6"/>
      <c r="ED387" s="6"/>
      <c r="EE387" s="303"/>
      <c r="EF387" s="6">
        <f t="shared" ref="EF387" si="1537">SUM(BE387:CQ387)-CG387-BP387</f>
        <v>956281</v>
      </c>
      <c r="EG387" s="6">
        <f t="shared" ref="EG387" si="1538">SUM(M387:BC387)-AQ387</f>
        <v>275817</v>
      </c>
      <c r="EH387" s="6">
        <f t="shared" ref="EH387" si="1539">SUM(EF387:EG387)</f>
        <v>1232098</v>
      </c>
      <c r="EI387" s="36">
        <f t="shared" ref="EI387" si="1540">(EF387-EF386)/EF386</f>
        <v>1.2209630948424232E-2</v>
      </c>
      <c r="EJ387" s="36">
        <f t="shared" ref="EJ387" si="1541">(EG387-EG386)/EG386</f>
        <v>3.1915395188754174E-4</v>
      </c>
      <c r="EK387" s="6"/>
      <c r="EL387" s="303"/>
      <c r="EM387" s="303"/>
      <c r="EN387" s="104"/>
      <c r="EO387" s="104"/>
      <c r="FC387" s="6">
        <f t="shared" si="1462"/>
        <v>90273</v>
      </c>
      <c r="FD387" s="6">
        <f t="shared" si="1463"/>
        <v>197997</v>
      </c>
      <c r="FE387" s="32">
        <f t="shared" si="1464"/>
        <v>500559</v>
      </c>
      <c r="FF387" s="34">
        <f t="shared" si="1465"/>
        <v>13715</v>
      </c>
      <c r="FG387" s="31">
        <f t="shared" si="1466"/>
        <v>148656</v>
      </c>
      <c r="FH387" s="6">
        <f t="shared" si="1467"/>
        <v>13933</v>
      </c>
      <c r="FI387" s="6">
        <f t="shared" si="1468"/>
        <v>-323020</v>
      </c>
      <c r="FJ387" s="6">
        <f t="shared" si="1493"/>
        <v>323020</v>
      </c>
    </row>
    <row r="388" spans="2:166" s="304" customFormat="1">
      <c r="B388" s="50">
        <v>43770</v>
      </c>
      <c r="C388" s="304">
        <v>0</v>
      </c>
      <c r="D388" s="304">
        <v>0</v>
      </c>
      <c r="E388" s="304">
        <v>0</v>
      </c>
      <c r="F388" s="304">
        <v>0</v>
      </c>
      <c r="G388" s="304">
        <v>1466</v>
      </c>
      <c r="H388" s="304">
        <v>19238</v>
      </c>
      <c r="I388" s="304">
        <v>49767</v>
      </c>
      <c r="J388" s="304">
        <v>930</v>
      </c>
      <c r="K388" s="304">
        <v>2362</v>
      </c>
      <c r="L388" s="304">
        <v>1375</v>
      </c>
      <c r="M388" s="304">
        <v>33555</v>
      </c>
      <c r="N388" s="304">
        <v>1380</v>
      </c>
      <c r="O388" s="304">
        <v>899</v>
      </c>
      <c r="P388" s="304">
        <v>1752</v>
      </c>
      <c r="Q388" s="304">
        <v>11086</v>
      </c>
      <c r="R388" s="304">
        <v>276</v>
      </c>
      <c r="S388" s="304">
        <v>6848</v>
      </c>
      <c r="T388" s="304">
        <v>14805</v>
      </c>
      <c r="U388" s="304">
        <v>47</v>
      </c>
      <c r="V388" s="304">
        <v>4652</v>
      </c>
      <c r="W388" s="304">
        <v>53</v>
      </c>
      <c r="X388" s="304">
        <v>16063</v>
      </c>
      <c r="Y388" s="304">
        <v>456</v>
      </c>
      <c r="Z388" s="304">
        <v>3</v>
      </c>
      <c r="AA388" s="304">
        <v>3</v>
      </c>
      <c r="AB388" s="304">
        <v>0</v>
      </c>
      <c r="AC388" s="304">
        <v>73</v>
      </c>
      <c r="AD388" s="304">
        <v>24</v>
      </c>
      <c r="AE388" s="304">
        <v>23</v>
      </c>
      <c r="AF388" s="304">
        <v>17</v>
      </c>
      <c r="AG388" s="304">
        <v>38</v>
      </c>
      <c r="AH388" s="304">
        <v>169</v>
      </c>
      <c r="AI388" s="304">
        <v>2547</v>
      </c>
      <c r="AJ388" s="304">
        <v>2</v>
      </c>
      <c r="AK388" s="304">
        <v>10512</v>
      </c>
      <c r="AL388" s="304">
        <v>112527</v>
      </c>
      <c r="AM388" s="304">
        <v>2014</v>
      </c>
      <c r="AN388" s="304">
        <v>22439</v>
      </c>
      <c r="AO388" s="304">
        <v>10</v>
      </c>
      <c r="AP388" s="304">
        <v>38</v>
      </c>
      <c r="AQ388" s="304">
        <v>12303</v>
      </c>
      <c r="AR388" s="304">
        <v>0</v>
      </c>
      <c r="AS388" s="304">
        <v>470</v>
      </c>
      <c r="AT388" s="304">
        <v>40</v>
      </c>
      <c r="AU388" s="304">
        <v>10622</v>
      </c>
      <c r="AV388" s="304">
        <v>2382</v>
      </c>
      <c r="AW388" s="304">
        <v>3984</v>
      </c>
      <c r="AX388" s="304">
        <v>15180</v>
      </c>
      <c r="AY388" s="304">
        <v>75</v>
      </c>
      <c r="AZ388" s="304">
        <v>3</v>
      </c>
      <c r="BA388" s="304">
        <v>769</v>
      </c>
      <c r="BB388" s="304">
        <v>0</v>
      </c>
      <c r="BC388" s="304">
        <v>184</v>
      </c>
      <c r="BD388" s="304">
        <v>1470</v>
      </c>
      <c r="BE388" s="304">
        <v>0</v>
      </c>
      <c r="BF388" s="304">
        <v>0</v>
      </c>
      <c r="BG388" s="304">
        <v>8453</v>
      </c>
      <c r="BH388" s="304">
        <v>0</v>
      </c>
      <c r="BI388" s="304">
        <v>0</v>
      </c>
      <c r="BJ388" s="304">
        <v>0</v>
      </c>
      <c r="BK388" s="304">
        <v>21</v>
      </c>
      <c r="BL388" s="304">
        <v>5314</v>
      </c>
      <c r="BM388" s="304">
        <v>0</v>
      </c>
      <c r="BN388" s="304">
        <v>5</v>
      </c>
      <c r="BO388" s="304">
        <v>0</v>
      </c>
      <c r="BP388" s="304">
        <v>42963</v>
      </c>
      <c r="BQ388" s="304">
        <v>79182</v>
      </c>
      <c r="BR388" s="304">
        <v>1847</v>
      </c>
      <c r="BS388" s="304">
        <v>25</v>
      </c>
      <c r="BT388" s="304">
        <v>26489</v>
      </c>
      <c r="BU388" s="304">
        <v>1276</v>
      </c>
      <c r="BV388" s="304">
        <v>0</v>
      </c>
      <c r="BW388" s="304">
        <v>0</v>
      </c>
      <c r="BX388" s="304">
        <v>1</v>
      </c>
      <c r="BY388" s="304">
        <v>0</v>
      </c>
      <c r="BZ388" s="304">
        <v>254</v>
      </c>
      <c r="CA388" s="304">
        <v>0</v>
      </c>
      <c r="CB388" s="304">
        <v>29063</v>
      </c>
      <c r="CC388" s="304">
        <v>13662</v>
      </c>
      <c r="CD388" s="304">
        <v>132009</v>
      </c>
      <c r="CE388" s="304">
        <v>296256</v>
      </c>
      <c r="CF388" s="304">
        <v>40534</v>
      </c>
      <c r="CG388" s="304">
        <v>67404</v>
      </c>
      <c r="CH388" s="304">
        <v>0</v>
      </c>
      <c r="CI388" s="304">
        <v>6</v>
      </c>
      <c r="CJ388" s="304">
        <v>0</v>
      </c>
      <c r="CK388" s="304">
        <v>83</v>
      </c>
      <c r="CL388" s="304">
        <v>63838</v>
      </c>
      <c r="CM388" s="304">
        <v>43434</v>
      </c>
      <c r="CN388" s="304">
        <v>174133</v>
      </c>
      <c r="CO388" s="304">
        <v>35722</v>
      </c>
      <c r="CP388" s="304">
        <v>508</v>
      </c>
      <c r="CQ388" s="304">
        <v>9235</v>
      </c>
      <c r="CR388" s="304">
        <v>1243</v>
      </c>
      <c r="CS388" s="304">
        <v>41</v>
      </c>
      <c r="CT388" s="304">
        <v>0</v>
      </c>
      <c r="CU388" s="304">
        <v>0</v>
      </c>
      <c r="CV388" s="304">
        <v>0</v>
      </c>
      <c r="CW388" s="304">
        <v>13</v>
      </c>
      <c r="CX388" s="304">
        <v>0</v>
      </c>
      <c r="CY388" s="304">
        <v>23</v>
      </c>
      <c r="DB388" s="6"/>
      <c r="DD388" s="6">
        <f t="shared" si="1518"/>
        <v>1071795</v>
      </c>
      <c r="DE388" s="6">
        <f t="shared" ref="DE388" si="1542">SUM(M388:N388,P388:AX388,BB388:BC388)+CR388+CS388</f>
        <v>287861</v>
      </c>
      <c r="DF388" s="8">
        <f t="shared" ref="DF388" si="1543">SUM(DD388:DE388)</f>
        <v>1359656</v>
      </c>
      <c r="DG388" s="8"/>
      <c r="DH388" s="6"/>
      <c r="DK388" s="6">
        <f t="shared" ref="DK388:DK393" si="1544">SUM(M388:N388,P388:S388,U388:X388)</f>
        <v>75712</v>
      </c>
      <c r="DL388" s="6">
        <f t="shared" ref="DL388:DL393" si="1545">SUM(Y388:Z388,AB388:AF388,AH388:AM388,AO388,AS388:AW388,BA388:BC388)+CR388+CS388</f>
        <v>148112</v>
      </c>
      <c r="DM388" s="6">
        <f t="shared" ref="DM388:DM393" si="1546">T388</f>
        <v>14805</v>
      </c>
      <c r="DN388" s="6">
        <f t="shared" ref="DN388:DN393" si="1547">AG388+AX388+AN388+AP388+AQ388+AR388</f>
        <v>49998</v>
      </c>
      <c r="DO388" s="6">
        <f t="shared" ref="DO388:DO393" si="1548">SUM(AY388,BF388,BI388,BK388,BO388,BR388:BS388,BU388,BW388,BZ388:CB388,CD388:CF388,CJ388:CK388)</f>
        <v>501443</v>
      </c>
      <c r="DP388" s="6">
        <f t="shared" ref="DP388:DP393" si="1549">SUM(AZ388,BD388:BE388,BH388,BN388,BQ388,BT388)</f>
        <v>107149</v>
      </c>
      <c r="DQ388" s="6">
        <f t="shared" ref="DQ388:DQ393" si="1550">BY388</f>
        <v>0</v>
      </c>
      <c r="DR388" s="6">
        <f t="shared" ref="DR388:DR393" si="1551">CC388+CI388+AA388</f>
        <v>13671</v>
      </c>
      <c r="DS388" s="6">
        <f t="shared" ref="DS388:DS393" si="1552">BP388+BV388</f>
        <v>42963</v>
      </c>
      <c r="DT388" s="6">
        <f t="shared" ref="DT388:DT393" si="1553">BG388+BJ388+BL388+BM388+BX388</f>
        <v>13768</v>
      </c>
      <c r="DU388" s="6">
        <f t="shared" ref="DU388:DU393" si="1554">SUM(CL388:CM388)</f>
        <v>107272</v>
      </c>
      <c r="DV388" s="6">
        <f t="shared" ref="DV388" si="1555">SUM(CN388:CQ388)</f>
        <v>219598</v>
      </c>
      <c r="DW388" s="6">
        <f t="shared" ref="DW388" si="1556">SUM(DK388:DV388)</f>
        <v>1294491</v>
      </c>
      <c r="DX388" s="6"/>
      <c r="DY388" s="6">
        <f t="shared" ref="DY388" si="1557">DO388+DT388+H388+I388+J388+K388+CG388</f>
        <v>654912</v>
      </c>
      <c r="DZ388" s="6">
        <f t="shared" ref="DZ388" si="1558">SUM(G388:L388,O388)</f>
        <v>76037</v>
      </c>
      <c r="EB388" s="6">
        <f t="shared" ref="EB388" si="1559">DZ388+DF388</f>
        <v>1435693</v>
      </c>
      <c r="EC388" s="6"/>
      <c r="ED388" s="6"/>
      <c r="EF388" s="6">
        <f t="shared" ref="EF388" si="1560">SUM(BE388:CQ388)-CG388-BP388</f>
        <v>961350</v>
      </c>
      <c r="EG388" s="6">
        <f t="shared" ref="EG388" si="1561">SUM(M388:BC388)-AQ388</f>
        <v>276020</v>
      </c>
      <c r="EH388" s="6">
        <f t="shared" ref="EH388" si="1562">SUM(EF388:EG388)</f>
        <v>1237370</v>
      </c>
      <c r="EI388" s="36">
        <f t="shared" ref="EI388" si="1563">(EF388-EF387)/EF387</f>
        <v>5.3007431915932657E-3</v>
      </c>
      <c r="EJ388" s="36">
        <f t="shared" ref="EJ388" si="1564">(EG388-EG387)/EG387</f>
        <v>7.3599524322286159E-4</v>
      </c>
      <c r="EK388" s="6"/>
      <c r="EN388" s="104"/>
      <c r="EO388" s="104"/>
      <c r="FC388" s="6">
        <f t="shared" si="1462"/>
        <v>90517</v>
      </c>
      <c r="FD388" s="6">
        <f t="shared" si="1463"/>
        <v>198110</v>
      </c>
      <c r="FE388" s="32">
        <f t="shared" si="1464"/>
        <v>501443</v>
      </c>
      <c r="FF388" s="34">
        <f t="shared" si="1465"/>
        <v>13768</v>
      </c>
      <c r="FG388" s="31">
        <f t="shared" si="1466"/>
        <v>150112</v>
      </c>
      <c r="FH388" s="6">
        <f t="shared" si="1467"/>
        <v>13671</v>
      </c>
      <c r="FI388" s="6">
        <f t="shared" si="1468"/>
        <v>-326870</v>
      </c>
      <c r="FJ388" s="6">
        <f t="shared" si="1493"/>
        <v>326870</v>
      </c>
    </row>
    <row r="389" spans="2:166" s="305" customFormat="1">
      <c r="B389" s="50">
        <v>43800</v>
      </c>
      <c r="C389" s="305">
        <v>0</v>
      </c>
      <c r="D389" s="305">
        <v>0</v>
      </c>
      <c r="E389" s="305">
        <v>0</v>
      </c>
      <c r="F389" s="305">
        <v>0</v>
      </c>
      <c r="G389" s="305">
        <v>1591</v>
      </c>
      <c r="H389" s="305">
        <v>19315</v>
      </c>
      <c r="I389" s="305">
        <v>49379</v>
      </c>
      <c r="J389" s="305">
        <v>948</v>
      </c>
      <c r="K389" s="305">
        <v>2375</v>
      </c>
      <c r="L389" s="305">
        <v>1409</v>
      </c>
      <c r="M389" s="305">
        <v>33646</v>
      </c>
      <c r="N389" s="305">
        <v>1371</v>
      </c>
      <c r="O389" s="305">
        <v>889</v>
      </c>
      <c r="P389" s="305">
        <v>1782</v>
      </c>
      <c r="Q389" s="305">
        <v>11067</v>
      </c>
      <c r="R389" s="305">
        <v>277</v>
      </c>
      <c r="S389" s="305">
        <v>6677</v>
      </c>
      <c r="T389" s="305">
        <v>14829</v>
      </c>
      <c r="U389" s="305">
        <v>51</v>
      </c>
      <c r="V389" s="305">
        <v>4691</v>
      </c>
      <c r="W389" s="305">
        <v>45</v>
      </c>
      <c r="X389" s="305">
        <v>16331</v>
      </c>
      <c r="Y389" s="305">
        <v>464</v>
      </c>
      <c r="Z389" s="305">
        <v>3</v>
      </c>
      <c r="AA389" s="305">
        <v>3</v>
      </c>
      <c r="AB389" s="305">
        <v>0</v>
      </c>
      <c r="AC389" s="305">
        <v>76</v>
      </c>
      <c r="AD389" s="305">
        <v>24</v>
      </c>
      <c r="AE389" s="305">
        <v>24</v>
      </c>
      <c r="AF389" s="305">
        <v>17</v>
      </c>
      <c r="AG389" s="305">
        <v>40</v>
      </c>
      <c r="AH389" s="305">
        <v>153</v>
      </c>
      <c r="AI389" s="305">
        <v>2578</v>
      </c>
      <c r="AJ389" s="305">
        <v>2</v>
      </c>
      <c r="AK389" s="305">
        <v>10496</v>
      </c>
      <c r="AL389" s="305">
        <v>112466</v>
      </c>
      <c r="AM389" s="305">
        <v>2025</v>
      </c>
      <c r="AN389" s="305">
        <v>22487</v>
      </c>
      <c r="AO389" s="305">
        <v>9</v>
      </c>
      <c r="AP389" s="305">
        <v>31</v>
      </c>
      <c r="AQ389" s="305">
        <v>12349</v>
      </c>
      <c r="AR389" s="305">
        <v>0</v>
      </c>
      <c r="AS389" s="305">
        <v>455</v>
      </c>
      <c r="AT389" s="305">
        <v>38</v>
      </c>
      <c r="AU389" s="305">
        <v>10517</v>
      </c>
      <c r="AV389" s="305">
        <v>2395</v>
      </c>
      <c r="AW389" s="305">
        <v>3951</v>
      </c>
      <c r="AX389" s="305">
        <v>15228</v>
      </c>
      <c r="AY389" s="305">
        <v>44</v>
      </c>
      <c r="AZ389" s="305">
        <v>3</v>
      </c>
      <c r="BA389" s="305">
        <v>761</v>
      </c>
      <c r="BB389" s="305">
        <v>0</v>
      </c>
      <c r="BC389" s="305">
        <v>177</v>
      </c>
      <c r="BD389" s="305">
        <v>1493</v>
      </c>
      <c r="BE389" s="305">
        <v>0</v>
      </c>
      <c r="BF389" s="305">
        <v>0</v>
      </c>
      <c r="BG389" s="305">
        <v>8487</v>
      </c>
      <c r="BH389" s="305">
        <v>0</v>
      </c>
      <c r="BI389" s="305">
        <v>0</v>
      </c>
      <c r="BJ389" s="305">
        <v>0</v>
      </c>
      <c r="BK389" s="305">
        <v>16</v>
      </c>
      <c r="BL389" s="305">
        <v>5354</v>
      </c>
      <c r="BM389" s="305">
        <v>1</v>
      </c>
      <c r="BN389" s="305">
        <v>2</v>
      </c>
      <c r="BO389" s="305">
        <v>0</v>
      </c>
      <c r="BP389" s="305">
        <v>43647</v>
      </c>
      <c r="BQ389" s="305">
        <v>79268</v>
      </c>
      <c r="BR389" s="305">
        <v>1650</v>
      </c>
      <c r="BS389" s="305">
        <v>23</v>
      </c>
      <c r="BT389" s="305">
        <v>26559</v>
      </c>
      <c r="BU389" s="305">
        <v>1112</v>
      </c>
      <c r="BV389" s="305">
        <v>1</v>
      </c>
      <c r="BW389" s="305">
        <v>0</v>
      </c>
      <c r="BX389" s="305">
        <v>1</v>
      </c>
      <c r="BY389" s="305">
        <v>0</v>
      </c>
      <c r="BZ389" s="305">
        <v>256</v>
      </c>
      <c r="CA389" s="305">
        <v>0</v>
      </c>
      <c r="CB389" s="305">
        <v>30453</v>
      </c>
      <c r="CC389" s="305">
        <v>13351</v>
      </c>
      <c r="CD389" s="305">
        <v>131946</v>
      </c>
      <c r="CE389" s="305">
        <v>297302</v>
      </c>
      <c r="CF389" s="305">
        <v>40414</v>
      </c>
      <c r="CG389" s="305">
        <v>70767</v>
      </c>
      <c r="CH389" s="305">
        <v>0</v>
      </c>
      <c r="CI389" s="305">
        <v>6</v>
      </c>
      <c r="CJ389" s="305">
        <v>0</v>
      </c>
      <c r="CK389" s="305">
        <v>81</v>
      </c>
      <c r="CL389" s="305">
        <v>65386</v>
      </c>
      <c r="CM389" s="305">
        <v>45532</v>
      </c>
      <c r="CN389" s="305">
        <v>180728</v>
      </c>
      <c r="CO389" s="305">
        <v>39641</v>
      </c>
      <c r="CP389" s="305">
        <v>358</v>
      </c>
      <c r="CQ389" s="305">
        <v>11402</v>
      </c>
      <c r="CR389" s="305">
        <v>1333</v>
      </c>
      <c r="CS389" s="305">
        <v>43</v>
      </c>
      <c r="CT389" s="305">
        <v>0</v>
      </c>
      <c r="CU389" s="305">
        <v>0</v>
      </c>
      <c r="CV389" s="305">
        <v>0</v>
      </c>
      <c r="CW389" s="305">
        <v>13</v>
      </c>
      <c r="CX389" s="305">
        <v>0</v>
      </c>
      <c r="CY389" s="305">
        <v>23</v>
      </c>
      <c r="DB389" s="6"/>
      <c r="DD389" s="6">
        <f t="shared" si="1518"/>
        <v>1093791</v>
      </c>
      <c r="DE389" s="6">
        <f t="shared" ref="DE389" si="1565">SUM(M389:N389,P389:AX389,BB389:BC389)+CR389+CS389</f>
        <v>288151</v>
      </c>
      <c r="DF389" s="8">
        <f t="shared" ref="DF389" si="1566">SUM(DD389:DE389)</f>
        <v>1381942</v>
      </c>
      <c r="DG389" s="8"/>
      <c r="DH389" s="6"/>
      <c r="DK389" s="6">
        <f t="shared" si="1544"/>
        <v>75938</v>
      </c>
      <c r="DL389" s="6">
        <f t="shared" si="1545"/>
        <v>148007</v>
      </c>
      <c r="DM389" s="6">
        <f t="shared" si="1546"/>
        <v>14829</v>
      </c>
      <c r="DN389" s="6">
        <f t="shared" si="1547"/>
        <v>50135</v>
      </c>
      <c r="DO389" s="6">
        <f t="shared" si="1548"/>
        <v>503297</v>
      </c>
      <c r="DP389" s="6">
        <f t="shared" si="1549"/>
        <v>107325</v>
      </c>
      <c r="DQ389" s="6">
        <f t="shared" si="1550"/>
        <v>0</v>
      </c>
      <c r="DR389" s="6">
        <f t="shared" si="1551"/>
        <v>13360</v>
      </c>
      <c r="DS389" s="6">
        <f t="shared" si="1552"/>
        <v>43648</v>
      </c>
      <c r="DT389" s="6">
        <f t="shared" si="1553"/>
        <v>13843</v>
      </c>
      <c r="DU389" s="6">
        <f t="shared" si="1554"/>
        <v>110918</v>
      </c>
      <c r="DV389" s="6">
        <f t="shared" ref="DV389" si="1567">SUM(CN389:CQ389)</f>
        <v>232129</v>
      </c>
      <c r="DW389" s="6">
        <f t="shared" ref="DW389" si="1568">SUM(DK389:DV389)</f>
        <v>1313429</v>
      </c>
      <c r="DX389" s="6"/>
      <c r="DY389" s="6">
        <f t="shared" ref="DY389" si="1569">DO389+DT389+H389+I389+J389+K389+CG389</f>
        <v>659924</v>
      </c>
      <c r="DZ389" s="6">
        <f t="shared" ref="DZ389" si="1570">SUM(G389:L389,O389)</f>
        <v>75906</v>
      </c>
      <c r="EB389" s="6">
        <f t="shared" ref="EB389:EB390" si="1571">DZ389+DF389</f>
        <v>1457848</v>
      </c>
      <c r="EC389" s="6"/>
      <c r="ED389" s="6"/>
      <c r="EF389" s="6">
        <f t="shared" ref="EF389" si="1572">SUM(BE389:CQ389)-CG389-BP389</f>
        <v>979330</v>
      </c>
      <c r="EG389" s="6">
        <f t="shared" ref="EG389" si="1573">SUM(M389:BC389)-AQ389</f>
        <v>276123</v>
      </c>
      <c r="EH389" s="6">
        <f t="shared" ref="EH389" si="1574">SUM(EF389:EG389)</f>
        <v>1255453</v>
      </c>
      <c r="EI389" s="36">
        <f t="shared" ref="EI389" si="1575">(EF389-EF388)/EF388</f>
        <v>1.8702865761689291E-2</v>
      </c>
      <c r="EJ389" s="36">
        <f t="shared" ref="EJ389" si="1576">(EG389-EG388)/EG388</f>
        <v>3.7316136511846969E-4</v>
      </c>
      <c r="EK389" s="6"/>
      <c r="EN389" s="104"/>
      <c r="EO389" s="104"/>
      <c r="FC389" s="6">
        <f t="shared" si="1462"/>
        <v>90767</v>
      </c>
      <c r="FD389" s="6">
        <f t="shared" si="1463"/>
        <v>198142</v>
      </c>
      <c r="FE389" s="32">
        <f t="shared" si="1464"/>
        <v>503297</v>
      </c>
      <c r="FF389" s="34">
        <f t="shared" si="1465"/>
        <v>13843</v>
      </c>
      <c r="FG389" s="31">
        <f t="shared" si="1466"/>
        <v>150973</v>
      </c>
      <c r="FH389" s="6">
        <f t="shared" si="1467"/>
        <v>13360</v>
      </c>
      <c r="FI389" s="6">
        <f t="shared" si="1468"/>
        <v>-343047</v>
      </c>
      <c r="FJ389" s="6">
        <f t="shared" si="1493"/>
        <v>343047</v>
      </c>
    </row>
    <row r="390" spans="2:166" s="297" customFormat="1">
      <c r="B390" s="50">
        <v>43831</v>
      </c>
      <c r="C390" s="306">
        <v>0</v>
      </c>
      <c r="D390" s="306">
        <v>0</v>
      </c>
      <c r="E390" s="306">
        <v>0</v>
      </c>
      <c r="F390" s="306">
        <v>0</v>
      </c>
      <c r="G390" s="306">
        <v>1719</v>
      </c>
      <c r="H390" s="306">
        <v>19328</v>
      </c>
      <c r="I390" s="306">
        <v>49470</v>
      </c>
      <c r="J390" s="306">
        <v>915</v>
      </c>
      <c r="K390" s="306">
        <v>2336</v>
      </c>
      <c r="L390" s="306">
        <v>1406</v>
      </c>
      <c r="M390" s="306">
        <v>34177</v>
      </c>
      <c r="N390" s="306">
        <v>1383</v>
      </c>
      <c r="O390" s="306">
        <v>894</v>
      </c>
      <c r="P390" s="306">
        <v>1754</v>
      </c>
      <c r="Q390" s="306">
        <v>11234</v>
      </c>
      <c r="R390" s="306">
        <v>280</v>
      </c>
      <c r="S390" s="306">
        <v>5860</v>
      </c>
      <c r="T390" s="306">
        <v>14914</v>
      </c>
      <c r="U390" s="306">
        <v>45</v>
      </c>
      <c r="V390" s="306">
        <v>4762</v>
      </c>
      <c r="W390" s="306">
        <v>47</v>
      </c>
      <c r="X390" s="306">
        <v>16954</v>
      </c>
      <c r="Y390" s="306">
        <v>459</v>
      </c>
      <c r="Z390" s="306">
        <v>4</v>
      </c>
      <c r="AA390" s="306">
        <v>3</v>
      </c>
      <c r="AB390" s="306">
        <v>0</v>
      </c>
      <c r="AC390" s="306">
        <v>72</v>
      </c>
      <c r="AD390" s="306">
        <v>22</v>
      </c>
      <c r="AE390" s="306">
        <v>24</v>
      </c>
      <c r="AF390" s="306">
        <v>18</v>
      </c>
      <c r="AG390" s="306">
        <v>42</v>
      </c>
      <c r="AH390" s="306">
        <v>155</v>
      </c>
      <c r="AI390" s="306">
        <v>2561</v>
      </c>
      <c r="AJ390" s="306">
        <v>1</v>
      </c>
      <c r="AK390" s="306">
        <v>10616</v>
      </c>
      <c r="AL390" s="306">
        <v>111729</v>
      </c>
      <c r="AM390" s="306">
        <v>1982</v>
      </c>
      <c r="AN390" s="306">
        <v>22505</v>
      </c>
      <c r="AO390" s="306">
        <v>8</v>
      </c>
      <c r="AP390" s="306">
        <v>26</v>
      </c>
      <c r="AQ390" s="306">
        <v>12141</v>
      </c>
      <c r="AR390" s="306">
        <v>0</v>
      </c>
      <c r="AS390" s="306">
        <v>472</v>
      </c>
      <c r="AT390" s="306">
        <v>35</v>
      </c>
      <c r="AU390" s="306">
        <v>10363</v>
      </c>
      <c r="AV390" s="306">
        <v>2404</v>
      </c>
      <c r="AW390" s="306">
        <v>3612</v>
      </c>
      <c r="AX390" s="306">
        <v>15192</v>
      </c>
      <c r="AY390" s="306">
        <v>34</v>
      </c>
      <c r="AZ390" s="306">
        <v>0</v>
      </c>
      <c r="BA390" s="306">
        <v>750</v>
      </c>
      <c r="BB390" s="306">
        <v>0</v>
      </c>
      <c r="BC390" s="306">
        <v>166</v>
      </c>
      <c r="BD390" s="306">
        <v>1505</v>
      </c>
      <c r="BE390" s="306">
        <v>0</v>
      </c>
      <c r="BF390" s="306">
        <v>0</v>
      </c>
      <c r="BG390" s="306">
        <v>8495</v>
      </c>
      <c r="BH390" s="306">
        <v>0</v>
      </c>
      <c r="BI390" s="306">
        <v>0</v>
      </c>
      <c r="BJ390" s="306">
        <v>0</v>
      </c>
      <c r="BK390" s="306">
        <v>15</v>
      </c>
      <c r="BL390" s="306">
        <v>5373</v>
      </c>
      <c r="BM390" s="306">
        <v>0</v>
      </c>
      <c r="BN390" s="306">
        <v>0</v>
      </c>
      <c r="BO390" s="306">
        <v>0</v>
      </c>
      <c r="BP390" s="306">
        <v>44139</v>
      </c>
      <c r="BQ390" s="306">
        <v>79553</v>
      </c>
      <c r="BR390" s="306">
        <v>1468</v>
      </c>
      <c r="BS390" s="306">
        <v>20</v>
      </c>
      <c r="BT390" s="306">
        <v>26944</v>
      </c>
      <c r="BU390" s="306">
        <v>1036</v>
      </c>
      <c r="BV390" s="306">
        <v>1</v>
      </c>
      <c r="BW390" s="306">
        <v>0</v>
      </c>
      <c r="BX390" s="306">
        <v>0</v>
      </c>
      <c r="BY390" s="306">
        <v>0</v>
      </c>
      <c r="BZ390" s="306">
        <v>264</v>
      </c>
      <c r="CA390" s="306">
        <v>0</v>
      </c>
      <c r="CB390" s="306">
        <v>32076</v>
      </c>
      <c r="CC390" s="306">
        <v>13148</v>
      </c>
      <c r="CD390" s="306">
        <v>132286</v>
      </c>
      <c r="CE390" s="306">
        <v>299338</v>
      </c>
      <c r="CF390" s="306">
        <v>40714</v>
      </c>
      <c r="CG390" s="306">
        <v>75187</v>
      </c>
      <c r="CH390" s="306">
        <v>0</v>
      </c>
      <c r="CI390" s="306">
        <v>7</v>
      </c>
      <c r="CJ390" s="306">
        <v>0</v>
      </c>
      <c r="CK390" s="306">
        <v>79</v>
      </c>
      <c r="CL390" s="306">
        <v>67536</v>
      </c>
      <c r="CM390" s="306">
        <v>48833</v>
      </c>
      <c r="CN390" s="306">
        <v>193704</v>
      </c>
      <c r="CO390" s="306">
        <v>46990</v>
      </c>
      <c r="CP390" s="306">
        <v>355</v>
      </c>
      <c r="CQ390" s="306">
        <v>14680</v>
      </c>
      <c r="CR390" s="306">
        <v>1448</v>
      </c>
      <c r="CS390" s="306">
        <v>36</v>
      </c>
      <c r="CT390" s="306">
        <v>0</v>
      </c>
      <c r="CU390" s="306">
        <v>0</v>
      </c>
      <c r="CV390" s="306">
        <v>0</v>
      </c>
      <c r="CW390" s="306">
        <v>13</v>
      </c>
      <c r="CX390" s="306">
        <v>0</v>
      </c>
      <c r="CY390" s="306">
        <v>23</v>
      </c>
      <c r="DB390" s="6"/>
      <c r="DD390" s="6">
        <f t="shared" si="1518"/>
        <v>1132275</v>
      </c>
      <c r="DE390" s="6">
        <f t="shared" ref="DE390" si="1577">SUM(M390:N390,P390:AX390,BB390:BC390)+CR390+CS390</f>
        <v>287506</v>
      </c>
      <c r="DF390" s="8">
        <f t="shared" ref="DF390" si="1578">SUM(DD390:DE390)</f>
        <v>1419781</v>
      </c>
      <c r="DG390" s="8"/>
      <c r="DK390" s="6">
        <f t="shared" si="1544"/>
        <v>76496</v>
      </c>
      <c r="DL390" s="6">
        <f t="shared" si="1545"/>
        <v>146937</v>
      </c>
      <c r="DM390" s="6">
        <f t="shared" si="1546"/>
        <v>14914</v>
      </c>
      <c r="DN390" s="6">
        <f t="shared" si="1547"/>
        <v>49906</v>
      </c>
      <c r="DO390" s="6">
        <f t="shared" si="1548"/>
        <v>507330</v>
      </c>
      <c r="DP390" s="6">
        <f t="shared" si="1549"/>
        <v>108002</v>
      </c>
      <c r="DQ390" s="6">
        <f t="shared" si="1550"/>
        <v>0</v>
      </c>
      <c r="DR390" s="6">
        <f t="shared" si="1551"/>
        <v>13158</v>
      </c>
      <c r="DS390" s="6">
        <f t="shared" si="1552"/>
        <v>44140</v>
      </c>
      <c r="DT390" s="6">
        <f t="shared" si="1553"/>
        <v>13868</v>
      </c>
      <c r="DU390" s="6">
        <f t="shared" si="1554"/>
        <v>116369</v>
      </c>
      <c r="DV390" s="6">
        <f t="shared" ref="DV390" si="1579">SUM(CN390:CQ390)</f>
        <v>255729</v>
      </c>
      <c r="DW390" s="6">
        <f t="shared" ref="DW390" si="1580">SUM(DK390:DV390)</f>
        <v>1346849</v>
      </c>
      <c r="DX390" s="6"/>
      <c r="DY390" s="6">
        <f t="shared" ref="DY390" si="1581">DO390+DT390+H390+I390+J390+K390+CG390</f>
        <v>668434</v>
      </c>
      <c r="DZ390" s="6">
        <f t="shared" ref="DZ390" si="1582">SUM(G390:L390,O390)</f>
        <v>76068</v>
      </c>
      <c r="EA390" s="6"/>
      <c r="EB390" s="6">
        <f t="shared" si="1571"/>
        <v>1495849</v>
      </c>
      <c r="EC390" s="6"/>
      <c r="ED390" s="6"/>
      <c r="EE390" s="6"/>
      <c r="EF390" s="6">
        <f t="shared" ref="EF390" si="1583">SUM(BE390:CQ390)-CG390-BP390</f>
        <v>1012915</v>
      </c>
      <c r="EG390" s="6">
        <f t="shared" ref="EG390" si="1584">SUM(M390:BC390)-AQ390</f>
        <v>275559</v>
      </c>
      <c r="EH390" s="6">
        <f t="shared" ref="EH390" si="1585">SUM(EF390:EG390)</f>
        <v>1288474</v>
      </c>
      <c r="EI390" s="36">
        <f t="shared" ref="EI390" si="1586">(EF390-EF389)/EF389</f>
        <v>3.4293853961381758E-2</v>
      </c>
      <c r="EJ390" s="36">
        <f t="shared" ref="EJ390" si="1587">(EG390-EG389)/EG389</f>
        <v>-2.0425679860062362E-3</v>
      </c>
      <c r="EK390" s="6"/>
      <c r="EN390" s="104"/>
      <c r="EO390" s="104"/>
      <c r="FC390" s="6">
        <f t="shared" si="1462"/>
        <v>91410</v>
      </c>
      <c r="FD390" s="6">
        <f t="shared" si="1463"/>
        <v>196843</v>
      </c>
      <c r="FE390" s="32">
        <f t="shared" si="1464"/>
        <v>507330</v>
      </c>
      <c r="FF390" s="34">
        <f t="shared" si="1465"/>
        <v>13868</v>
      </c>
      <c r="FG390" s="31">
        <f t="shared" si="1466"/>
        <v>152142</v>
      </c>
      <c r="FH390" s="6">
        <f t="shared" si="1467"/>
        <v>13158</v>
      </c>
      <c r="FI390" s="6">
        <f t="shared" si="1468"/>
        <v>-372098</v>
      </c>
      <c r="FJ390" s="6">
        <f t="shared" si="1493"/>
        <v>372098</v>
      </c>
    </row>
    <row r="391" spans="2:166" s="306" customFormat="1">
      <c r="B391" s="50">
        <v>43862</v>
      </c>
      <c r="C391" s="308">
        <v>0</v>
      </c>
      <c r="D391" s="308">
        <v>0</v>
      </c>
      <c r="E391" s="308">
        <v>0</v>
      </c>
      <c r="F391" s="308">
        <v>0</v>
      </c>
      <c r="G391" s="308">
        <v>1687</v>
      </c>
      <c r="H391" s="308">
        <v>19385</v>
      </c>
      <c r="I391" s="308">
        <v>49994</v>
      </c>
      <c r="J391" s="308">
        <v>920</v>
      </c>
      <c r="K391" s="308">
        <v>2322</v>
      </c>
      <c r="L391" s="308">
        <v>1409</v>
      </c>
      <c r="M391" s="308">
        <v>34006</v>
      </c>
      <c r="N391" s="308">
        <v>1364</v>
      </c>
      <c r="O391" s="308">
        <v>913</v>
      </c>
      <c r="P391" s="308">
        <v>1747</v>
      </c>
      <c r="Q391" s="308">
        <v>11065</v>
      </c>
      <c r="R391" s="308">
        <v>279</v>
      </c>
      <c r="S391" s="308">
        <v>5557</v>
      </c>
      <c r="T391" s="308">
        <v>14949</v>
      </c>
      <c r="U391" s="308">
        <v>54</v>
      </c>
      <c r="V391" s="308">
        <v>4726</v>
      </c>
      <c r="W391" s="308">
        <v>42</v>
      </c>
      <c r="X391" s="308">
        <v>17333</v>
      </c>
      <c r="Y391" s="308">
        <v>466</v>
      </c>
      <c r="Z391" s="308">
        <v>5</v>
      </c>
      <c r="AA391" s="308">
        <v>4</v>
      </c>
      <c r="AB391" s="308">
        <v>2</v>
      </c>
      <c r="AC391" s="308">
        <v>69</v>
      </c>
      <c r="AD391" s="308">
        <v>19</v>
      </c>
      <c r="AE391" s="308">
        <v>26</v>
      </c>
      <c r="AF391" s="308">
        <v>16</v>
      </c>
      <c r="AG391" s="308">
        <v>43</v>
      </c>
      <c r="AH391" s="308">
        <v>140</v>
      </c>
      <c r="AI391" s="308">
        <v>2587</v>
      </c>
      <c r="AJ391" s="308">
        <v>1</v>
      </c>
      <c r="AK391" s="308">
        <v>10620</v>
      </c>
      <c r="AL391" s="308">
        <v>111657</v>
      </c>
      <c r="AM391" s="308">
        <v>1959</v>
      </c>
      <c r="AN391" s="308">
        <v>22430</v>
      </c>
      <c r="AO391" s="308">
        <v>5</v>
      </c>
      <c r="AP391" s="308">
        <v>13</v>
      </c>
      <c r="AQ391" s="308">
        <v>12061</v>
      </c>
      <c r="AR391" s="308">
        <v>0</v>
      </c>
      <c r="AS391" s="308">
        <v>482</v>
      </c>
      <c r="AT391" s="308">
        <v>38</v>
      </c>
      <c r="AU391" s="308">
        <v>10336</v>
      </c>
      <c r="AV391" s="308">
        <v>2395</v>
      </c>
      <c r="AW391" s="308">
        <v>3592</v>
      </c>
      <c r="AX391" s="308">
        <v>15155</v>
      </c>
      <c r="AY391" s="308">
        <v>44</v>
      </c>
      <c r="AZ391" s="308">
        <v>1</v>
      </c>
      <c r="BA391" s="308">
        <v>736</v>
      </c>
      <c r="BB391" s="308">
        <v>0</v>
      </c>
      <c r="BC391" s="308">
        <v>148</v>
      </c>
      <c r="BD391" s="308">
        <v>1543</v>
      </c>
      <c r="BE391" s="308">
        <v>0</v>
      </c>
      <c r="BF391" s="308">
        <v>0</v>
      </c>
      <c r="BG391" s="308">
        <v>8510</v>
      </c>
      <c r="BH391" s="308">
        <v>0</v>
      </c>
      <c r="BI391" s="308">
        <v>0</v>
      </c>
      <c r="BJ391" s="308">
        <v>0</v>
      </c>
      <c r="BK391" s="308">
        <v>15</v>
      </c>
      <c r="BL391" s="308">
        <v>5347</v>
      </c>
      <c r="BM391" s="308">
        <v>2</v>
      </c>
      <c r="BN391" s="308">
        <v>7</v>
      </c>
      <c r="BO391" s="308">
        <v>0</v>
      </c>
      <c r="BP391" s="308">
        <v>45213</v>
      </c>
      <c r="BQ391" s="308">
        <v>79395</v>
      </c>
      <c r="BR391" s="308">
        <v>1448</v>
      </c>
      <c r="BS391" s="308">
        <v>20</v>
      </c>
      <c r="BT391" s="308">
        <v>26963</v>
      </c>
      <c r="BU391" s="308">
        <v>1002</v>
      </c>
      <c r="BV391" s="308">
        <v>2</v>
      </c>
      <c r="BW391" s="308">
        <v>0</v>
      </c>
      <c r="BX391" s="308">
        <v>0</v>
      </c>
      <c r="BY391" s="308">
        <v>0</v>
      </c>
      <c r="BZ391" s="308">
        <v>268</v>
      </c>
      <c r="CA391" s="308">
        <v>0</v>
      </c>
      <c r="CB391" s="308">
        <v>32065</v>
      </c>
      <c r="CC391" s="308">
        <v>13263</v>
      </c>
      <c r="CD391" s="308">
        <v>132071</v>
      </c>
      <c r="CE391" s="308">
        <v>299281</v>
      </c>
      <c r="CF391" s="308">
        <v>40982</v>
      </c>
      <c r="CG391" s="308">
        <v>75211</v>
      </c>
      <c r="CH391" s="308">
        <v>0</v>
      </c>
      <c r="CI391" s="308">
        <v>8</v>
      </c>
      <c r="CJ391" s="308">
        <v>0</v>
      </c>
      <c r="CK391" s="308">
        <v>76</v>
      </c>
      <c r="CL391" s="308">
        <v>68004</v>
      </c>
      <c r="CM391" s="308">
        <v>49417</v>
      </c>
      <c r="CN391" s="308">
        <v>198071</v>
      </c>
      <c r="CO391" s="308">
        <v>47730</v>
      </c>
      <c r="CP391" s="308">
        <v>500</v>
      </c>
      <c r="CQ391" s="308">
        <v>18205</v>
      </c>
      <c r="CR391" s="308">
        <v>1563</v>
      </c>
      <c r="CS391" s="308">
        <v>40</v>
      </c>
      <c r="CT391" s="308">
        <v>0</v>
      </c>
      <c r="CU391" s="308">
        <v>0</v>
      </c>
      <c r="CV391" s="308">
        <v>0</v>
      </c>
      <c r="CW391" s="308">
        <v>13</v>
      </c>
      <c r="CX391" s="308">
        <v>0</v>
      </c>
      <c r="CY391" s="308">
        <v>23</v>
      </c>
      <c r="DB391" s="6"/>
      <c r="DD391" s="6">
        <f t="shared" si="1518"/>
        <v>1143121</v>
      </c>
      <c r="DE391" s="6">
        <f t="shared" ref="DE391" si="1588">SUM(M391:N391,P391:AX391,BB391:BC391)+CR391+CS391</f>
        <v>286994</v>
      </c>
      <c r="DF391" s="8">
        <f t="shared" ref="DF391" si="1589">SUM(DD391:DE391)</f>
        <v>1430115</v>
      </c>
      <c r="DG391" s="8"/>
      <c r="DH391" s="308"/>
      <c r="DI391" s="308"/>
      <c r="DJ391" s="308"/>
      <c r="DK391" s="6">
        <f t="shared" si="1544"/>
        <v>76173</v>
      </c>
      <c r="DL391" s="6">
        <f t="shared" si="1545"/>
        <v>146902</v>
      </c>
      <c r="DM391" s="6">
        <f t="shared" si="1546"/>
        <v>14949</v>
      </c>
      <c r="DN391" s="6">
        <f t="shared" si="1547"/>
        <v>49702</v>
      </c>
      <c r="DO391" s="6">
        <f t="shared" si="1548"/>
        <v>507272</v>
      </c>
      <c r="DP391" s="6">
        <f t="shared" si="1549"/>
        <v>107909</v>
      </c>
      <c r="DQ391" s="6">
        <f t="shared" si="1550"/>
        <v>0</v>
      </c>
      <c r="DR391" s="6">
        <f t="shared" si="1551"/>
        <v>13275</v>
      </c>
      <c r="DS391" s="6">
        <f t="shared" si="1552"/>
        <v>45215</v>
      </c>
      <c r="DT391" s="6">
        <f t="shared" si="1553"/>
        <v>13859</v>
      </c>
      <c r="DU391" s="6">
        <f t="shared" si="1554"/>
        <v>117421</v>
      </c>
      <c r="DV391" s="6">
        <f t="shared" ref="DV391" si="1590">SUM(CN391:CQ391)</f>
        <v>264506</v>
      </c>
      <c r="DW391" s="6">
        <f t="shared" ref="DW391" si="1591">SUM(DK391:DV391)</f>
        <v>1357183</v>
      </c>
      <c r="DX391" s="6"/>
      <c r="DY391" s="6">
        <f t="shared" ref="DY391" si="1592">DO391+DT391+H391+I391+J391+K391+CG391</f>
        <v>668963</v>
      </c>
      <c r="DZ391" s="6">
        <f t="shared" ref="DZ391" si="1593">SUM(G391:L391,O391)</f>
        <v>76630</v>
      </c>
      <c r="EA391" s="6"/>
      <c r="EB391" s="6">
        <f t="shared" ref="EB391" si="1594">DZ391+DF391</f>
        <v>1506745</v>
      </c>
      <c r="EC391" s="6"/>
      <c r="ED391" s="6"/>
      <c r="EE391" s="6"/>
      <c r="EF391" s="6">
        <f t="shared" ref="EF391" si="1595">SUM(BE391:CQ391)-CG391-BP391</f>
        <v>1022652</v>
      </c>
      <c r="EG391" s="6">
        <f t="shared" ref="EG391" si="1596">SUM(M391:BC391)-AQ391</f>
        <v>275024</v>
      </c>
      <c r="EH391" s="6">
        <f t="shared" ref="EH391" si="1597">SUM(EF391:EG391)</f>
        <v>1297676</v>
      </c>
      <c r="EI391" s="36">
        <f t="shared" ref="EI391" si="1598">(EF391-EF390)/EF390</f>
        <v>9.6128500417112985E-3</v>
      </c>
      <c r="EJ391" s="36">
        <f t="shared" ref="EJ391" si="1599">(EG391-EG390)/EG390</f>
        <v>-1.941507989214651E-3</v>
      </c>
      <c r="EK391" s="6"/>
      <c r="EN391" s="104"/>
      <c r="EO391" s="104"/>
      <c r="FC391" s="6">
        <f t="shared" si="1462"/>
        <v>91122</v>
      </c>
      <c r="FD391" s="6">
        <f t="shared" si="1463"/>
        <v>196604</v>
      </c>
      <c r="FE391" s="32">
        <f t="shared" si="1464"/>
        <v>507272</v>
      </c>
      <c r="FF391" s="34">
        <f t="shared" si="1465"/>
        <v>13859</v>
      </c>
      <c r="FG391" s="31">
        <f t="shared" si="1466"/>
        <v>153124</v>
      </c>
      <c r="FH391" s="6">
        <f t="shared" si="1467"/>
        <v>13275</v>
      </c>
      <c r="FI391" s="6">
        <f t="shared" si="1468"/>
        <v>-381927</v>
      </c>
      <c r="FJ391" s="6">
        <f t="shared" si="1493"/>
        <v>381927</v>
      </c>
    </row>
    <row r="392" spans="2:166" s="306" customFormat="1">
      <c r="B392" s="50">
        <v>43891</v>
      </c>
      <c r="C392" s="309">
        <v>0</v>
      </c>
      <c r="D392" s="309">
        <v>0</v>
      </c>
      <c r="E392" s="309">
        <v>0</v>
      </c>
      <c r="F392" s="309">
        <v>0</v>
      </c>
      <c r="G392" s="309">
        <v>1563</v>
      </c>
      <c r="H392" s="309">
        <v>19477</v>
      </c>
      <c r="I392" s="309">
        <v>50179</v>
      </c>
      <c r="J392" s="309">
        <v>934</v>
      </c>
      <c r="K392" s="309">
        <v>2337</v>
      </c>
      <c r="L392" s="309">
        <v>1457</v>
      </c>
      <c r="M392" s="309">
        <v>33945</v>
      </c>
      <c r="N392" s="309">
        <v>1358</v>
      </c>
      <c r="O392" s="309">
        <v>912</v>
      </c>
      <c r="P392" s="309">
        <v>1735</v>
      </c>
      <c r="Q392" s="309">
        <v>10958</v>
      </c>
      <c r="R392" s="309">
        <v>281</v>
      </c>
      <c r="S392" s="309">
        <v>5386</v>
      </c>
      <c r="T392" s="309">
        <v>14911</v>
      </c>
      <c r="U392" s="309">
        <v>47</v>
      </c>
      <c r="V392" s="309">
        <v>4693</v>
      </c>
      <c r="W392" s="309">
        <v>35</v>
      </c>
      <c r="X392" s="309">
        <v>17668</v>
      </c>
      <c r="Y392" s="309">
        <v>461</v>
      </c>
      <c r="Z392" s="309">
        <v>4</v>
      </c>
      <c r="AA392" s="309">
        <v>2</v>
      </c>
      <c r="AB392" s="309">
        <v>1</v>
      </c>
      <c r="AC392" s="309">
        <v>68</v>
      </c>
      <c r="AD392" s="309">
        <v>19</v>
      </c>
      <c r="AE392" s="309">
        <v>27</v>
      </c>
      <c r="AF392" s="309">
        <v>17</v>
      </c>
      <c r="AG392" s="309">
        <v>44</v>
      </c>
      <c r="AH392" s="309">
        <v>137</v>
      </c>
      <c r="AI392" s="309">
        <v>2597</v>
      </c>
      <c r="AJ392" s="309">
        <v>1</v>
      </c>
      <c r="AK392" s="309">
        <v>10826</v>
      </c>
      <c r="AL392" s="309">
        <v>111695</v>
      </c>
      <c r="AM392" s="309">
        <v>1938</v>
      </c>
      <c r="AN392" s="309">
        <v>22349</v>
      </c>
      <c r="AO392" s="309">
        <v>4</v>
      </c>
      <c r="AP392" s="309">
        <v>8</v>
      </c>
      <c r="AQ392" s="309">
        <v>11976</v>
      </c>
      <c r="AR392" s="309">
        <v>0</v>
      </c>
      <c r="AS392" s="309">
        <v>478</v>
      </c>
      <c r="AT392" s="309">
        <v>39</v>
      </c>
      <c r="AU392" s="309">
        <v>10225</v>
      </c>
      <c r="AV392" s="309">
        <v>2399</v>
      </c>
      <c r="AW392" s="309">
        <v>3501</v>
      </c>
      <c r="AX392" s="309">
        <v>15128</v>
      </c>
      <c r="AY392" s="309">
        <v>38</v>
      </c>
      <c r="AZ392" s="309">
        <v>3</v>
      </c>
      <c r="BA392" s="309">
        <v>731</v>
      </c>
      <c r="BB392" s="309">
        <v>0</v>
      </c>
      <c r="BC392" s="309">
        <v>167</v>
      </c>
      <c r="BD392" s="309">
        <v>1549</v>
      </c>
      <c r="BE392" s="309">
        <v>0</v>
      </c>
      <c r="BF392" s="309">
        <v>0</v>
      </c>
      <c r="BG392" s="309">
        <v>8512</v>
      </c>
      <c r="BH392" s="309">
        <v>0</v>
      </c>
      <c r="BI392" s="309">
        <v>0</v>
      </c>
      <c r="BJ392" s="309">
        <v>0</v>
      </c>
      <c r="BK392" s="309">
        <v>14</v>
      </c>
      <c r="BL392" s="309">
        <v>5334</v>
      </c>
      <c r="BM392" s="309">
        <v>1</v>
      </c>
      <c r="BN392" s="309">
        <v>6</v>
      </c>
      <c r="BO392" s="309">
        <v>0</v>
      </c>
      <c r="BP392" s="309">
        <v>45893</v>
      </c>
      <c r="BQ392" s="309">
        <v>79748</v>
      </c>
      <c r="BR392" s="309">
        <v>1410</v>
      </c>
      <c r="BS392" s="309">
        <v>20</v>
      </c>
      <c r="BT392" s="309">
        <v>27063</v>
      </c>
      <c r="BU392" s="309">
        <v>949</v>
      </c>
      <c r="BV392" s="309">
        <v>0</v>
      </c>
      <c r="BW392" s="309">
        <v>0</v>
      </c>
      <c r="BX392" s="309">
        <v>1</v>
      </c>
      <c r="BY392" s="309">
        <v>0</v>
      </c>
      <c r="BZ392" s="309">
        <v>265</v>
      </c>
      <c r="CA392" s="309">
        <v>0</v>
      </c>
      <c r="CB392" s="309">
        <v>32019</v>
      </c>
      <c r="CC392" s="309">
        <v>13155</v>
      </c>
      <c r="CD392" s="309">
        <v>132271</v>
      </c>
      <c r="CE392" s="309">
        <v>299678</v>
      </c>
      <c r="CF392" s="309">
        <v>41312</v>
      </c>
      <c r="CG392" s="309">
        <v>75329</v>
      </c>
      <c r="CH392" s="309">
        <v>0</v>
      </c>
      <c r="CI392" s="309">
        <v>11</v>
      </c>
      <c r="CJ392" s="309">
        <v>0</v>
      </c>
      <c r="CK392" s="309">
        <v>75</v>
      </c>
      <c r="CL392" s="309">
        <v>68303</v>
      </c>
      <c r="CM392" s="309">
        <v>49637</v>
      </c>
      <c r="CN392" s="309">
        <v>202112</v>
      </c>
      <c r="CO392" s="309">
        <v>48188</v>
      </c>
      <c r="CP392" s="309">
        <v>329</v>
      </c>
      <c r="CQ392" s="309">
        <v>18420</v>
      </c>
      <c r="CR392" s="309">
        <v>1585</v>
      </c>
      <c r="CS392" s="309">
        <v>47</v>
      </c>
      <c r="CT392" s="309">
        <v>0</v>
      </c>
      <c r="CU392" s="309">
        <v>0</v>
      </c>
      <c r="CV392" s="309">
        <v>0</v>
      </c>
      <c r="CW392" s="309">
        <v>13</v>
      </c>
      <c r="CX392" s="309">
        <v>0</v>
      </c>
      <c r="CY392" s="309">
        <v>23</v>
      </c>
      <c r="DB392" s="6"/>
      <c r="DD392" s="6">
        <f t="shared" si="1518"/>
        <v>1150096</v>
      </c>
      <c r="DE392" s="6">
        <f t="shared" ref="DE392" si="1600">SUM(M392:N392,P392:AX392,BB392:BC392)+CR392+CS392</f>
        <v>286760</v>
      </c>
      <c r="DF392" s="8">
        <f t="shared" ref="DF392" si="1601">SUM(DD392:DE392)</f>
        <v>1436856</v>
      </c>
      <c r="DG392" s="8"/>
      <c r="DH392" s="309"/>
      <c r="DI392" s="309"/>
      <c r="DJ392" s="309"/>
      <c r="DK392" s="6">
        <f t="shared" si="1544"/>
        <v>76106</v>
      </c>
      <c r="DL392" s="6">
        <f t="shared" si="1545"/>
        <v>146967</v>
      </c>
      <c r="DM392" s="6">
        <f t="shared" si="1546"/>
        <v>14911</v>
      </c>
      <c r="DN392" s="6">
        <f t="shared" si="1547"/>
        <v>49505</v>
      </c>
      <c r="DO392" s="6">
        <f t="shared" si="1548"/>
        <v>508051</v>
      </c>
      <c r="DP392" s="6">
        <f t="shared" si="1549"/>
        <v>108369</v>
      </c>
      <c r="DQ392" s="6">
        <f t="shared" si="1550"/>
        <v>0</v>
      </c>
      <c r="DR392" s="6">
        <f t="shared" si="1551"/>
        <v>13168</v>
      </c>
      <c r="DS392" s="6">
        <f t="shared" si="1552"/>
        <v>45893</v>
      </c>
      <c r="DT392" s="6">
        <f t="shared" si="1553"/>
        <v>13848</v>
      </c>
      <c r="DU392" s="6">
        <f t="shared" si="1554"/>
        <v>117940</v>
      </c>
      <c r="DV392" s="6">
        <f t="shared" ref="DV392" si="1602">SUM(CN392:CQ392)</f>
        <v>269049</v>
      </c>
      <c r="DW392" s="6">
        <f t="shared" ref="DW392" si="1603">SUM(DK392:DV392)</f>
        <v>1363807</v>
      </c>
      <c r="DX392" s="6"/>
      <c r="DY392" s="6">
        <f t="shared" ref="DY392" si="1604">DO392+DT392+H392+I392+J392+K392+CG392</f>
        <v>670155</v>
      </c>
      <c r="DZ392" s="6">
        <f t="shared" ref="DZ392" si="1605">SUM(G392:L392,O392)</f>
        <v>76859</v>
      </c>
      <c r="EA392" s="6"/>
      <c r="EB392" s="6">
        <f t="shared" ref="EB392" si="1606">DZ392+DF392</f>
        <v>1513715</v>
      </c>
      <c r="EC392" s="6"/>
      <c r="ED392" s="6"/>
      <c r="EE392" s="6"/>
      <c r="EF392" s="6">
        <f t="shared" ref="EF392" si="1607">SUM(BE392:CQ392)-CG392-BP392</f>
        <v>1028833</v>
      </c>
      <c r="EG392" s="6">
        <f t="shared" ref="EG392" si="1608">SUM(M392:BC392)-AQ392</f>
        <v>274836</v>
      </c>
      <c r="EH392" s="6">
        <f t="shared" ref="EH392" si="1609">SUM(EF392:EG392)</f>
        <v>1303669</v>
      </c>
      <c r="EI392" s="36">
        <f t="shared" ref="EI392" si="1610">(EF392-EF391)/EF391</f>
        <v>6.0440892894161454E-3</v>
      </c>
      <c r="EJ392" s="36">
        <f t="shared" ref="EJ392:EJ397" si="1611">(EG392-EG391)/EG391</f>
        <v>-6.8357670603292806E-4</v>
      </c>
      <c r="EK392" s="6"/>
      <c r="EN392" s="104"/>
      <c r="EO392" s="104"/>
      <c r="FC392" s="6">
        <f t="shared" si="1462"/>
        <v>91017</v>
      </c>
      <c r="FD392" s="6">
        <f t="shared" si="1463"/>
        <v>196472</v>
      </c>
      <c r="FE392" s="32">
        <f t="shared" si="1464"/>
        <v>508051</v>
      </c>
      <c r="FF392" s="34">
        <f t="shared" si="1465"/>
        <v>13848</v>
      </c>
      <c r="FG392" s="31">
        <f t="shared" si="1466"/>
        <v>154262</v>
      </c>
      <c r="FH392" s="6">
        <f t="shared" si="1467"/>
        <v>13168</v>
      </c>
      <c r="FI392" s="6">
        <f t="shared" si="1468"/>
        <v>-386989</v>
      </c>
      <c r="FJ392" s="6">
        <f t="shared" si="1493"/>
        <v>386989</v>
      </c>
    </row>
    <row r="393" spans="2:166" s="310" customFormat="1">
      <c r="B393" s="50">
        <v>43922</v>
      </c>
      <c r="C393" s="310">
        <v>0</v>
      </c>
      <c r="D393" s="310">
        <v>0</v>
      </c>
      <c r="E393" s="310">
        <v>0</v>
      </c>
      <c r="F393" s="310">
        <v>0</v>
      </c>
      <c r="G393" s="310">
        <v>1642</v>
      </c>
      <c r="H393" s="310">
        <v>19631</v>
      </c>
      <c r="I393" s="310">
        <v>50836</v>
      </c>
      <c r="J393" s="310">
        <v>894</v>
      </c>
      <c r="K393" s="310">
        <v>2343</v>
      </c>
      <c r="L393" s="310">
        <v>1443</v>
      </c>
      <c r="M393" s="310">
        <v>33910</v>
      </c>
      <c r="N393" s="310">
        <v>1341</v>
      </c>
      <c r="O393" s="310">
        <v>927</v>
      </c>
      <c r="P393" s="310">
        <v>1747</v>
      </c>
      <c r="Q393" s="310">
        <v>11093</v>
      </c>
      <c r="R393" s="310">
        <v>281</v>
      </c>
      <c r="S393" s="310">
        <v>5265</v>
      </c>
      <c r="T393" s="310">
        <v>15036</v>
      </c>
      <c r="U393" s="310">
        <v>51</v>
      </c>
      <c r="V393" s="310">
        <v>4678</v>
      </c>
      <c r="W393" s="310">
        <v>38</v>
      </c>
      <c r="X393" s="310">
        <v>18238</v>
      </c>
      <c r="Y393" s="310">
        <v>459</v>
      </c>
      <c r="Z393" s="310">
        <v>4</v>
      </c>
      <c r="AA393" s="310">
        <v>1</v>
      </c>
      <c r="AB393" s="310">
        <v>1</v>
      </c>
      <c r="AC393" s="310">
        <v>70</v>
      </c>
      <c r="AD393" s="310">
        <v>21</v>
      </c>
      <c r="AE393" s="310">
        <v>26</v>
      </c>
      <c r="AF393" s="310">
        <v>15</v>
      </c>
      <c r="AG393" s="310">
        <v>43</v>
      </c>
      <c r="AH393" s="310">
        <v>149</v>
      </c>
      <c r="AI393" s="310">
        <v>2610</v>
      </c>
      <c r="AJ393" s="310">
        <v>1</v>
      </c>
      <c r="AK393" s="310">
        <v>11129</v>
      </c>
      <c r="AL393" s="310">
        <v>111889</v>
      </c>
      <c r="AM393" s="310">
        <v>1944</v>
      </c>
      <c r="AN393" s="310">
        <v>22474</v>
      </c>
      <c r="AO393" s="310">
        <v>7</v>
      </c>
      <c r="AP393" s="310">
        <v>8</v>
      </c>
      <c r="AQ393" s="310">
        <v>12009</v>
      </c>
      <c r="AR393" s="310">
        <v>0</v>
      </c>
      <c r="AS393" s="310">
        <v>464</v>
      </c>
      <c r="AT393" s="310">
        <v>39</v>
      </c>
      <c r="AU393" s="310">
        <v>10242</v>
      </c>
      <c r="AV393" s="310">
        <v>2415</v>
      </c>
      <c r="AW393" s="310">
        <v>3462</v>
      </c>
      <c r="AX393" s="310">
        <v>15220</v>
      </c>
      <c r="AY393" s="310">
        <v>13</v>
      </c>
      <c r="AZ393" s="310">
        <v>1</v>
      </c>
      <c r="BA393" s="310">
        <v>734</v>
      </c>
      <c r="BB393" s="310">
        <v>0</v>
      </c>
      <c r="BC393" s="310">
        <v>173</v>
      </c>
      <c r="BD393" s="310">
        <v>1588</v>
      </c>
      <c r="BE393" s="310">
        <v>0</v>
      </c>
      <c r="BF393" s="310">
        <v>0</v>
      </c>
      <c r="BG393" s="310">
        <v>8514</v>
      </c>
      <c r="BH393" s="310">
        <v>0</v>
      </c>
      <c r="BI393" s="310">
        <v>0</v>
      </c>
      <c r="BJ393" s="310">
        <v>0</v>
      </c>
      <c r="BK393" s="310">
        <v>13</v>
      </c>
      <c r="BL393" s="310">
        <v>5431</v>
      </c>
      <c r="BM393" s="310">
        <v>0</v>
      </c>
      <c r="BN393" s="310">
        <v>6</v>
      </c>
      <c r="BO393" s="310">
        <v>0</v>
      </c>
      <c r="BP393" s="310">
        <v>46520</v>
      </c>
      <c r="BQ393" s="310">
        <v>80503</v>
      </c>
      <c r="BR393" s="310">
        <v>1405</v>
      </c>
      <c r="BS393" s="310">
        <v>19</v>
      </c>
      <c r="BT393" s="310">
        <v>27314</v>
      </c>
      <c r="BU393" s="310">
        <v>933</v>
      </c>
      <c r="BV393" s="310">
        <v>1</v>
      </c>
      <c r="BW393" s="310">
        <v>0</v>
      </c>
      <c r="BX393" s="310">
        <v>1</v>
      </c>
      <c r="BY393" s="310">
        <v>0</v>
      </c>
      <c r="BZ393" s="310">
        <v>283</v>
      </c>
      <c r="CA393" s="310">
        <v>0</v>
      </c>
      <c r="CB393" s="310">
        <v>31927</v>
      </c>
      <c r="CC393" s="310">
        <v>13727</v>
      </c>
      <c r="CD393" s="310">
        <v>132893</v>
      </c>
      <c r="CE393" s="310">
        <v>302504</v>
      </c>
      <c r="CF393" s="310">
        <v>41729</v>
      </c>
      <c r="CG393" s="310">
        <v>75899</v>
      </c>
      <c r="CH393" s="310">
        <v>0</v>
      </c>
      <c r="CI393" s="310">
        <v>13</v>
      </c>
      <c r="CJ393" s="310">
        <v>0</v>
      </c>
      <c r="CK393" s="310">
        <v>70</v>
      </c>
      <c r="CL393" s="310">
        <v>68913</v>
      </c>
      <c r="CM393" s="310">
        <v>49908</v>
      </c>
      <c r="CN393" s="310">
        <v>208585</v>
      </c>
      <c r="CO393" s="310">
        <v>49122</v>
      </c>
      <c r="CP393" s="310">
        <v>315</v>
      </c>
      <c r="CQ393" s="310">
        <v>19780</v>
      </c>
      <c r="CR393" s="310">
        <v>1686</v>
      </c>
      <c r="CS393" s="310">
        <v>51</v>
      </c>
      <c r="CT393" s="310">
        <v>0</v>
      </c>
      <c r="CU393" s="310">
        <v>0</v>
      </c>
      <c r="CV393" s="310">
        <v>0</v>
      </c>
      <c r="CW393" s="310">
        <v>13</v>
      </c>
      <c r="CX393" s="310">
        <v>0</v>
      </c>
      <c r="CY393" s="310">
        <v>23</v>
      </c>
      <c r="DB393" s="6"/>
      <c r="DD393" s="6">
        <f t="shared" ref="DD393" si="1612">SUM(AY393:AZ393,BE393:CQ393)</f>
        <v>1166342</v>
      </c>
      <c r="DE393" s="6">
        <f t="shared" ref="DE393" si="1613">SUM(M393:N393,P393:AX393,BB393:BC393)+CR393+CS393</f>
        <v>288290</v>
      </c>
      <c r="DF393" s="8">
        <f t="shared" ref="DF393" si="1614">SUM(DD393:DE393)</f>
        <v>1454632</v>
      </c>
      <c r="DG393" s="8"/>
      <c r="DK393" s="6">
        <f t="shared" si="1544"/>
        <v>76642</v>
      </c>
      <c r="DL393" s="6">
        <f t="shared" si="1545"/>
        <v>147591</v>
      </c>
      <c r="DM393" s="6">
        <f t="shared" si="1546"/>
        <v>15036</v>
      </c>
      <c r="DN393" s="6">
        <f t="shared" si="1547"/>
        <v>49754</v>
      </c>
      <c r="DO393" s="6">
        <f t="shared" si="1548"/>
        <v>511789</v>
      </c>
      <c r="DP393" s="6">
        <f t="shared" si="1549"/>
        <v>109412</v>
      </c>
      <c r="DQ393" s="6">
        <f t="shared" si="1550"/>
        <v>0</v>
      </c>
      <c r="DR393" s="6">
        <f t="shared" si="1551"/>
        <v>13741</v>
      </c>
      <c r="DS393" s="6">
        <f t="shared" si="1552"/>
        <v>46521</v>
      </c>
      <c r="DT393" s="6">
        <f t="shared" si="1553"/>
        <v>13946</v>
      </c>
      <c r="DU393" s="6">
        <f t="shared" si="1554"/>
        <v>118821</v>
      </c>
      <c r="DV393" s="6">
        <f t="shared" ref="DV393" si="1615">SUM(CN393:CQ393)</f>
        <v>277802</v>
      </c>
      <c r="DW393" s="6">
        <f t="shared" ref="DW393" si="1616">SUM(DK393:DV393)</f>
        <v>1381055</v>
      </c>
      <c r="DX393" s="6"/>
      <c r="DY393" s="6">
        <f t="shared" ref="DY393" si="1617">DO393+DT393+H393+I393+J393+K393+CG393</f>
        <v>675338</v>
      </c>
      <c r="DZ393" s="6">
        <f t="shared" ref="DZ393" si="1618">SUM(G393:L393,O393)</f>
        <v>77716</v>
      </c>
      <c r="EA393" s="6"/>
      <c r="EB393" s="6">
        <f t="shared" ref="EB393" si="1619">DZ393+DF393</f>
        <v>1532348</v>
      </c>
      <c r="EC393" s="6"/>
      <c r="ED393" s="6"/>
      <c r="EE393" s="6"/>
      <c r="EF393" s="6">
        <f t="shared" ref="EF393" si="1620">SUM(BE393:CQ393)-CG393-BP393</f>
        <v>1043909</v>
      </c>
      <c r="EG393" s="6">
        <f t="shared" ref="EG393" si="1621">SUM(M393:BC393)-AQ393</f>
        <v>276219</v>
      </c>
      <c r="EH393" s="6">
        <f t="shared" ref="EH393" si="1622">SUM(EF393:EG393)</f>
        <v>1320128</v>
      </c>
      <c r="EI393" s="36">
        <f t="shared" ref="EI393" si="1623">(EF393-EF392)/EF392</f>
        <v>1.4653495756842947E-2</v>
      </c>
      <c r="EJ393" s="36">
        <f t="shared" si="1611"/>
        <v>5.0320918656944508E-3</v>
      </c>
      <c r="EK393" s="6"/>
      <c r="EN393" s="104"/>
      <c r="EO393" s="104"/>
      <c r="FC393" s="6">
        <f t="shared" si="1462"/>
        <v>91678</v>
      </c>
      <c r="FD393" s="6">
        <f t="shared" si="1463"/>
        <v>197345</v>
      </c>
      <c r="FE393" s="32">
        <f t="shared" si="1464"/>
        <v>511789</v>
      </c>
      <c r="FF393" s="34">
        <f t="shared" si="1465"/>
        <v>13946</v>
      </c>
      <c r="FG393" s="31">
        <f t="shared" si="1466"/>
        <v>155933</v>
      </c>
      <c r="FH393" s="6">
        <f t="shared" si="1467"/>
        <v>13741</v>
      </c>
      <c r="FI393" s="6">
        <f t="shared" si="1468"/>
        <v>-396623</v>
      </c>
      <c r="FJ393" s="6">
        <f t="shared" si="1493"/>
        <v>396623</v>
      </c>
    </row>
    <row r="394" spans="2:166" s="311" customFormat="1">
      <c r="B394" s="50">
        <v>43952</v>
      </c>
      <c r="C394" s="311">
        <v>0</v>
      </c>
      <c r="D394" s="311">
        <v>0</v>
      </c>
      <c r="E394" s="311">
        <v>0</v>
      </c>
      <c r="F394" s="311">
        <v>0</v>
      </c>
      <c r="G394" s="311">
        <v>1772</v>
      </c>
      <c r="H394" s="311">
        <v>19559</v>
      </c>
      <c r="I394" s="311">
        <v>51471</v>
      </c>
      <c r="J394" s="311">
        <v>933</v>
      </c>
      <c r="K394" s="311">
        <v>2397</v>
      </c>
      <c r="L394" s="311">
        <v>1496</v>
      </c>
      <c r="M394" s="311">
        <v>34175</v>
      </c>
      <c r="N394" s="311">
        <v>1337</v>
      </c>
      <c r="O394" s="311">
        <v>981</v>
      </c>
      <c r="P394" s="311">
        <v>1841</v>
      </c>
      <c r="Q394" s="311">
        <v>11524</v>
      </c>
      <c r="R394" s="311">
        <v>290</v>
      </c>
      <c r="S394" s="311">
        <v>5273</v>
      </c>
      <c r="T394" s="311">
        <v>15429</v>
      </c>
      <c r="U394" s="311">
        <v>44</v>
      </c>
      <c r="V394" s="311">
        <v>4794</v>
      </c>
      <c r="W394" s="311">
        <v>47</v>
      </c>
      <c r="X394" s="311">
        <v>19207</v>
      </c>
      <c r="Y394" s="311">
        <v>468</v>
      </c>
      <c r="Z394" s="311">
        <v>3</v>
      </c>
      <c r="AA394" s="311">
        <v>3</v>
      </c>
      <c r="AB394" s="311">
        <v>2</v>
      </c>
      <c r="AC394" s="311">
        <v>73</v>
      </c>
      <c r="AD394" s="311">
        <v>21</v>
      </c>
      <c r="AE394" s="311">
        <v>26</v>
      </c>
      <c r="AF394" s="311">
        <v>16</v>
      </c>
      <c r="AG394" s="311">
        <v>48</v>
      </c>
      <c r="AH394" s="311">
        <v>167</v>
      </c>
      <c r="AI394" s="311">
        <v>2636</v>
      </c>
      <c r="AJ394" s="311">
        <v>1</v>
      </c>
      <c r="AK394" s="311">
        <v>11751</v>
      </c>
      <c r="AL394" s="311">
        <v>113005</v>
      </c>
      <c r="AM394" s="311">
        <v>1919</v>
      </c>
      <c r="AN394" s="311">
        <v>22997</v>
      </c>
      <c r="AO394" s="311">
        <v>7</v>
      </c>
      <c r="AP394" s="311">
        <v>8</v>
      </c>
      <c r="AQ394" s="311">
        <v>12272</v>
      </c>
      <c r="AR394" s="311">
        <v>0</v>
      </c>
      <c r="AS394" s="311">
        <v>498</v>
      </c>
      <c r="AT394" s="311">
        <v>40</v>
      </c>
      <c r="AU394" s="311">
        <v>10432</v>
      </c>
      <c r="AV394" s="311">
        <v>2464</v>
      </c>
      <c r="AW394" s="311">
        <v>3481</v>
      </c>
      <c r="AX394" s="311">
        <v>15566</v>
      </c>
      <c r="AY394" s="311">
        <v>15</v>
      </c>
      <c r="AZ394" s="311">
        <v>1</v>
      </c>
      <c r="BA394" s="311">
        <v>756</v>
      </c>
      <c r="BB394" s="311">
        <v>0</v>
      </c>
      <c r="BC394" s="311">
        <v>193</v>
      </c>
      <c r="BD394" s="311">
        <v>1649</v>
      </c>
      <c r="BE394" s="311">
        <v>0</v>
      </c>
      <c r="BF394" s="311">
        <v>0</v>
      </c>
      <c r="BG394" s="311">
        <v>8575</v>
      </c>
      <c r="BH394" s="311">
        <v>0</v>
      </c>
      <c r="BI394" s="311">
        <v>0</v>
      </c>
      <c r="BJ394" s="311">
        <v>0</v>
      </c>
      <c r="BK394" s="311">
        <v>14</v>
      </c>
      <c r="BL394" s="311">
        <v>5513</v>
      </c>
      <c r="BM394" s="311">
        <v>0</v>
      </c>
      <c r="BN394" s="311">
        <v>10</v>
      </c>
      <c r="BO394" s="311">
        <v>0</v>
      </c>
      <c r="BP394" s="311">
        <v>45220</v>
      </c>
      <c r="BQ394" s="311">
        <v>84437</v>
      </c>
      <c r="BR394" s="311">
        <v>1487</v>
      </c>
      <c r="BS394" s="311">
        <v>22</v>
      </c>
      <c r="BT394" s="311">
        <v>29677</v>
      </c>
      <c r="BU394" s="311">
        <v>1048</v>
      </c>
      <c r="BV394" s="311">
        <v>4</v>
      </c>
      <c r="BW394" s="311">
        <v>0</v>
      </c>
      <c r="BX394" s="311">
        <v>1</v>
      </c>
      <c r="BY394" s="311">
        <v>0</v>
      </c>
      <c r="BZ394" s="311">
        <v>272</v>
      </c>
      <c r="CA394" s="311">
        <v>0</v>
      </c>
      <c r="CB394" s="311">
        <v>32003</v>
      </c>
      <c r="CC394" s="311">
        <v>15752</v>
      </c>
      <c r="CD394" s="311">
        <v>136909</v>
      </c>
      <c r="CE394" s="311">
        <v>313174</v>
      </c>
      <c r="CF394" s="311">
        <v>43500</v>
      </c>
      <c r="CG394" s="311">
        <v>76873</v>
      </c>
      <c r="CH394" s="311">
        <v>0</v>
      </c>
      <c r="CI394" s="311">
        <v>15</v>
      </c>
      <c r="CJ394" s="311">
        <v>0</v>
      </c>
      <c r="CK394" s="311">
        <v>75</v>
      </c>
      <c r="CL394" s="311">
        <v>71044</v>
      </c>
      <c r="CM394" s="311">
        <v>51496</v>
      </c>
      <c r="CN394" s="311">
        <v>222745</v>
      </c>
      <c r="CO394" s="311">
        <v>51403</v>
      </c>
      <c r="CP394" s="311">
        <v>189</v>
      </c>
      <c r="CQ394" s="311">
        <v>19614</v>
      </c>
      <c r="CR394" s="311">
        <v>1665</v>
      </c>
      <c r="CS394" s="311">
        <v>45</v>
      </c>
      <c r="CT394" s="311">
        <v>0</v>
      </c>
      <c r="CU394" s="311">
        <v>0</v>
      </c>
      <c r="CV394" s="311">
        <v>0</v>
      </c>
      <c r="CW394" s="311">
        <v>13</v>
      </c>
      <c r="CX394" s="311">
        <v>0</v>
      </c>
      <c r="CY394" s="311">
        <v>23</v>
      </c>
      <c r="DB394" s="6"/>
      <c r="DD394" s="6">
        <f t="shared" ref="DD394" si="1624">SUM(AY394:AZ394,BE394:CQ394)</f>
        <v>1211088</v>
      </c>
      <c r="DE394" s="6">
        <f t="shared" ref="DE394" si="1625">SUM(M394:N394,P394:AX394,BB394:BC394)+CR394+CS394</f>
        <v>293768</v>
      </c>
      <c r="DF394" s="8">
        <f t="shared" ref="DF394" si="1626">SUM(DD394:DE394)</f>
        <v>1504856</v>
      </c>
      <c r="DG394" s="8"/>
      <c r="DK394" s="6">
        <f t="shared" ref="DK394" si="1627">SUM(M394:N394,P394:S394,U394:X394)</f>
        <v>78532</v>
      </c>
      <c r="DL394" s="6">
        <f t="shared" ref="DL394" si="1628">SUM(Y394:Z394,AB394:AF394,AH394:AM394,AO394,AS394:AW394,BA394:BC394)+CR394+CS394</f>
        <v>149669</v>
      </c>
      <c r="DM394" s="6">
        <f t="shared" ref="DM394" si="1629">T394</f>
        <v>15429</v>
      </c>
      <c r="DN394" s="6">
        <f t="shared" ref="DN394" si="1630">AG394+AX394+AN394+AP394+AQ394+AR394</f>
        <v>50891</v>
      </c>
      <c r="DO394" s="6">
        <f t="shared" ref="DO394" si="1631">SUM(AY394,BF394,BI394,BK394,BO394,BR394:BS394,BU394,BW394,BZ394:CB394,CD394:CF394,CJ394:CK394)</f>
        <v>528519</v>
      </c>
      <c r="DP394" s="6">
        <f t="shared" ref="DP394" si="1632">SUM(AZ394,BD394:BE394,BH394,BN394,BQ394,BT394)</f>
        <v>115774</v>
      </c>
      <c r="DQ394" s="6">
        <f t="shared" ref="DQ394" si="1633">BY394</f>
        <v>0</v>
      </c>
      <c r="DR394" s="6">
        <f t="shared" ref="DR394" si="1634">CC394+CI394+AA394</f>
        <v>15770</v>
      </c>
      <c r="DS394" s="6">
        <f t="shared" ref="DS394" si="1635">BP394+BV394</f>
        <v>45224</v>
      </c>
      <c r="DT394" s="6">
        <f t="shared" ref="DT394" si="1636">BG394+BJ394+BL394+BM394+BX394</f>
        <v>14089</v>
      </c>
      <c r="DU394" s="6">
        <f t="shared" ref="DU394" si="1637">SUM(CL394:CM394)</f>
        <v>122540</v>
      </c>
      <c r="DV394" s="6">
        <f t="shared" ref="DV394" si="1638">SUM(CN394:CQ394)</f>
        <v>293951</v>
      </c>
      <c r="DW394" s="6">
        <f t="shared" ref="DW394" si="1639">SUM(DK394:DV394)</f>
        <v>1430388</v>
      </c>
      <c r="DX394" s="6"/>
      <c r="DY394" s="6">
        <f t="shared" ref="DY394" si="1640">DO394+DT394+H394+I394+J394+K394+CG394</f>
        <v>693841</v>
      </c>
      <c r="DZ394" s="6">
        <f t="shared" ref="DZ394" si="1641">SUM(G394:L394,O394)</f>
        <v>78609</v>
      </c>
      <c r="EA394" s="6"/>
      <c r="EB394" s="6">
        <f t="shared" ref="EB394" si="1642">DZ394+DF394</f>
        <v>1583465</v>
      </c>
      <c r="EC394" s="6"/>
      <c r="ED394" s="6"/>
      <c r="EE394" s="6"/>
      <c r="EF394" s="6">
        <f t="shared" ref="EF394" si="1643">SUM(BE394:CQ394)-CG394-BP394</f>
        <v>1088979</v>
      </c>
      <c r="EG394" s="6">
        <f t="shared" ref="EG394" si="1644">SUM(M394:BC394)-AQ394</f>
        <v>281539</v>
      </c>
      <c r="EH394" s="6">
        <f t="shared" ref="EH394" si="1645">SUM(EF394:EG394)</f>
        <v>1370518</v>
      </c>
      <c r="EI394" s="36">
        <f t="shared" ref="EI394" si="1646">(EF394-EF393)/EF393</f>
        <v>4.317426135803025E-2</v>
      </c>
      <c r="EJ394" s="36">
        <f t="shared" si="1611"/>
        <v>1.9260079864165752E-2</v>
      </c>
      <c r="EK394" s="6"/>
      <c r="EN394" s="104"/>
      <c r="EO394" s="104"/>
      <c r="FC394" s="6">
        <f t="shared" si="1462"/>
        <v>93961</v>
      </c>
      <c r="FD394" s="6">
        <f t="shared" si="1463"/>
        <v>200560</v>
      </c>
      <c r="FE394" s="32">
        <f t="shared" si="1464"/>
        <v>528519</v>
      </c>
      <c r="FF394" s="34">
        <f t="shared" si="1465"/>
        <v>14089</v>
      </c>
      <c r="FG394" s="31">
        <f t="shared" si="1466"/>
        <v>160998</v>
      </c>
      <c r="FH394" s="6">
        <f t="shared" si="1467"/>
        <v>15770</v>
      </c>
      <c r="FI394" s="6">
        <f t="shared" si="1468"/>
        <v>-416491</v>
      </c>
      <c r="FJ394" s="6">
        <f t="shared" si="1493"/>
        <v>416491</v>
      </c>
    </row>
    <row r="395" spans="2:166" s="309" customFormat="1">
      <c r="B395" s="50">
        <v>43983</v>
      </c>
      <c r="C395" s="312">
        <v>0</v>
      </c>
      <c r="D395" s="312">
        <v>0</v>
      </c>
      <c r="E395" s="312">
        <v>0</v>
      </c>
      <c r="F395" s="312">
        <v>0</v>
      </c>
      <c r="G395" s="312">
        <v>1841</v>
      </c>
      <c r="H395" s="312">
        <v>19254</v>
      </c>
      <c r="I395" s="312">
        <v>51500</v>
      </c>
      <c r="J395" s="312">
        <v>925</v>
      </c>
      <c r="K395" s="312">
        <v>2425</v>
      </c>
      <c r="L395" s="312">
        <v>1540</v>
      </c>
      <c r="M395" s="312">
        <v>34130</v>
      </c>
      <c r="N395" s="312">
        <v>1332</v>
      </c>
      <c r="O395" s="312">
        <v>1027</v>
      </c>
      <c r="P395" s="312">
        <v>1874</v>
      </c>
      <c r="Q395" s="312">
        <v>11562</v>
      </c>
      <c r="R395" s="312">
        <v>288</v>
      </c>
      <c r="S395" s="312">
        <v>5204</v>
      </c>
      <c r="T395" s="312">
        <v>15530</v>
      </c>
      <c r="U395" s="312">
        <v>57</v>
      </c>
      <c r="V395" s="312">
        <v>4773</v>
      </c>
      <c r="W395" s="312">
        <v>53</v>
      </c>
      <c r="X395" s="312">
        <v>19581</v>
      </c>
      <c r="Y395" s="312">
        <v>472</v>
      </c>
      <c r="Z395" s="312">
        <v>3</v>
      </c>
      <c r="AA395" s="312">
        <v>2</v>
      </c>
      <c r="AB395" s="312">
        <v>2</v>
      </c>
      <c r="AC395" s="312">
        <v>78</v>
      </c>
      <c r="AD395" s="312">
        <v>21</v>
      </c>
      <c r="AE395" s="312">
        <v>26</v>
      </c>
      <c r="AF395" s="312">
        <v>16</v>
      </c>
      <c r="AG395" s="312">
        <v>48</v>
      </c>
      <c r="AH395" s="312">
        <v>186</v>
      </c>
      <c r="AI395" s="312">
        <v>2634</v>
      </c>
      <c r="AJ395" s="312">
        <v>1</v>
      </c>
      <c r="AK395" s="312">
        <v>11968</v>
      </c>
      <c r="AL395" s="312">
        <v>113287</v>
      </c>
      <c r="AM395" s="312">
        <v>1901</v>
      </c>
      <c r="AN395" s="312">
        <v>23077</v>
      </c>
      <c r="AO395" s="312">
        <v>5</v>
      </c>
      <c r="AP395" s="312">
        <v>8</v>
      </c>
      <c r="AQ395" s="312">
        <v>12287</v>
      </c>
      <c r="AR395" s="312">
        <v>0</v>
      </c>
      <c r="AS395" s="312">
        <v>549</v>
      </c>
      <c r="AT395" s="312">
        <v>40</v>
      </c>
      <c r="AU395" s="312">
        <v>10460</v>
      </c>
      <c r="AV395" s="312">
        <v>2480</v>
      </c>
      <c r="AW395" s="312">
        <v>3472</v>
      </c>
      <c r="AX395" s="312">
        <v>15645</v>
      </c>
      <c r="AY395" s="312">
        <v>9</v>
      </c>
      <c r="AZ395" s="312">
        <v>0</v>
      </c>
      <c r="BA395" s="312">
        <v>768</v>
      </c>
      <c r="BB395" s="312">
        <v>0</v>
      </c>
      <c r="BC395" s="312">
        <v>210</v>
      </c>
      <c r="BD395" s="312">
        <v>1668</v>
      </c>
      <c r="BE395" s="312">
        <v>0</v>
      </c>
      <c r="BF395" s="312">
        <v>0</v>
      </c>
      <c r="BG395" s="312">
        <v>8633</v>
      </c>
      <c r="BH395" s="312">
        <v>0</v>
      </c>
      <c r="BI395" s="312">
        <v>0</v>
      </c>
      <c r="BJ395" s="312">
        <v>0</v>
      </c>
      <c r="BK395" s="312">
        <v>13</v>
      </c>
      <c r="BL395" s="312">
        <v>5510</v>
      </c>
      <c r="BM395" s="312">
        <v>0</v>
      </c>
      <c r="BN395" s="312">
        <v>6</v>
      </c>
      <c r="BO395" s="312">
        <v>0</v>
      </c>
      <c r="BP395" s="312">
        <v>45024</v>
      </c>
      <c r="BQ395" s="312">
        <v>85908</v>
      </c>
      <c r="BR395" s="312">
        <v>1500</v>
      </c>
      <c r="BS395" s="312">
        <v>21</v>
      </c>
      <c r="BT395" s="312">
        <v>30729</v>
      </c>
      <c r="BU395" s="312">
        <v>1059</v>
      </c>
      <c r="BV395" s="312">
        <v>2</v>
      </c>
      <c r="BW395" s="312">
        <v>0</v>
      </c>
      <c r="BX395" s="312">
        <v>1</v>
      </c>
      <c r="BY395" s="312">
        <v>0</v>
      </c>
      <c r="BZ395" s="312">
        <v>269</v>
      </c>
      <c r="CA395" s="312">
        <v>0</v>
      </c>
      <c r="CB395" s="312">
        <v>31732</v>
      </c>
      <c r="CC395" s="312">
        <v>16921</v>
      </c>
      <c r="CD395" s="312">
        <v>137609</v>
      </c>
      <c r="CE395" s="312">
        <v>318579</v>
      </c>
      <c r="CF395" s="312">
        <v>44689</v>
      </c>
      <c r="CG395" s="312">
        <v>77419</v>
      </c>
      <c r="CH395" s="312">
        <v>0</v>
      </c>
      <c r="CI395" s="312">
        <v>16</v>
      </c>
      <c r="CJ395" s="312">
        <v>0</v>
      </c>
      <c r="CK395" s="312">
        <v>71</v>
      </c>
      <c r="CL395" s="312">
        <v>72133</v>
      </c>
      <c r="CM395" s="312">
        <v>52027</v>
      </c>
      <c r="CN395" s="312">
        <v>229862</v>
      </c>
      <c r="CO395" s="312">
        <v>52500</v>
      </c>
      <c r="CP395" s="312">
        <v>226</v>
      </c>
      <c r="CQ395" s="312">
        <v>19352</v>
      </c>
      <c r="CR395" s="312">
        <v>1629</v>
      </c>
      <c r="CS395" s="312">
        <v>44</v>
      </c>
      <c r="CT395" s="312">
        <v>0</v>
      </c>
      <c r="CU395" s="312">
        <v>0</v>
      </c>
      <c r="CV395" s="312">
        <v>0</v>
      </c>
      <c r="CW395" s="312">
        <v>13</v>
      </c>
      <c r="CX395" s="312">
        <v>0</v>
      </c>
      <c r="CY395" s="312">
        <v>23</v>
      </c>
      <c r="DB395" s="6"/>
      <c r="DD395" s="6">
        <f t="shared" ref="DD395" si="1647">SUM(AY395:AZ395,BE395:CQ395)</f>
        <v>1231820</v>
      </c>
      <c r="DE395" s="6">
        <f t="shared" ref="DE395" si="1648">SUM(M395:N395,P395:AX395,BB395:BC395)+CR395+CS395</f>
        <v>294935</v>
      </c>
      <c r="DF395" s="8">
        <f t="shared" ref="DF395" si="1649">SUM(DD395:DE395)</f>
        <v>1526755</v>
      </c>
      <c r="DG395" s="8"/>
      <c r="DH395" s="312"/>
      <c r="DI395" s="312"/>
      <c r="DJ395" s="312"/>
      <c r="DK395" s="6">
        <f t="shared" ref="DK395" si="1650">SUM(M395:N395,P395:S395,U395:X395)</f>
        <v>78854</v>
      </c>
      <c r="DL395" s="6">
        <f t="shared" ref="DL395" si="1651">SUM(Y395:Z395,AB395:AF395,AH395:AM395,AO395,AS395:AW395,BA395:BC395)+CR395+CS395</f>
        <v>150252</v>
      </c>
      <c r="DM395" s="6">
        <f t="shared" ref="DM395" si="1652">T395</f>
        <v>15530</v>
      </c>
      <c r="DN395" s="6">
        <f t="shared" ref="DN395" si="1653">AG395+AX395+AN395+AP395+AQ395+AR395</f>
        <v>51065</v>
      </c>
      <c r="DO395" s="6">
        <f t="shared" ref="DO395" si="1654">SUM(AY395,BF395,BI395,BK395,BO395,BR395:BS395,BU395,BW395,BZ395:CB395,CD395:CF395,CJ395:CK395)</f>
        <v>535551</v>
      </c>
      <c r="DP395" s="6">
        <f t="shared" ref="DP395" si="1655">SUM(AZ395,BD395:BE395,BH395,BN395,BQ395,BT395)</f>
        <v>118311</v>
      </c>
      <c r="DQ395" s="6">
        <f t="shared" ref="DQ395" si="1656">BY395</f>
        <v>0</v>
      </c>
      <c r="DR395" s="6">
        <f t="shared" ref="DR395" si="1657">CC395+CI395+AA395</f>
        <v>16939</v>
      </c>
      <c r="DS395" s="6">
        <f t="shared" ref="DS395" si="1658">BP395+BV395</f>
        <v>45026</v>
      </c>
      <c r="DT395" s="6">
        <f t="shared" ref="DT395" si="1659">BG395+BJ395+BL395+BM395+BX395</f>
        <v>14144</v>
      </c>
      <c r="DU395" s="6">
        <f t="shared" ref="DU395" si="1660">SUM(CL395:CM395)</f>
        <v>124160</v>
      </c>
      <c r="DV395" s="6">
        <f t="shared" ref="DV395" si="1661">SUM(CN395:CQ395)</f>
        <v>301940</v>
      </c>
      <c r="DW395" s="6">
        <f t="shared" ref="DW395" si="1662">SUM(DK395:DV395)</f>
        <v>1451772</v>
      </c>
      <c r="DX395" s="6"/>
      <c r="DY395" s="6">
        <f t="shared" ref="DY395" si="1663">DO395+DT395+H395+I395+J395+K395+CG395</f>
        <v>701218</v>
      </c>
      <c r="DZ395" s="6">
        <f t="shared" ref="DZ395" si="1664">SUM(G395:L395,O395)</f>
        <v>78512</v>
      </c>
      <c r="EA395" s="6"/>
      <c r="EB395" s="6">
        <f t="shared" ref="EB395" si="1665">DZ395+DF395</f>
        <v>1605267</v>
      </c>
      <c r="EC395" s="6"/>
      <c r="ED395" s="6"/>
      <c r="EE395" s="6"/>
      <c r="EF395" s="6">
        <f t="shared" ref="EF395" si="1666">SUM(BE395:CQ395)-CG395-BP395</f>
        <v>1109368</v>
      </c>
      <c r="EG395" s="6">
        <f t="shared" ref="EG395" si="1667">SUM(M395:BC395)-AQ395</f>
        <v>282779</v>
      </c>
      <c r="EH395" s="6">
        <f t="shared" ref="EH395" si="1668">SUM(EF395:EG395)</f>
        <v>1392147</v>
      </c>
      <c r="EI395" s="36">
        <f t="shared" ref="EI395" si="1669">(EF395-EF394)/EF394</f>
        <v>1.8723042409449584E-2</v>
      </c>
      <c r="EJ395" s="36">
        <f t="shared" si="1611"/>
        <v>4.4043631610540639E-3</v>
      </c>
      <c r="EK395" s="6"/>
      <c r="EN395" s="104"/>
      <c r="EO395" s="104"/>
      <c r="FC395" s="6">
        <f t="shared" ref="FC395:FC401" si="1670">SUM(DK395,DM395)</f>
        <v>94384</v>
      </c>
      <c r="FD395" s="6">
        <f t="shared" ref="FD395:FD401" si="1671">SUM(DL395,DN395)</f>
        <v>201317</v>
      </c>
      <c r="FE395" s="32">
        <f t="shared" ref="FE395:FE401" si="1672">SUM(DO395)</f>
        <v>535551</v>
      </c>
      <c r="FF395" s="34">
        <f t="shared" ref="FF395:FF401" si="1673">SUM(DT395)</f>
        <v>14144</v>
      </c>
      <c r="FG395" s="31">
        <f t="shared" ref="FG395:FG401" si="1674">SUM(DP395,DS395,DQ395)</f>
        <v>163337</v>
      </c>
      <c r="FH395" s="6">
        <f t="shared" ref="FH395:FH401" si="1675">SUM(DR395)</f>
        <v>16939</v>
      </c>
      <c r="FI395" s="6">
        <f t="shared" ref="FI395:FI401" si="1676">SUM(FC395:FH395)-DW395</f>
        <v>-426100</v>
      </c>
      <c r="FJ395" s="6">
        <f t="shared" si="1493"/>
        <v>426100</v>
      </c>
    </row>
    <row r="396" spans="2:166" s="314" customFormat="1">
      <c r="B396" s="50">
        <v>44013</v>
      </c>
      <c r="C396" s="314">
        <v>0</v>
      </c>
      <c r="D396" s="314">
        <v>0</v>
      </c>
      <c r="E396" s="314">
        <v>0</v>
      </c>
      <c r="F396" s="314">
        <v>0</v>
      </c>
      <c r="G396" s="314">
        <v>1936</v>
      </c>
      <c r="H396" s="314">
        <v>18931</v>
      </c>
      <c r="I396" s="314">
        <v>51553</v>
      </c>
      <c r="J396" s="314">
        <v>935</v>
      </c>
      <c r="K396" s="314">
        <v>2465</v>
      </c>
      <c r="L396" s="314">
        <v>1616</v>
      </c>
      <c r="M396" s="314">
        <v>34116</v>
      </c>
      <c r="N396" s="314">
        <v>1338</v>
      </c>
      <c r="O396" s="314">
        <v>1074</v>
      </c>
      <c r="P396" s="314">
        <v>1868</v>
      </c>
      <c r="Q396" s="314">
        <v>11560</v>
      </c>
      <c r="R396" s="314">
        <v>290</v>
      </c>
      <c r="S396" s="314">
        <v>5165</v>
      </c>
      <c r="T396" s="314">
        <v>15629</v>
      </c>
      <c r="U396" s="314">
        <v>62</v>
      </c>
      <c r="V396" s="314">
        <v>4761</v>
      </c>
      <c r="W396" s="314">
        <v>51</v>
      </c>
      <c r="X396" s="314">
        <v>19884</v>
      </c>
      <c r="Y396" s="314">
        <v>474</v>
      </c>
      <c r="Z396" s="314">
        <v>3</v>
      </c>
      <c r="AA396" s="314">
        <v>10</v>
      </c>
      <c r="AB396" s="314">
        <v>2</v>
      </c>
      <c r="AC396" s="314">
        <v>78</v>
      </c>
      <c r="AD396" s="314">
        <v>20</v>
      </c>
      <c r="AE396" s="314">
        <v>26</v>
      </c>
      <c r="AF396" s="314">
        <v>15</v>
      </c>
      <c r="AG396" s="314">
        <v>48</v>
      </c>
      <c r="AH396" s="314">
        <v>191</v>
      </c>
      <c r="AI396" s="314">
        <v>2630</v>
      </c>
      <c r="AJ396" s="314">
        <v>1</v>
      </c>
      <c r="AK396" s="314">
        <v>12158</v>
      </c>
      <c r="AL396" s="314">
        <v>113624</v>
      </c>
      <c r="AM396" s="314">
        <v>1880</v>
      </c>
      <c r="AN396" s="314">
        <v>23159</v>
      </c>
      <c r="AO396" s="314">
        <v>4</v>
      </c>
      <c r="AP396" s="314">
        <v>8</v>
      </c>
      <c r="AQ396" s="314">
        <v>12297</v>
      </c>
      <c r="AR396" s="314">
        <v>0</v>
      </c>
      <c r="AS396" s="314">
        <v>542</v>
      </c>
      <c r="AT396" s="314">
        <v>40</v>
      </c>
      <c r="AU396" s="314">
        <v>10494</v>
      </c>
      <c r="AV396" s="314">
        <v>2492</v>
      </c>
      <c r="AW396" s="314">
        <v>3460</v>
      </c>
      <c r="AX396" s="314">
        <v>15655</v>
      </c>
      <c r="AY396" s="314">
        <v>10</v>
      </c>
      <c r="AZ396" s="314">
        <v>0</v>
      </c>
      <c r="BA396" s="314">
        <v>777</v>
      </c>
      <c r="BB396" s="314">
        <v>0</v>
      </c>
      <c r="BC396" s="314">
        <v>220</v>
      </c>
      <c r="BD396" s="314">
        <v>1698</v>
      </c>
      <c r="BE396" s="314">
        <v>0</v>
      </c>
      <c r="BF396" s="314">
        <v>0</v>
      </c>
      <c r="BG396" s="314">
        <v>8682</v>
      </c>
      <c r="BH396" s="314">
        <v>0</v>
      </c>
      <c r="BI396" s="314">
        <v>0</v>
      </c>
      <c r="BJ396" s="314">
        <v>0</v>
      </c>
      <c r="BK396" s="314">
        <v>12</v>
      </c>
      <c r="BL396" s="314">
        <v>5520</v>
      </c>
      <c r="BM396" s="314">
        <v>0</v>
      </c>
      <c r="BN396" s="314">
        <v>4</v>
      </c>
      <c r="BO396" s="314">
        <v>0</v>
      </c>
      <c r="BP396" s="314">
        <v>44943</v>
      </c>
      <c r="BQ396" s="314">
        <v>87295</v>
      </c>
      <c r="BR396" s="314">
        <v>1515</v>
      </c>
      <c r="BS396" s="314">
        <v>24</v>
      </c>
      <c r="BT396" s="314">
        <v>31538</v>
      </c>
      <c r="BU396" s="314">
        <v>1054</v>
      </c>
      <c r="BV396" s="314">
        <v>3</v>
      </c>
      <c r="BW396" s="314">
        <v>0</v>
      </c>
      <c r="BX396" s="314">
        <v>1</v>
      </c>
      <c r="BY396" s="314">
        <v>0</v>
      </c>
      <c r="BZ396" s="314">
        <v>272</v>
      </c>
      <c r="CA396" s="314">
        <v>0</v>
      </c>
      <c r="CB396" s="314">
        <v>31357</v>
      </c>
      <c r="CC396" s="314">
        <v>17983</v>
      </c>
      <c r="CD396" s="314">
        <v>138264</v>
      </c>
      <c r="CE396" s="314">
        <v>323677</v>
      </c>
      <c r="CF396" s="314">
        <v>46533</v>
      </c>
      <c r="CG396" s="314">
        <v>77996</v>
      </c>
      <c r="CH396" s="314">
        <v>0</v>
      </c>
      <c r="CI396" s="314">
        <v>18</v>
      </c>
      <c r="CJ396" s="314">
        <v>0</v>
      </c>
      <c r="CK396" s="314">
        <v>70</v>
      </c>
      <c r="CL396" s="314">
        <v>73235</v>
      </c>
      <c r="CM396" s="314">
        <v>52501</v>
      </c>
      <c r="CN396" s="314">
        <v>237433</v>
      </c>
      <c r="CO396" s="314">
        <v>53558</v>
      </c>
      <c r="CP396" s="314">
        <v>276</v>
      </c>
      <c r="CQ396" s="314">
        <v>19178</v>
      </c>
      <c r="CR396" s="314">
        <v>1598</v>
      </c>
      <c r="CS396" s="314">
        <v>32</v>
      </c>
      <c r="CT396" s="314">
        <v>0</v>
      </c>
      <c r="CU396" s="314">
        <v>0</v>
      </c>
      <c r="CV396" s="314">
        <v>0</v>
      </c>
      <c r="CW396" s="314">
        <v>13</v>
      </c>
      <c r="CX396" s="314">
        <v>0</v>
      </c>
      <c r="CY396" s="314">
        <v>23</v>
      </c>
      <c r="DB396" s="6"/>
      <c r="DD396" s="6">
        <f t="shared" ref="DD396" si="1677">SUM(AY396:AZ396,BE396:CQ396)</f>
        <v>1252952</v>
      </c>
      <c r="DE396" s="6">
        <f t="shared" ref="DE396" si="1678">SUM(M396:N396,P396:AX396,BB396:BC396)+CR396+CS396</f>
        <v>295885</v>
      </c>
      <c r="DF396" s="8">
        <f t="shared" ref="DF396" si="1679">SUM(DD396:DE396)</f>
        <v>1548837</v>
      </c>
      <c r="DG396" s="8"/>
      <c r="DK396" s="6">
        <f t="shared" ref="DK396" si="1680">SUM(M396:N396,P396:S396,U396:X396)</f>
        <v>79095</v>
      </c>
      <c r="DL396" s="6">
        <f t="shared" ref="DL396" si="1681">SUM(Y396:Z396,AB396:AF396,AH396:AM396,AO396,AS396:AW396,BA396:BC396)+CR396+CS396</f>
        <v>150761</v>
      </c>
      <c r="DM396" s="6">
        <f t="shared" ref="DM396" si="1682">T396</f>
        <v>15629</v>
      </c>
      <c r="DN396" s="6">
        <f t="shared" ref="DN396" si="1683">AG396+AX396+AN396+AP396+AQ396+AR396</f>
        <v>51167</v>
      </c>
      <c r="DO396" s="6">
        <f t="shared" ref="DO396" si="1684">SUM(AY396,BF396,BI396,BK396,BO396,BR396:BS396,BU396,BW396,BZ396:CB396,CD396:CF396,CJ396:CK396)</f>
        <v>542788</v>
      </c>
      <c r="DP396" s="6">
        <f t="shared" ref="DP396" si="1685">SUM(AZ396,BD396:BE396,BH396,BN396,BQ396,BT396)</f>
        <v>120535</v>
      </c>
      <c r="DQ396" s="6">
        <f t="shared" ref="DQ396" si="1686">BY396</f>
        <v>0</v>
      </c>
      <c r="DR396" s="6">
        <f t="shared" ref="DR396" si="1687">CC396+CI396+AA396</f>
        <v>18011</v>
      </c>
      <c r="DS396" s="6">
        <f t="shared" ref="DS396" si="1688">BP396+BV396</f>
        <v>44946</v>
      </c>
      <c r="DT396" s="6">
        <f t="shared" ref="DT396" si="1689">BG396+BJ396+BL396+BM396+BX396</f>
        <v>14203</v>
      </c>
      <c r="DU396" s="6">
        <f t="shared" ref="DU396" si="1690">SUM(CL396:CM396)</f>
        <v>125736</v>
      </c>
      <c r="DV396" s="6">
        <f t="shared" ref="DV396" si="1691">SUM(CN396:CQ396)</f>
        <v>310445</v>
      </c>
      <c r="DW396" s="6">
        <f t="shared" ref="DW396" si="1692">SUM(DK396:DV396)</f>
        <v>1473316</v>
      </c>
      <c r="DX396" s="6"/>
      <c r="DY396" s="6">
        <f t="shared" ref="DY396" si="1693">DO396+DT396+H396+I396+J396+K396+CG396</f>
        <v>708871</v>
      </c>
      <c r="DZ396" s="6">
        <f t="shared" ref="DZ396" si="1694">SUM(G396:L396,O396)</f>
        <v>78510</v>
      </c>
      <c r="EA396" s="6"/>
      <c r="EB396" s="6">
        <f t="shared" ref="EB396" si="1695">DZ396+DF396</f>
        <v>1627347</v>
      </c>
      <c r="EC396" s="6"/>
      <c r="ED396" s="6"/>
      <c r="EE396" s="6"/>
      <c r="EF396" s="6">
        <f t="shared" ref="EF396" si="1696">SUM(BE396:CQ396)-CG396-BP396</f>
        <v>1130003</v>
      </c>
      <c r="EG396" s="6">
        <f t="shared" ref="EG396" si="1697">SUM(M396:BC396)-AQ396</f>
        <v>283819</v>
      </c>
      <c r="EH396" s="6">
        <f t="shared" ref="EH396" si="1698">SUM(EF396:EG396)</f>
        <v>1413822</v>
      </c>
      <c r="EI396" s="36">
        <f t="shared" ref="EI396" si="1699">(EF396-EF395)/EF395</f>
        <v>1.8600680747957395E-2</v>
      </c>
      <c r="EJ396" s="36">
        <f t="shared" si="1611"/>
        <v>3.677783710954491E-3</v>
      </c>
      <c r="EK396" s="6"/>
      <c r="EN396" s="104"/>
      <c r="EO396" s="104"/>
      <c r="FC396" s="6">
        <f t="shared" si="1670"/>
        <v>94724</v>
      </c>
      <c r="FD396" s="6">
        <f t="shared" si="1671"/>
        <v>201928</v>
      </c>
      <c r="FE396" s="32">
        <f t="shared" si="1672"/>
        <v>542788</v>
      </c>
      <c r="FF396" s="34">
        <f t="shared" si="1673"/>
        <v>14203</v>
      </c>
      <c r="FG396" s="31">
        <f t="shared" si="1674"/>
        <v>165481</v>
      </c>
      <c r="FH396" s="6">
        <f t="shared" si="1675"/>
        <v>18011</v>
      </c>
      <c r="FI396" s="6">
        <f t="shared" si="1676"/>
        <v>-436181</v>
      </c>
      <c r="FJ396" s="6">
        <f t="shared" si="1493"/>
        <v>436181</v>
      </c>
    </row>
    <row r="397" spans="2:166" s="315" customFormat="1">
      <c r="B397" s="50">
        <v>44044</v>
      </c>
      <c r="C397" s="315">
        <v>0</v>
      </c>
      <c r="D397" s="315">
        <v>0</v>
      </c>
      <c r="E397" s="315">
        <v>0</v>
      </c>
      <c r="F397" s="315">
        <v>0</v>
      </c>
      <c r="G397" s="315">
        <v>1739</v>
      </c>
      <c r="H397" s="315">
        <v>18752</v>
      </c>
      <c r="I397" s="315">
        <v>51631</v>
      </c>
      <c r="J397" s="315">
        <v>1137</v>
      </c>
      <c r="K397" s="315">
        <v>2822</v>
      </c>
      <c r="L397" s="315">
        <v>1644</v>
      </c>
      <c r="M397" s="315">
        <v>34102</v>
      </c>
      <c r="N397" s="315">
        <v>1327</v>
      </c>
      <c r="O397" s="315">
        <v>1126</v>
      </c>
      <c r="P397" s="315">
        <v>1889</v>
      </c>
      <c r="Q397" s="315">
        <v>11605</v>
      </c>
      <c r="R397" s="315">
        <v>290</v>
      </c>
      <c r="S397" s="315">
        <v>5161</v>
      </c>
      <c r="T397" s="315">
        <v>15702</v>
      </c>
      <c r="U397" s="315">
        <v>61</v>
      </c>
      <c r="V397" s="315">
        <v>4780</v>
      </c>
      <c r="W397" s="315">
        <v>58</v>
      </c>
      <c r="X397" s="315">
        <v>20159</v>
      </c>
      <c r="Y397" s="315">
        <v>478</v>
      </c>
      <c r="Z397" s="315">
        <v>4</v>
      </c>
      <c r="AA397" s="315">
        <v>1</v>
      </c>
      <c r="AB397" s="315">
        <v>2</v>
      </c>
      <c r="AC397" s="315">
        <v>78</v>
      </c>
      <c r="AD397" s="315">
        <v>20</v>
      </c>
      <c r="AE397" s="315">
        <v>26</v>
      </c>
      <c r="AF397" s="315">
        <v>15</v>
      </c>
      <c r="AG397" s="315">
        <v>49</v>
      </c>
      <c r="AH397" s="315">
        <v>217</v>
      </c>
      <c r="AI397" s="315">
        <v>2613</v>
      </c>
      <c r="AJ397" s="315">
        <v>1</v>
      </c>
      <c r="AK397" s="315">
        <v>12324</v>
      </c>
      <c r="AL397" s="315">
        <v>114025</v>
      </c>
      <c r="AM397" s="315">
        <v>1863</v>
      </c>
      <c r="AN397" s="315">
        <v>23274</v>
      </c>
      <c r="AO397" s="315">
        <v>5</v>
      </c>
      <c r="AP397" s="315">
        <v>8</v>
      </c>
      <c r="AQ397" s="315">
        <v>12293</v>
      </c>
      <c r="AR397" s="315">
        <v>0</v>
      </c>
      <c r="AS397" s="315">
        <v>575</v>
      </c>
      <c r="AT397" s="315">
        <v>40</v>
      </c>
      <c r="AU397" s="315">
        <v>10528</v>
      </c>
      <c r="AV397" s="315">
        <v>2499</v>
      </c>
      <c r="AW397" s="315">
        <v>3464</v>
      </c>
      <c r="AX397" s="315">
        <v>15685</v>
      </c>
      <c r="AY397" s="315">
        <v>12</v>
      </c>
      <c r="AZ397" s="315">
        <v>0</v>
      </c>
      <c r="BA397" s="315">
        <v>786</v>
      </c>
      <c r="BB397" s="315">
        <v>0</v>
      </c>
      <c r="BC397" s="315">
        <v>229</v>
      </c>
      <c r="BD397" s="315">
        <v>1737</v>
      </c>
      <c r="BE397" s="315">
        <v>0</v>
      </c>
      <c r="BF397" s="315">
        <v>0</v>
      </c>
      <c r="BG397" s="315">
        <v>8748</v>
      </c>
      <c r="BH397" s="315">
        <v>0</v>
      </c>
      <c r="BI397" s="315">
        <v>0</v>
      </c>
      <c r="BJ397" s="315">
        <v>0</v>
      </c>
      <c r="BK397" s="315">
        <v>12</v>
      </c>
      <c r="BL397" s="315">
        <v>5528</v>
      </c>
      <c r="BM397" s="315">
        <v>0</v>
      </c>
      <c r="BN397" s="315">
        <v>4</v>
      </c>
      <c r="BO397" s="315">
        <v>0</v>
      </c>
      <c r="BP397" s="315">
        <v>45360</v>
      </c>
      <c r="BQ397" s="315">
        <v>88623</v>
      </c>
      <c r="BR397" s="315">
        <v>1560</v>
      </c>
      <c r="BS397" s="315">
        <v>24</v>
      </c>
      <c r="BT397" s="315">
        <v>32347</v>
      </c>
      <c r="BU397" s="315">
        <v>1075</v>
      </c>
      <c r="BV397" s="315">
        <v>11</v>
      </c>
      <c r="BW397" s="315">
        <v>0</v>
      </c>
      <c r="BX397" s="315">
        <v>1</v>
      </c>
      <c r="BY397" s="315">
        <v>0</v>
      </c>
      <c r="BZ397" s="315">
        <v>278</v>
      </c>
      <c r="CA397" s="315">
        <v>0</v>
      </c>
      <c r="CB397" s="315">
        <v>31082</v>
      </c>
      <c r="CC397" s="315">
        <v>18722</v>
      </c>
      <c r="CD397" s="315">
        <v>138352</v>
      </c>
      <c r="CE397" s="315">
        <v>325764</v>
      </c>
      <c r="CF397" s="315">
        <v>48491</v>
      </c>
      <c r="CG397" s="315">
        <v>78089</v>
      </c>
      <c r="CH397" s="315">
        <v>0</v>
      </c>
      <c r="CI397" s="315">
        <v>14</v>
      </c>
      <c r="CJ397" s="315">
        <v>0</v>
      </c>
      <c r="CK397" s="315">
        <v>71</v>
      </c>
      <c r="CL397" s="315">
        <v>74121</v>
      </c>
      <c r="CM397" s="315">
        <v>53077</v>
      </c>
      <c r="CN397" s="315">
        <v>246579</v>
      </c>
      <c r="CO397" s="315">
        <v>55213</v>
      </c>
      <c r="CP397" s="315">
        <v>293</v>
      </c>
      <c r="CQ397" s="315">
        <v>18956</v>
      </c>
      <c r="CR397" s="315">
        <v>1591</v>
      </c>
      <c r="CS397" s="315">
        <v>30</v>
      </c>
      <c r="CT397" s="315">
        <v>0</v>
      </c>
      <c r="CU397" s="315">
        <v>0</v>
      </c>
      <c r="CV397" s="315">
        <v>0</v>
      </c>
      <c r="CW397" s="315">
        <v>13</v>
      </c>
      <c r="CX397" s="315">
        <v>0</v>
      </c>
      <c r="CY397" s="315">
        <v>23</v>
      </c>
      <c r="DB397" s="6"/>
      <c r="DD397" s="6">
        <f t="shared" ref="DD397" si="1700">SUM(AY397:AZ397,BE397:CQ397)</f>
        <v>1272407</v>
      </c>
      <c r="DE397" s="6">
        <f t="shared" ref="DE397" si="1701">SUM(M397:N397,P397:AX397,BB397:BC397)+CR397+CS397</f>
        <v>297071</v>
      </c>
      <c r="DF397" s="8">
        <f t="shared" ref="DF397" si="1702">SUM(DD397:DE397)</f>
        <v>1569478</v>
      </c>
      <c r="DG397" s="8"/>
      <c r="DK397" s="6">
        <f t="shared" ref="DK397" si="1703">SUM(M397:N397,P397:S397,U397:X397)</f>
        <v>79432</v>
      </c>
      <c r="DL397" s="6">
        <f t="shared" ref="DL397" si="1704">SUM(Y397:Z397,AB397:AF397,AH397:AM397,AO397,AS397:AW397,BA397:BC397)+CR397+CS397</f>
        <v>151413</v>
      </c>
      <c r="DM397" s="6">
        <f t="shared" ref="DM397" si="1705">T397</f>
        <v>15702</v>
      </c>
      <c r="DN397" s="6">
        <f t="shared" ref="DN397" si="1706">AG397+AX397+AN397+AP397+AQ397+AR397</f>
        <v>51309</v>
      </c>
      <c r="DO397" s="6">
        <f t="shared" ref="DO397" si="1707">SUM(AY397,BF397,BI397,BK397,BO397,BR397:BS397,BU397,BW397,BZ397:CB397,CD397:CF397,CJ397:CK397)</f>
        <v>546721</v>
      </c>
      <c r="DP397" s="6">
        <f t="shared" ref="DP397" si="1708">SUM(AZ397,BD397:BE397,BH397,BN397,BQ397,BT397)</f>
        <v>122711</v>
      </c>
      <c r="DQ397" s="6">
        <f t="shared" ref="DQ397" si="1709">BY397</f>
        <v>0</v>
      </c>
      <c r="DR397" s="6">
        <f t="shared" ref="DR397" si="1710">CC397+CI397+AA397</f>
        <v>18737</v>
      </c>
      <c r="DS397" s="6">
        <f t="shared" ref="DS397" si="1711">BP397+BV397</f>
        <v>45371</v>
      </c>
      <c r="DT397" s="6">
        <f t="shared" ref="DT397" si="1712">BG397+BJ397+BL397+BM397+BX397</f>
        <v>14277</v>
      </c>
      <c r="DU397" s="6">
        <f t="shared" ref="DU397" si="1713">SUM(CL397:CM397)</f>
        <v>127198</v>
      </c>
      <c r="DV397" s="6">
        <f t="shared" ref="DV397" si="1714">SUM(CN397:CQ397)</f>
        <v>321041</v>
      </c>
      <c r="DW397" s="6">
        <f t="shared" ref="DW397" si="1715">SUM(DK397:DV397)</f>
        <v>1493912</v>
      </c>
      <c r="DX397" s="6"/>
      <c r="DY397" s="6">
        <f t="shared" ref="DY397" si="1716">DO397+DT397+H397+I397+J397+K397+CG397</f>
        <v>713429</v>
      </c>
      <c r="DZ397" s="6">
        <f t="shared" ref="DZ397" si="1717">SUM(G397:L397,O397)</f>
        <v>78851</v>
      </c>
      <c r="EA397" s="6"/>
      <c r="EB397" s="6">
        <f t="shared" ref="EB397" si="1718">DZ397+DF397</f>
        <v>1648329</v>
      </c>
      <c r="EC397" s="6"/>
      <c r="ED397" s="6"/>
      <c r="EE397" s="6"/>
      <c r="EF397" s="6">
        <f t="shared" ref="EF397" si="1719">SUM(BE397:CQ397)-CG397-BP397</f>
        <v>1148946</v>
      </c>
      <c r="EG397" s="6">
        <f t="shared" ref="EG397" si="1720">SUM(M397:BC397)-AQ397</f>
        <v>285081</v>
      </c>
      <c r="EH397" s="6">
        <f t="shared" ref="EH397" si="1721">SUM(EF397:EG397)</f>
        <v>1434027</v>
      </c>
      <c r="EI397" s="36">
        <f t="shared" ref="EI397" si="1722">(EF397-EF396)/EF396</f>
        <v>1.676367230883458E-2</v>
      </c>
      <c r="EJ397" s="36">
        <f t="shared" si="1611"/>
        <v>4.4464958300888943E-3</v>
      </c>
      <c r="EK397" s="6"/>
      <c r="EN397" s="104"/>
      <c r="EO397" s="104"/>
      <c r="FC397" s="6">
        <f t="shared" si="1670"/>
        <v>95134</v>
      </c>
      <c r="FD397" s="6">
        <f t="shared" si="1671"/>
        <v>202722</v>
      </c>
      <c r="FE397" s="32">
        <f t="shared" si="1672"/>
        <v>546721</v>
      </c>
      <c r="FF397" s="34">
        <f t="shared" si="1673"/>
        <v>14277</v>
      </c>
      <c r="FG397" s="31">
        <f t="shared" si="1674"/>
        <v>168082</v>
      </c>
      <c r="FH397" s="6">
        <f t="shared" si="1675"/>
        <v>18737</v>
      </c>
      <c r="FI397" s="6">
        <f t="shared" si="1676"/>
        <v>-448239</v>
      </c>
      <c r="FJ397" s="6">
        <f t="shared" si="1493"/>
        <v>448239</v>
      </c>
    </row>
    <row r="398" spans="2:166" s="306" customFormat="1">
      <c r="B398" s="50">
        <v>44075</v>
      </c>
      <c r="C398" s="317">
        <v>0</v>
      </c>
      <c r="D398" s="317">
        <v>0</v>
      </c>
      <c r="E398" s="317">
        <v>0</v>
      </c>
      <c r="F398" s="317">
        <v>0</v>
      </c>
      <c r="G398" s="317">
        <v>1567</v>
      </c>
      <c r="H398" s="317">
        <v>18466</v>
      </c>
      <c r="I398" s="317">
        <v>51166</v>
      </c>
      <c r="J398" s="317">
        <v>1340</v>
      </c>
      <c r="K398" s="317">
        <v>3305</v>
      </c>
      <c r="L398" s="317">
        <v>1648</v>
      </c>
      <c r="M398" s="317">
        <v>34205</v>
      </c>
      <c r="N398" s="317">
        <v>1317</v>
      </c>
      <c r="O398" s="317">
        <v>1138</v>
      </c>
      <c r="P398" s="317">
        <v>1896</v>
      </c>
      <c r="Q398" s="317">
        <v>11533</v>
      </c>
      <c r="R398" s="317">
        <v>288</v>
      </c>
      <c r="S398" s="317">
        <v>5130</v>
      </c>
      <c r="T398" s="317">
        <v>15708</v>
      </c>
      <c r="U398" s="317">
        <v>58</v>
      </c>
      <c r="V398" s="317">
        <v>4739</v>
      </c>
      <c r="W398" s="317">
        <v>64</v>
      </c>
      <c r="X398" s="317">
        <v>20366</v>
      </c>
      <c r="Y398" s="317">
        <v>481</v>
      </c>
      <c r="Z398" s="317">
        <v>4</v>
      </c>
      <c r="AA398" s="317">
        <v>2</v>
      </c>
      <c r="AB398" s="317">
        <v>2</v>
      </c>
      <c r="AC398" s="317">
        <v>79</v>
      </c>
      <c r="AD398" s="317">
        <v>19</v>
      </c>
      <c r="AE398" s="317">
        <v>26</v>
      </c>
      <c r="AF398" s="317">
        <v>14</v>
      </c>
      <c r="AG398" s="317">
        <v>50</v>
      </c>
      <c r="AH398" s="317">
        <v>219</v>
      </c>
      <c r="AI398" s="317">
        <v>2608</v>
      </c>
      <c r="AJ398" s="317">
        <v>1</v>
      </c>
      <c r="AK398" s="317">
        <v>12410</v>
      </c>
      <c r="AL398" s="317">
        <v>114101</v>
      </c>
      <c r="AM398" s="317">
        <v>1848</v>
      </c>
      <c r="AN398" s="317">
        <v>23267</v>
      </c>
      <c r="AO398" s="317">
        <v>6</v>
      </c>
      <c r="AP398" s="317">
        <v>8</v>
      </c>
      <c r="AQ398" s="317">
        <v>12304</v>
      </c>
      <c r="AR398" s="317">
        <v>0</v>
      </c>
      <c r="AS398" s="317">
        <v>592</v>
      </c>
      <c r="AT398" s="317">
        <v>40</v>
      </c>
      <c r="AU398" s="317">
        <v>10546</v>
      </c>
      <c r="AV398" s="317">
        <v>2497</v>
      </c>
      <c r="AW398" s="317">
        <v>3443</v>
      </c>
      <c r="AX398" s="317">
        <v>15683</v>
      </c>
      <c r="AY398" s="317">
        <v>19</v>
      </c>
      <c r="AZ398" s="317">
        <v>0</v>
      </c>
      <c r="BA398" s="317">
        <v>796</v>
      </c>
      <c r="BB398" s="317">
        <v>0</v>
      </c>
      <c r="BC398" s="317">
        <v>224</v>
      </c>
      <c r="BD398" s="317">
        <v>1773</v>
      </c>
      <c r="BE398" s="317">
        <v>0</v>
      </c>
      <c r="BF398" s="317">
        <v>0</v>
      </c>
      <c r="BG398" s="317">
        <v>8784</v>
      </c>
      <c r="BH398" s="317">
        <v>0</v>
      </c>
      <c r="BI398" s="317">
        <v>0</v>
      </c>
      <c r="BJ398" s="317">
        <v>0</v>
      </c>
      <c r="BK398" s="317">
        <v>12</v>
      </c>
      <c r="BL398" s="317">
        <v>5542</v>
      </c>
      <c r="BM398" s="317">
        <v>0</v>
      </c>
      <c r="BN398" s="317">
        <v>3</v>
      </c>
      <c r="BO398" s="317">
        <v>0</v>
      </c>
      <c r="BP398" s="317">
        <v>45725</v>
      </c>
      <c r="BQ398" s="317">
        <v>89741</v>
      </c>
      <c r="BR398" s="317">
        <v>1596</v>
      </c>
      <c r="BS398" s="317">
        <v>24</v>
      </c>
      <c r="BT398" s="317">
        <v>33079</v>
      </c>
      <c r="BU398" s="317">
        <v>1095</v>
      </c>
      <c r="BV398" s="317">
        <v>6</v>
      </c>
      <c r="BW398" s="317">
        <v>0</v>
      </c>
      <c r="BX398" s="317">
        <v>1</v>
      </c>
      <c r="BY398" s="317">
        <v>0</v>
      </c>
      <c r="BZ398" s="317">
        <v>283</v>
      </c>
      <c r="CA398" s="317">
        <v>0</v>
      </c>
      <c r="CB398" s="317">
        <v>30850</v>
      </c>
      <c r="CC398" s="317">
        <v>18901</v>
      </c>
      <c r="CD398" s="317">
        <v>139372</v>
      </c>
      <c r="CE398" s="317">
        <v>329892</v>
      </c>
      <c r="CF398" s="317">
        <v>49090</v>
      </c>
      <c r="CG398" s="317">
        <v>78262</v>
      </c>
      <c r="CH398" s="317">
        <v>0</v>
      </c>
      <c r="CI398" s="317">
        <v>15</v>
      </c>
      <c r="CJ398" s="317">
        <v>0</v>
      </c>
      <c r="CK398" s="317">
        <v>75</v>
      </c>
      <c r="CL398" s="317">
        <v>75241</v>
      </c>
      <c r="CM398" s="317">
        <v>53603</v>
      </c>
      <c r="CN398" s="317">
        <v>254238</v>
      </c>
      <c r="CO398" s="317">
        <v>56401</v>
      </c>
      <c r="CP398" s="317">
        <v>265</v>
      </c>
      <c r="CQ398" s="317">
        <v>18816</v>
      </c>
      <c r="CR398" s="317">
        <v>1605</v>
      </c>
      <c r="CS398" s="317">
        <v>30</v>
      </c>
      <c r="CT398" s="317">
        <v>0</v>
      </c>
      <c r="CU398" s="317">
        <v>0</v>
      </c>
      <c r="CV398" s="317">
        <v>0</v>
      </c>
      <c r="CW398" s="317">
        <v>13</v>
      </c>
      <c r="CX398" s="317">
        <v>0</v>
      </c>
      <c r="CY398" s="317">
        <v>23</v>
      </c>
      <c r="DB398" s="6"/>
      <c r="DD398" s="6">
        <f t="shared" ref="DD398" si="1723">SUM(AY398:AZ398,BE398:CQ398)</f>
        <v>1290931</v>
      </c>
      <c r="DE398" s="6">
        <f t="shared" ref="DE398" si="1724">SUM(M398:N398,P398:AX398,BB398:BC398)+CR398+CS398</f>
        <v>297413</v>
      </c>
      <c r="DF398" s="8">
        <f t="shared" ref="DF398" si="1725">SUM(DD398:DE398)</f>
        <v>1588344</v>
      </c>
      <c r="DG398" s="8"/>
      <c r="DK398" s="6">
        <f t="shared" ref="DK398" si="1726">SUM(M398:N398,P398:S398,U398:X398)</f>
        <v>79596</v>
      </c>
      <c r="DL398" s="6">
        <f t="shared" ref="DL398" si="1727">SUM(Y398:Z398,AB398:AF398,AH398:AM398,AO398,AS398:AW398,BA398:BC398)+CR398+CS398</f>
        <v>151591</v>
      </c>
      <c r="DM398" s="6">
        <f t="shared" ref="DM398" si="1728">T398</f>
        <v>15708</v>
      </c>
      <c r="DN398" s="6">
        <f t="shared" ref="DN398" si="1729">AG398+AX398+AN398+AP398+AQ398+AR398</f>
        <v>51312</v>
      </c>
      <c r="DO398" s="6">
        <f t="shared" ref="DO398" si="1730">SUM(AY398,BF398,BI398,BK398,BO398,BR398:BS398,BU398,BW398,BZ398:CB398,CD398:CF398,CJ398:CK398)</f>
        <v>552308</v>
      </c>
      <c r="DP398" s="6">
        <f t="shared" ref="DP398" si="1731">SUM(AZ398,BD398:BE398,BH398,BN398,BQ398,BT398)</f>
        <v>124596</v>
      </c>
      <c r="DQ398" s="6">
        <f t="shared" ref="DQ398" si="1732">BY398</f>
        <v>0</v>
      </c>
      <c r="DR398" s="6">
        <f t="shared" ref="DR398" si="1733">CC398+CI398+AA398</f>
        <v>18918</v>
      </c>
      <c r="DS398" s="6">
        <f t="shared" ref="DS398" si="1734">BP398+BV398</f>
        <v>45731</v>
      </c>
      <c r="DT398" s="6">
        <f t="shared" ref="DT398" si="1735">BG398+BJ398+BL398+BM398+BX398</f>
        <v>14327</v>
      </c>
      <c r="DU398" s="6">
        <f t="shared" ref="DU398" si="1736">SUM(CL398:CM398)</f>
        <v>128844</v>
      </c>
      <c r="DV398" s="6">
        <f t="shared" ref="DV398" si="1737">SUM(CN398:CQ398)</f>
        <v>329720</v>
      </c>
      <c r="DW398" s="6">
        <f t="shared" ref="DW398" si="1738">SUM(DK398:DV398)</f>
        <v>1512651</v>
      </c>
      <c r="DX398" s="6"/>
      <c r="DY398" s="6">
        <f t="shared" ref="DY398" si="1739">DO398+DT398+H398+I398+J398+K398+CG398</f>
        <v>719174</v>
      </c>
      <c r="DZ398" s="6">
        <f t="shared" ref="DZ398" si="1740">SUM(G398:L398,O398)</f>
        <v>78630</v>
      </c>
      <c r="EA398" s="6"/>
      <c r="EB398" s="6">
        <f t="shared" ref="EB398" si="1741">DZ398+DF398</f>
        <v>1666974</v>
      </c>
      <c r="EC398" s="6"/>
      <c r="ED398" s="6"/>
      <c r="EE398" s="6"/>
      <c r="EF398" s="6">
        <f t="shared" ref="EF398" si="1742">SUM(BE398:CQ398)-CG398-BP398</f>
        <v>1166925</v>
      </c>
      <c r="EG398" s="6">
        <f t="shared" ref="EG398" si="1743">SUM(M398:BC398)-AQ398</f>
        <v>285427</v>
      </c>
      <c r="EH398" s="6">
        <f t="shared" ref="EH398" si="1744">SUM(EF398:EG398)</f>
        <v>1452352</v>
      </c>
      <c r="EI398" s="36">
        <f t="shared" ref="EI398" si="1745">(EF398-EF397)/EF397</f>
        <v>1.5648255009373807E-2</v>
      </c>
      <c r="EJ398" s="36">
        <f t="shared" ref="EJ398" si="1746">(EG398-EG397)/EG397</f>
        <v>1.2136901442046295E-3</v>
      </c>
      <c r="EK398" s="6"/>
      <c r="EN398" s="104"/>
      <c r="EO398" s="104"/>
      <c r="FC398" s="6">
        <f t="shared" si="1670"/>
        <v>95304</v>
      </c>
      <c r="FD398" s="6">
        <f t="shared" si="1671"/>
        <v>202903</v>
      </c>
      <c r="FE398" s="32">
        <f t="shared" si="1672"/>
        <v>552308</v>
      </c>
      <c r="FF398" s="34">
        <f t="shared" si="1673"/>
        <v>14327</v>
      </c>
      <c r="FG398" s="31">
        <f t="shared" si="1674"/>
        <v>170327</v>
      </c>
      <c r="FH398" s="6">
        <f t="shared" si="1675"/>
        <v>18918</v>
      </c>
      <c r="FI398" s="6">
        <f t="shared" si="1676"/>
        <v>-458564</v>
      </c>
      <c r="FJ398" s="6">
        <f t="shared" si="1493"/>
        <v>458564</v>
      </c>
    </row>
    <row r="399" spans="2:166" s="318" customFormat="1">
      <c r="B399" s="50">
        <v>44105</v>
      </c>
      <c r="C399" s="318">
        <v>0</v>
      </c>
      <c r="D399" s="318">
        <v>0</v>
      </c>
      <c r="E399" s="318">
        <v>0</v>
      </c>
      <c r="F399" s="318">
        <v>0</v>
      </c>
      <c r="G399" s="318">
        <v>1505</v>
      </c>
      <c r="H399" s="318">
        <v>18203</v>
      </c>
      <c r="I399" s="318">
        <v>50592</v>
      </c>
      <c r="J399" s="318">
        <v>1679</v>
      </c>
      <c r="K399" s="318">
        <v>4100</v>
      </c>
      <c r="L399" s="318">
        <v>1664</v>
      </c>
      <c r="M399" s="318">
        <v>34348</v>
      </c>
      <c r="N399" s="318">
        <v>1310</v>
      </c>
      <c r="O399" s="318">
        <v>1137</v>
      </c>
      <c r="P399" s="318">
        <v>1881</v>
      </c>
      <c r="Q399" s="318">
        <v>11508</v>
      </c>
      <c r="R399" s="318">
        <v>294</v>
      </c>
      <c r="S399" s="318">
        <v>5062</v>
      </c>
      <c r="T399" s="318">
        <v>15769</v>
      </c>
      <c r="U399" s="318">
        <v>66</v>
      </c>
      <c r="V399" s="318">
        <v>4724</v>
      </c>
      <c r="W399" s="318">
        <v>70</v>
      </c>
      <c r="X399" s="318">
        <v>20643</v>
      </c>
      <c r="Y399" s="318">
        <v>486</v>
      </c>
      <c r="Z399" s="318">
        <v>4</v>
      </c>
      <c r="AA399" s="318">
        <v>0</v>
      </c>
      <c r="AB399" s="318">
        <v>3</v>
      </c>
      <c r="AC399" s="318">
        <v>77</v>
      </c>
      <c r="AD399" s="318">
        <v>19</v>
      </c>
      <c r="AE399" s="318">
        <v>26</v>
      </c>
      <c r="AF399" s="318">
        <v>16</v>
      </c>
      <c r="AG399" s="318">
        <v>49</v>
      </c>
      <c r="AH399" s="318">
        <v>224</v>
      </c>
      <c r="AI399" s="318">
        <v>2586</v>
      </c>
      <c r="AJ399" s="318">
        <v>1</v>
      </c>
      <c r="AK399" s="318">
        <v>12530</v>
      </c>
      <c r="AL399" s="318">
        <v>114211</v>
      </c>
      <c r="AM399" s="318">
        <v>1830</v>
      </c>
      <c r="AN399" s="318">
        <v>23203</v>
      </c>
      <c r="AO399" s="318">
        <v>7</v>
      </c>
      <c r="AP399" s="318">
        <v>7</v>
      </c>
      <c r="AQ399" s="318">
        <v>12346</v>
      </c>
      <c r="AR399" s="318">
        <v>0</v>
      </c>
      <c r="AS399" s="318">
        <v>607</v>
      </c>
      <c r="AT399" s="318">
        <v>40</v>
      </c>
      <c r="AU399" s="318">
        <v>10568</v>
      </c>
      <c r="AV399" s="318">
        <v>2494</v>
      </c>
      <c r="AW399" s="318">
        <v>3438</v>
      </c>
      <c r="AX399" s="318">
        <v>15656</v>
      </c>
      <c r="AY399" s="318">
        <v>12</v>
      </c>
      <c r="AZ399" s="318">
        <v>0</v>
      </c>
      <c r="BA399" s="318">
        <v>800</v>
      </c>
      <c r="BB399" s="318">
        <v>0</v>
      </c>
      <c r="BC399" s="318">
        <v>248</v>
      </c>
      <c r="BD399" s="318">
        <v>1804</v>
      </c>
      <c r="BE399" s="318">
        <v>0</v>
      </c>
      <c r="BF399" s="318">
        <v>0</v>
      </c>
      <c r="BG399" s="318">
        <v>8816</v>
      </c>
      <c r="BH399" s="318">
        <v>0</v>
      </c>
      <c r="BI399" s="318">
        <v>0</v>
      </c>
      <c r="BJ399" s="318">
        <v>0</v>
      </c>
      <c r="BK399" s="318">
        <v>12</v>
      </c>
      <c r="BL399" s="318">
        <v>5524</v>
      </c>
      <c r="BM399" s="318">
        <v>0</v>
      </c>
      <c r="BN399" s="318">
        <v>3</v>
      </c>
      <c r="BO399" s="318">
        <v>0</v>
      </c>
      <c r="BP399" s="318">
        <v>45391</v>
      </c>
      <c r="BQ399" s="318">
        <v>90982</v>
      </c>
      <c r="BR399" s="318">
        <v>1634</v>
      </c>
      <c r="BS399" s="318">
        <v>24</v>
      </c>
      <c r="BT399" s="318">
        <v>34058</v>
      </c>
      <c r="BU399" s="318">
        <v>1110</v>
      </c>
      <c r="BV399" s="318">
        <v>16</v>
      </c>
      <c r="BW399" s="318">
        <v>0</v>
      </c>
      <c r="BX399" s="318">
        <v>1</v>
      </c>
      <c r="BY399" s="318">
        <v>0</v>
      </c>
      <c r="BZ399" s="318">
        <v>287</v>
      </c>
      <c r="CA399" s="318">
        <v>0</v>
      </c>
      <c r="CB399" s="318">
        <v>30484</v>
      </c>
      <c r="CC399" s="318">
        <v>19491</v>
      </c>
      <c r="CD399" s="318">
        <v>140879</v>
      </c>
      <c r="CE399" s="318">
        <v>334588</v>
      </c>
      <c r="CF399" s="318">
        <v>49592</v>
      </c>
      <c r="CG399" s="318">
        <v>78176</v>
      </c>
      <c r="CH399" s="318">
        <v>0</v>
      </c>
      <c r="CI399" s="318">
        <v>13</v>
      </c>
      <c r="CJ399" s="318">
        <v>0</v>
      </c>
      <c r="CK399" s="318">
        <v>76</v>
      </c>
      <c r="CL399" s="318">
        <v>76308</v>
      </c>
      <c r="CM399" s="318">
        <v>54073</v>
      </c>
      <c r="CN399" s="318">
        <v>263155</v>
      </c>
      <c r="CO399" s="318">
        <v>57227</v>
      </c>
      <c r="CP399" s="318">
        <v>219</v>
      </c>
      <c r="CQ399" s="318">
        <v>18711</v>
      </c>
      <c r="CR399" s="318">
        <v>1607</v>
      </c>
      <c r="CS399" s="318">
        <v>26</v>
      </c>
      <c r="CT399" s="318">
        <v>0</v>
      </c>
      <c r="CU399" s="318">
        <v>0</v>
      </c>
      <c r="CV399" s="318">
        <v>0</v>
      </c>
      <c r="CW399" s="318">
        <v>13</v>
      </c>
      <c r="CX399" s="318">
        <v>0</v>
      </c>
      <c r="CY399" s="318">
        <v>23</v>
      </c>
      <c r="DB399" s="6"/>
      <c r="DD399" s="6">
        <f t="shared" ref="DD399" si="1747">SUM(AY399:AZ399,BE399:CQ399)</f>
        <v>1310862</v>
      </c>
      <c r="DE399" s="6">
        <f t="shared" ref="DE399" si="1748">SUM(M399:N399,P399:AX399,BB399:BC399)+CR399+CS399</f>
        <v>297984</v>
      </c>
      <c r="DF399" s="8">
        <f t="shared" ref="DF399" si="1749">SUM(DD399:DE399)</f>
        <v>1608846</v>
      </c>
      <c r="DG399" s="8"/>
      <c r="DK399" s="6">
        <f t="shared" ref="DK399" si="1750">SUM(M399:N399,P399:S399,U399:X399)</f>
        <v>79906</v>
      </c>
      <c r="DL399" s="6">
        <f t="shared" ref="DL399" si="1751">SUM(Y399:Z399,AB399:AF399,AH399:AM399,AO399,AS399:AW399,BA399:BC399)+CR399+CS399</f>
        <v>151848</v>
      </c>
      <c r="DM399" s="6">
        <f t="shared" ref="DM399" si="1752">T399</f>
        <v>15769</v>
      </c>
      <c r="DN399" s="6">
        <f t="shared" ref="DN399" si="1753">AG399+AX399+AN399+AP399+AQ399+AR399</f>
        <v>51261</v>
      </c>
      <c r="DO399" s="6">
        <f t="shared" ref="DO399" si="1754">SUM(AY399,BF399,BI399,BK399,BO399,BR399:BS399,BU399,BW399,BZ399:CB399,CD399:CF399,CJ399:CK399)</f>
        <v>558698</v>
      </c>
      <c r="DP399" s="6">
        <f t="shared" ref="DP399" si="1755">SUM(AZ399,BD399:BE399,BH399,BN399,BQ399,BT399)</f>
        <v>126847</v>
      </c>
      <c r="DQ399" s="6">
        <f t="shared" ref="DQ399" si="1756">BY399</f>
        <v>0</v>
      </c>
      <c r="DR399" s="6">
        <f t="shared" ref="DR399" si="1757">CC399+CI399+AA399</f>
        <v>19504</v>
      </c>
      <c r="DS399" s="6">
        <f t="shared" ref="DS399" si="1758">BP399+BV399</f>
        <v>45407</v>
      </c>
      <c r="DT399" s="6">
        <f t="shared" ref="DT399" si="1759">BG399+BJ399+BL399+BM399+BX399</f>
        <v>14341</v>
      </c>
      <c r="DU399" s="6">
        <f t="shared" ref="DU399" si="1760">SUM(CL399:CM399)</f>
        <v>130381</v>
      </c>
      <c r="DV399" s="6">
        <f t="shared" ref="DV399" si="1761">SUM(CN399:CQ399)</f>
        <v>339312</v>
      </c>
      <c r="DW399" s="6">
        <f t="shared" ref="DW399" si="1762">SUM(DK399:DV399)</f>
        <v>1533274</v>
      </c>
      <c r="DX399" s="6"/>
      <c r="DY399" s="6">
        <f t="shared" ref="DY399" si="1763">DO399+DT399+H399+I399+J399+K399+CG399</f>
        <v>725789</v>
      </c>
      <c r="DZ399" s="6">
        <f t="shared" ref="DZ399" si="1764">SUM(G399:L399,O399)</f>
        <v>78880</v>
      </c>
      <c r="EA399" s="6"/>
      <c r="EB399" s="6">
        <f t="shared" ref="EB399" si="1765">DZ399+DF399</f>
        <v>1687726</v>
      </c>
      <c r="EC399" s="6"/>
      <c r="ED399" s="6"/>
      <c r="EE399" s="6"/>
      <c r="EF399" s="6">
        <f t="shared" ref="EF399" si="1766">SUM(BE399:CQ399)-CG399-BP399</f>
        <v>1187283</v>
      </c>
      <c r="EG399" s="6">
        <f t="shared" ref="EG399" si="1767">SUM(M399:BC399)-AQ399</f>
        <v>285954</v>
      </c>
      <c r="EH399" s="6">
        <f t="shared" ref="EH399" si="1768">SUM(EF399:EG399)</f>
        <v>1473237</v>
      </c>
      <c r="EI399" s="36">
        <f t="shared" ref="EI399" si="1769">(EF399-EF398)/EF398</f>
        <v>1.7445851275788932E-2</v>
      </c>
      <c r="EJ399" s="36">
        <f t="shared" ref="EJ399" si="1770">(EG399-EG398)/EG398</f>
        <v>1.8463565114722855E-3</v>
      </c>
      <c r="EK399" s="6"/>
      <c r="EN399" s="104"/>
      <c r="EO399" s="104"/>
      <c r="FC399" s="6">
        <f t="shared" si="1670"/>
        <v>95675</v>
      </c>
      <c r="FD399" s="6">
        <f t="shared" si="1671"/>
        <v>203109</v>
      </c>
      <c r="FE399" s="32">
        <f t="shared" si="1672"/>
        <v>558698</v>
      </c>
      <c r="FF399" s="34">
        <f t="shared" si="1673"/>
        <v>14341</v>
      </c>
      <c r="FG399" s="31">
        <f t="shared" si="1674"/>
        <v>172254</v>
      </c>
      <c r="FH399" s="6">
        <f t="shared" si="1675"/>
        <v>19504</v>
      </c>
      <c r="FI399" s="6">
        <f t="shared" si="1676"/>
        <v>-469693</v>
      </c>
      <c r="FJ399" s="6">
        <f t="shared" si="1493"/>
        <v>469693</v>
      </c>
    </row>
    <row r="400" spans="2:166" s="319" customFormat="1">
      <c r="B400" s="50">
        <v>44136</v>
      </c>
      <c r="C400" s="319">
        <v>0</v>
      </c>
      <c r="D400" s="319">
        <v>0</v>
      </c>
      <c r="E400" s="319">
        <v>0</v>
      </c>
      <c r="F400" s="319">
        <v>0</v>
      </c>
      <c r="G400" s="319">
        <v>1495</v>
      </c>
      <c r="H400" s="319">
        <v>18056</v>
      </c>
      <c r="I400" s="319">
        <v>50510</v>
      </c>
      <c r="J400" s="319">
        <v>1927</v>
      </c>
      <c r="K400" s="319">
        <v>4665</v>
      </c>
      <c r="L400" s="319">
        <v>1693</v>
      </c>
      <c r="M400" s="319">
        <v>34511</v>
      </c>
      <c r="N400" s="319">
        <v>1309</v>
      </c>
      <c r="O400" s="319">
        <v>1136</v>
      </c>
      <c r="P400" s="319">
        <v>1866</v>
      </c>
      <c r="Q400" s="319">
        <v>11452</v>
      </c>
      <c r="R400" s="319">
        <v>301</v>
      </c>
      <c r="S400" s="319">
        <v>5052</v>
      </c>
      <c r="T400" s="319">
        <v>15821</v>
      </c>
      <c r="U400" s="319">
        <v>67</v>
      </c>
      <c r="V400" s="319">
        <v>4676</v>
      </c>
      <c r="W400" s="319">
        <v>69</v>
      </c>
      <c r="X400" s="319">
        <v>20886</v>
      </c>
      <c r="Y400" s="319">
        <v>490</v>
      </c>
      <c r="Z400" s="319">
        <v>4</v>
      </c>
      <c r="AA400" s="319">
        <v>2</v>
      </c>
      <c r="AB400" s="319">
        <v>3</v>
      </c>
      <c r="AC400" s="319">
        <v>77</v>
      </c>
      <c r="AD400" s="319">
        <v>19</v>
      </c>
      <c r="AE400" s="319">
        <v>26</v>
      </c>
      <c r="AF400" s="319">
        <v>15</v>
      </c>
      <c r="AG400" s="319">
        <v>48</v>
      </c>
      <c r="AH400" s="319">
        <v>229</v>
      </c>
      <c r="AI400" s="319">
        <v>2571</v>
      </c>
      <c r="AJ400" s="319">
        <v>2</v>
      </c>
      <c r="AK400" s="319">
        <v>12725</v>
      </c>
      <c r="AL400" s="319">
        <v>114304</v>
      </c>
      <c r="AM400" s="319">
        <v>1813</v>
      </c>
      <c r="AN400" s="319">
        <v>23227</v>
      </c>
      <c r="AO400" s="319">
        <v>8</v>
      </c>
      <c r="AP400" s="319">
        <v>7</v>
      </c>
      <c r="AQ400" s="319">
        <v>12368</v>
      </c>
      <c r="AR400" s="319">
        <v>0</v>
      </c>
      <c r="AS400" s="319">
        <v>629</v>
      </c>
      <c r="AT400" s="319">
        <v>40</v>
      </c>
      <c r="AU400" s="319">
        <v>10603</v>
      </c>
      <c r="AV400" s="319">
        <v>2500</v>
      </c>
      <c r="AW400" s="319">
        <v>3424</v>
      </c>
      <c r="AX400" s="319">
        <v>15621</v>
      </c>
      <c r="AY400" s="319">
        <v>10</v>
      </c>
      <c r="AZ400" s="319">
        <v>2</v>
      </c>
      <c r="BA400" s="319">
        <v>804</v>
      </c>
      <c r="BB400" s="319">
        <v>0</v>
      </c>
      <c r="BC400" s="319">
        <v>242</v>
      </c>
      <c r="BD400" s="319">
        <v>1816</v>
      </c>
      <c r="BE400" s="319">
        <v>0</v>
      </c>
      <c r="BF400" s="319">
        <v>0</v>
      </c>
      <c r="BG400" s="319">
        <v>8862</v>
      </c>
      <c r="BH400" s="319">
        <v>0</v>
      </c>
      <c r="BI400" s="319">
        <v>0</v>
      </c>
      <c r="BJ400" s="319">
        <v>0</v>
      </c>
      <c r="BK400" s="319">
        <v>12</v>
      </c>
      <c r="BL400" s="319">
        <v>5546</v>
      </c>
      <c r="BM400" s="319">
        <v>0</v>
      </c>
      <c r="BN400" s="319">
        <v>1</v>
      </c>
      <c r="BO400" s="319">
        <v>0</v>
      </c>
      <c r="BP400" s="319">
        <v>45183</v>
      </c>
      <c r="BQ400" s="319">
        <v>91955</v>
      </c>
      <c r="BR400" s="319">
        <v>1643</v>
      </c>
      <c r="BS400" s="319">
        <v>25</v>
      </c>
      <c r="BT400" s="319">
        <v>34710</v>
      </c>
      <c r="BU400" s="319">
        <v>1152</v>
      </c>
      <c r="BV400" s="319">
        <v>12</v>
      </c>
      <c r="BW400" s="319">
        <v>0</v>
      </c>
      <c r="BX400" s="319">
        <v>1</v>
      </c>
      <c r="BY400" s="319">
        <v>0</v>
      </c>
      <c r="BZ400" s="319">
        <v>284</v>
      </c>
      <c r="CA400" s="319">
        <v>0</v>
      </c>
      <c r="CB400" s="319">
        <v>30109</v>
      </c>
      <c r="CC400" s="319">
        <v>20203</v>
      </c>
      <c r="CD400" s="319">
        <v>142063</v>
      </c>
      <c r="CE400" s="319">
        <v>338794</v>
      </c>
      <c r="CF400" s="319">
        <v>49892</v>
      </c>
      <c r="CG400" s="319">
        <v>78244</v>
      </c>
      <c r="CH400" s="319">
        <v>0</v>
      </c>
      <c r="CI400" s="319">
        <v>10</v>
      </c>
      <c r="CJ400" s="319">
        <v>0</v>
      </c>
      <c r="CK400" s="319">
        <v>75</v>
      </c>
      <c r="CL400" s="319">
        <v>77455</v>
      </c>
      <c r="CM400" s="319">
        <v>54655</v>
      </c>
      <c r="CN400" s="319">
        <v>271295</v>
      </c>
      <c r="CO400" s="319">
        <v>57707</v>
      </c>
      <c r="CP400" s="319">
        <v>213</v>
      </c>
      <c r="CQ400" s="319">
        <v>18505</v>
      </c>
      <c r="CR400" s="319">
        <v>1630</v>
      </c>
      <c r="CS400" s="319">
        <v>22</v>
      </c>
      <c r="CT400" s="319">
        <v>0</v>
      </c>
      <c r="CU400" s="319">
        <v>0</v>
      </c>
      <c r="CV400" s="319">
        <v>0</v>
      </c>
      <c r="CW400" s="319">
        <v>13</v>
      </c>
      <c r="CX400" s="319">
        <v>0</v>
      </c>
      <c r="CY400" s="319">
        <v>23</v>
      </c>
      <c r="DB400" s="6"/>
      <c r="DD400" s="6">
        <f t="shared" ref="DD400" si="1771">SUM(AY400:AZ400,BE400:CQ400)</f>
        <v>1328618</v>
      </c>
      <c r="DE400" s="6">
        <f t="shared" ref="DE400" si="1772">SUM(M400:N400,P400:AX400,BB400:BC400)+CR400+CS400</f>
        <v>298659</v>
      </c>
      <c r="DF400" s="8">
        <f t="shared" ref="DF400" si="1773">SUM(DD400:DE400)</f>
        <v>1627277</v>
      </c>
      <c r="DG400" s="8"/>
      <c r="DK400" s="6">
        <f t="shared" ref="DK400" si="1774">SUM(M400:N400,P400:S400,U400:X400)</f>
        <v>80189</v>
      </c>
      <c r="DL400" s="6">
        <f t="shared" ref="DL400" si="1775">SUM(Y400:Z400,AB400:AF400,AH400:AM400,AO400,AS400:AW400,BA400:BC400)+CR400+CS400</f>
        <v>152180</v>
      </c>
      <c r="DM400" s="6">
        <f t="shared" ref="DM400" si="1776">T400</f>
        <v>15821</v>
      </c>
      <c r="DN400" s="6">
        <f t="shared" ref="DN400" si="1777">AG400+AX400+AN400+AP400+AQ400+AR400</f>
        <v>51271</v>
      </c>
      <c r="DO400" s="6">
        <f t="shared" ref="DO400" si="1778">SUM(AY400,BF400,BI400,BK400,BO400,BR400:BS400,BU400,BW400,BZ400:CB400,CD400:CF400,CJ400:CK400)</f>
        <v>564059</v>
      </c>
      <c r="DP400" s="6">
        <f t="shared" ref="DP400" si="1779">SUM(AZ400,BD400:BE400,BH400,BN400,BQ400,BT400)</f>
        <v>128484</v>
      </c>
      <c r="DQ400" s="6">
        <f t="shared" ref="DQ400" si="1780">BY400</f>
        <v>0</v>
      </c>
      <c r="DR400" s="6">
        <f t="shared" ref="DR400" si="1781">CC400+CI400+AA400</f>
        <v>20215</v>
      </c>
      <c r="DS400" s="6">
        <f t="shared" ref="DS400" si="1782">BP400+BV400</f>
        <v>45195</v>
      </c>
      <c r="DT400" s="6">
        <f t="shared" ref="DT400" si="1783">BG400+BJ400+BL400+BM400+BX400</f>
        <v>14409</v>
      </c>
      <c r="DU400" s="6">
        <f t="shared" ref="DU400" si="1784">SUM(CL400:CM400)</f>
        <v>132110</v>
      </c>
      <c r="DV400" s="6">
        <f t="shared" ref="DV400" si="1785">SUM(CN400:CQ400)</f>
        <v>347720</v>
      </c>
      <c r="DW400" s="6">
        <f t="shared" ref="DW400" si="1786">SUM(DK400:DV400)</f>
        <v>1551653</v>
      </c>
      <c r="DX400" s="6"/>
      <c r="DY400" s="6">
        <f t="shared" ref="DY400" si="1787">DO400+DT400+H400+I400+J400+K400+CG400</f>
        <v>731870</v>
      </c>
      <c r="DZ400" s="6">
        <f t="shared" ref="DZ400" si="1788">SUM(G400:L400,O400)</f>
        <v>79482</v>
      </c>
      <c r="EA400" s="6"/>
      <c r="EB400" s="6">
        <f t="shared" ref="EB400" si="1789">DZ400+DF400</f>
        <v>1706759</v>
      </c>
      <c r="EC400" s="6"/>
      <c r="ED400" s="6"/>
      <c r="EE400" s="6"/>
      <c r="EF400" s="6">
        <f t="shared" ref="EF400" si="1790">SUM(BE400:CQ400)-CG400-BP400</f>
        <v>1205179</v>
      </c>
      <c r="EG400" s="6">
        <f t="shared" ref="EG400" si="1791">SUM(M400:BC400)-AQ400</f>
        <v>286591</v>
      </c>
      <c r="EH400" s="6">
        <f t="shared" ref="EH400" si="1792">SUM(EF400:EG400)</f>
        <v>1491770</v>
      </c>
      <c r="EI400" s="36">
        <f t="shared" ref="EI400" si="1793">(EF400-EF399)/EF399</f>
        <v>1.5073070194721899E-2</v>
      </c>
      <c r="EJ400" s="36">
        <f t="shared" ref="EJ400" si="1794">(EG400-EG399)/EG399</f>
        <v>2.2276310175762537E-3</v>
      </c>
      <c r="EK400" s="6"/>
      <c r="EN400" s="104"/>
      <c r="EO400" s="104"/>
      <c r="FC400" s="6">
        <f t="shared" si="1670"/>
        <v>96010</v>
      </c>
      <c r="FD400" s="6">
        <f t="shared" si="1671"/>
        <v>203451</v>
      </c>
      <c r="FE400" s="32">
        <f t="shared" si="1672"/>
        <v>564059</v>
      </c>
      <c r="FF400" s="34">
        <f t="shared" si="1673"/>
        <v>14409</v>
      </c>
      <c r="FG400" s="31">
        <f t="shared" si="1674"/>
        <v>173679</v>
      </c>
      <c r="FH400" s="6">
        <f t="shared" si="1675"/>
        <v>20215</v>
      </c>
      <c r="FI400" s="6">
        <f t="shared" si="1676"/>
        <v>-479830</v>
      </c>
      <c r="FJ400" s="6">
        <f t="shared" si="1493"/>
        <v>479830</v>
      </c>
    </row>
    <row r="401" spans="2:166" s="320" customFormat="1">
      <c r="B401" s="50">
        <v>44166</v>
      </c>
      <c r="C401" s="320">
        <v>0</v>
      </c>
      <c r="D401" s="320">
        <v>0</v>
      </c>
      <c r="E401" s="320">
        <v>0</v>
      </c>
      <c r="F401" s="320">
        <v>0</v>
      </c>
      <c r="G401" s="320">
        <v>1529</v>
      </c>
      <c r="H401" s="320">
        <v>17951</v>
      </c>
      <c r="I401" s="320">
        <v>50626</v>
      </c>
      <c r="J401" s="320">
        <v>2132</v>
      </c>
      <c r="K401" s="320">
        <v>5199</v>
      </c>
      <c r="L401" s="320">
        <v>1739</v>
      </c>
      <c r="M401" s="320">
        <v>34594</v>
      </c>
      <c r="N401" s="320">
        <v>1306</v>
      </c>
      <c r="O401" s="320">
        <v>1122</v>
      </c>
      <c r="P401" s="320">
        <v>1865</v>
      </c>
      <c r="Q401" s="320">
        <v>11382</v>
      </c>
      <c r="R401" s="320">
        <v>303</v>
      </c>
      <c r="S401" s="320">
        <v>5031</v>
      </c>
      <c r="T401" s="320">
        <v>15864</v>
      </c>
      <c r="U401" s="320">
        <v>81</v>
      </c>
      <c r="V401" s="320">
        <v>4629</v>
      </c>
      <c r="W401" s="320">
        <v>73</v>
      </c>
      <c r="X401" s="320">
        <v>21173</v>
      </c>
      <c r="Y401" s="320">
        <v>489</v>
      </c>
      <c r="Z401" s="320">
        <v>4</v>
      </c>
      <c r="AA401" s="320">
        <v>0</v>
      </c>
      <c r="AB401" s="320">
        <v>3</v>
      </c>
      <c r="AC401" s="320">
        <v>79</v>
      </c>
      <c r="AD401" s="320">
        <v>19</v>
      </c>
      <c r="AE401" s="320">
        <v>26</v>
      </c>
      <c r="AF401" s="320">
        <v>15</v>
      </c>
      <c r="AG401" s="320">
        <v>48</v>
      </c>
      <c r="AH401" s="320">
        <v>235</v>
      </c>
      <c r="AI401" s="320">
        <v>2544</v>
      </c>
      <c r="AJ401" s="320">
        <v>3</v>
      </c>
      <c r="AK401" s="320">
        <v>12885</v>
      </c>
      <c r="AL401" s="320">
        <v>114466</v>
      </c>
      <c r="AM401" s="320">
        <v>1801</v>
      </c>
      <c r="AN401" s="320">
        <v>23205</v>
      </c>
      <c r="AO401" s="320">
        <v>8</v>
      </c>
      <c r="AP401" s="320">
        <v>7</v>
      </c>
      <c r="AQ401" s="320">
        <v>12365</v>
      </c>
      <c r="AR401" s="320">
        <v>0</v>
      </c>
      <c r="AS401" s="320">
        <v>688</v>
      </c>
      <c r="AT401" s="320">
        <v>40</v>
      </c>
      <c r="AU401" s="320">
        <v>10621</v>
      </c>
      <c r="AV401" s="320">
        <v>2510</v>
      </c>
      <c r="AW401" s="320">
        <v>3416</v>
      </c>
      <c r="AX401" s="320">
        <v>15633</v>
      </c>
      <c r="AY401" s="320">
        <v>16</v>
      </c>
      <c r="AZ401" s="320">
        <v>0</v>
      </c>
      <c r="BA401" s="320">
        <v>806</v>
      </c>
      <c r="BB401" s="320">
        <v>0</v>
      </c>
      <c r="BC401" s="320">
        <v>267</v>
      </c>
      <c r="BD401" s="320">
        <v>1852</v>
      </c>
      <c r="BE401" s="320">
        <v>0</v>
      </c>
      <c r="BF401" s="320">
        <v>0</v>
      </c>
      <c r="BG401" s="320">
        <v>8912</v>
      </c>
      <c r="BH401" s="320">
        <v>0</v>
      </c>
      <c r="BI401" s="320">
        <v>0</v>
      </c>
      <c r="BJ401" s="320">
        <v>0</v>
      </c>
      <c r="BK401" s="320">
        <v>12</v>
      </c>
      <c r="BL401" s="320">
        <v>5480</v>
      </c>
      <c r="BM401" s="320">
        <v>0</v>
      </c>
      <c r="BN401" s="320">
        <v>3</v>
      </c>
      <c r="BO401" s="320">
        <v>0</v>
      </c>
      <c r="BP401" s="320">
        <v>45408</v>
      </c>
      <c r="BQ401" s="320">
        <v>93021</v>
      </c>
      <c r="BR401" s="320">
        <v>1678</v>
      </c>
      <c r="BS401" s="320">
        <v>24</v>
      </c>
      <c r="BT401" s="320">
        <v>35514</v>
      </c>
      <c r="BU401" s="320">
        <v>1157</v>
      </c>
      <c r="BV401" s="320">
        <v>13</v>
      </c>
      <c r="BW401" s="320">
        <v>0</v>
      </c>
      <c r="BX401" s="320">
        <v>1</v>
      </c>
      <c r="BY401" s="320">
        <v>0</v>
      </c>
      <c r="BZ401" s="320">
        <v>287</v>
      </c>
      <c r="CA401" s="320">
        <v>0</v>
      </c>
      <c r="CB401" s="320">
        <v>30186</v>
      </c>
      <c r="CC401" s="320">
        <v>20554</v>
      </c>
      <c r="CD401" s="320">
        <v>142615</v>
      </c>
      <c r="CE401" s="320">
        <v>342549</v>
      </c>
      <c r="CF401" s="320">
        <v>50365</v>
      </c>
      <c r="CG401" s="320">
        <v>78999</v>
      </c>
      <c r="CH401" s="320">
        <v>0</v>
      </c>
      <c r="CI401" s="320">
        <v>9</v>
      </c>
      <c r="CJ401" s="320">
        <v>0</v>
      </c>
      <c r="CK401" s="320">
        <v>79</v>
      </c>
      <c r="CL401" s="320">
        <v>78612</v>
      </c>
      <c r="CM401" s="320">
        <v>55454</v>
      </c>
      <c r="CN401" s="320">
        <v>280981</v>
      </c>
      <c r="CO401" s="320">
        <v>60625</v>
      </c>
      <c r="CP401" s="320">
        <v>175</v>
      </c>
      <c r="CQ401" s="320">
        <v>18393</v>
      </c>
      <c r="CR401" s="320">
        <v>1629</v>
      </c>
      <c r="CS401" s="320">
        <v>20</v>
      </c>
      <c r="CT401" s="320">
        <v>0</v>
      </c>
      <c r="CU401" s="320">
        <v>0</v>
      </c>
      <c r="CV401" s="320">
        <v>0</v>
      </c>
      <c r="CW401" s="320">
        <v>13</v>
      </c>
      <c r="CX401" s="320">
        <v>0</v>
      </c>
      <c r="CY401" s="320">
        <v>23</v>
      </c>
      <c r="DB401" s="6"/>
      <c r="DD401" s="6">
        <f t="shared" ref="DD401" si="1795">SUM(AY401:AZ401,BE401:CQ401)</f>
        <v>1351122</v>
      </c>
      <c r="DE401" s="6">
        <f t="shared" ref="DE401" si="1796">SUM(M401:N401,P401:AX401,BB401:BC401)+CR401+CS401</f>
        <v>299327</v>
      </c>
      <c r="DF401" s="8">
        <f t="shared" ref="DF401" si="1797">SUM(DD401:DE401)</f>
        <v>1650449</v>
      </c>
      <c r="DG401" s="8"/>
      <c r="DK401" s="6">
        <f t="shared" ref="DK401" si="1798">SUM(M401:N401,P401:S401,U401:X401)</f>
        <v>80437</v>
      </c>
      <c r="DL401" s="6">
        <f t="shared" ref="DL401" si="1799">SUM(Y401:Z401,AB401:AF401,AH401:AM401,AO401,AS401:AW401,BA401:BC401)+CR401+CS401</f>
        <v>152574</v>
      </c>
      <c r="DM401" s="6">
        <f t="shared" ref="DM401" si="1800">T401</f>
        <v>15864</v>
      </c>
      <c r="DN401" s="6">
        <f t="shared" ref="DN401" si="1801">AG401+AX401+AN401+AP401+AQ401+AR401</f>
        <v>51258</v>
      </c>
      <c r="DO401" s="6">
        <f t="shared" ref="DO401" si="1802">SUM(AY401,BF401,BI401,BK401,BO401,BR401:BS401,BU401,BW401,BZ401:CB401,CD401:CF401,CJ401:CK401)</f>
        <v>568968</v>
      </c>
      <c r="DP401" s="6">
        <f t="shared" ref="DP401" si="1803">SUM(AZ401,BD401:BE401,BH401,BN401,BQ401,BT401)</f>
        <v>130390</v>
      </c>
      <c r="DQ401" s="6">
        <f t="shared" ref="DQ401" si="1804">BY401</f>
        <v>0</v>
      </c>
      <c r="DR401" s="6">
        <f t="shared" ref="DR401" si="1805">CC401+CI401+AA401</f>
        <v>20563</v>
      </c>
      <c r="DS401" s="6">
        <f t="shared" ref="DS401" si="1806">BP401+BV401</f>
        <v>45421</v>
      </c>
      <c r="DT401" s="6">
        <f t="shared" ref="DT401" si="1807">BG401+BJ401+BL401+BM401+BX401</f>
        <v>14393</v>
      </c>
      <c r="DU401" s="6">
        <f t="shared" ref="DU401" si="1808">SUM(CL401:CM401)</f>
        <v>134066</v>
      </c>
      <c r="DV401" s="6">
        <f t="shared" ref="DV401" si="1809">SUM(CN401:CQ401)</f>
        <v>360174</v>
      </c>
      <c r="DW401" s="6">
        <f t="shared" ref="DW401" si="1810">SUM(DK401:DV401)</f>
        <v>1574108</v>
      </c>
      <c r="DX401" s="6"/>
      <c r="DY401" s="6">
        <f t="shared" ref="DY401" si="1811">DO401+DT401+H401+I401+J401+K401+CG401</f>
        <v>738268</v>
      </c>
      <c r="DZ401" s="6">
        <f t="shared" ref="DZ401" si="1812">SUM(G401:L401,O401)</f>
        <v>80298</v>
      </c>
      <c r="EA401" s="6"/>
      <c r="EB401" s="6">
        <f t="shared" ref="EB401" si="1813">DZ401+DF401</f>
        <v>1730747</v>
      </c>
      <c r="EC401" s="6"/>
      <c r="ED401" s="6"/>
      <c r="EE401" s="6"/>
      <c r="EF401" s="6">
        <f t="shared" ref="EF401" si="1814">SUM(BE401:CQ401)-CG401-BP401</f>
        <v>1226699</v>
      </c>
      <c r="EG401" s="6">
        <f t="shared" ref="EG401" si="1815">SUM(M401:BC401)-AQ401</f>
        <v>287257</v>
      </c>
      <c r="EH401" s="6">
        <f t="shared" ref="EH401" si="1816">SUM(EF401:EG401)</f>
        <v>1513956</v>
      </c>
      <c r="EI401" s="36">
        <f t="shared" ref="EI401" si="1817">(EF401-EF400)/EF400</f>
        <v>1.7856268653868013E-2</v>
      </c>
      <c r="EJ401" s="36">
        <f t="shared" ref="EJ401" si="1818">(EG401-EG400)/EG400</f>
        <v>2.3238692073372855E-3</v>
      </c>
      <c r="EK401" s="6"/>
      <c r="EN401" s="104"/>
      <c r="EO401" s="104"/>
      <c r="FC401" s="6">
        <f t="shared" si="1670"/>
        <v>96301</v>
      </c>
      <c r="FD401" s="6">
        <f t="shared" si="1671"/>
        <v>203832</v>
      </c>
      <c r="FE401" s="32">
        <f t="shared" si="1672"/>
        <v>568968</v>
      </c>
      <c r="FF401" s="34">
        <f t="shared" si="1673"/>
        <v>14393</v>
      </c>
      <c r="FG401" s="31">
        <f t="shared" si="1674"/>
        <v>175811</v>
      </c>
      <c r="FH401" s="6">
        <f t="shared" si="1675"/>
        <v>20563</v>
      </c>
      <c r="FI401" s="6">
        <f t="shared" si="1676"/>
        <v>-494240</v>
      </c>
      <c r="FJ401" s="6">
        <f t="shared" si="1493"/>
        <v>494240</v>
      </c>
    </row>
    <row r="402" spans="2:166" s="321" customFormat="1">
      <c r="B402" s="50">
        <v>44197</v>
      </c>
      <c r="C402" s="321">
        <v>0</v>
      </c>
      <c r="D402" s="321">
        <v>0</v>
      </c>
      <c r="E402" s="321">
        <v>0</v>
      </c>
      <c r="F402" s="321">
        <v>0</v>
      </c>
      <c r="G402" s="321">
        <v>1572</v>
      </c>
      <c r="H402" s="321">
        <v>17791</v>
      </c>
      <c r="I402" s="321">
        <v>50872</v>
      </c>
      <c r="J402" s="321">
        <v>2314</v>
      </c>
      <c r="K402" s="321">
        <v>5702</v>
      </c>
      <c r="L402" s="321">
        <v>1786</v>
      </c>
      <c r="M402" s="321">
        <v>34612</v>
      </c>
      <c r="N402" s="321">
        <v>1304</v>
      </c>
      <c r="O402" s="321">
        <v>1133</v>
      </c>
      <c r="P402" s="321">
        <v>1845</v>
      </c>
      <c r="Q402" s="321">
        <v>11211</v>
      </c>
      <c r="R402" s="321">
        <v>311</v>
      </c>
      <c r="S402" s="321">
        <v>4992</v>
      </c>
      <c r="T402" s="321">
        <v>15890</v>
      </c>
      <c r="U402" s="321">
        <v>86</v>
      </c>
      <c r="V402" s="321">
        <v>4525</v>
      </c>
      <c r="W402" s="321">
        <v>80</v>
      </c>
      <c r="X402" s="321">
        <v>21418</v>
      </c>
      <c r="Y402" s="321">
        <v>495</v>
      </c>
      <c r="Z402" s="321">
        <v>4</v>
      </c>
      <c r="AA402" s="321">
        <v>1</v>
      </c>
      <c r="AB402" s="321">
        <v>3</v>
      </c>
      <c r="AC402" s="321">
        <v>82</v>
      </c>
      <c r="AD402" s="321">
        <v>20</v>
      </c>
      <c r="AE402" s="321">
        <v>26</v>
      </c>
      <c r="AF402" s="321">
        <v>17</v>
      </c>
      <c r="AG402" s="321">
        <v>45</v>
      </c>
      <c r="AH402" s="321">
        <v>246</v>
      </c>
      <c r="AI402" s="321">
        <v>2542</v>
      </c>
      <c r="AJ402" s="321">
        <v>2</v>
      </c>
      <c r="AK402" s="321">
        <v>13021</v>
      </c>
      <c r="AL402" s="321">
        <v>114600</v>
      </c>
      <c r="AM402" s="321">
        <v>1785</v>
      </c>
      <c r="AN402" s="321">
        <v>23118</v>
      </c>
      <c r="AO402" s="321">
        <v>8</v>
      </c>
      <c r="AP402" s="321">
        <v>7</v>
      </c>
      <c r="AQ402" s="321">
        <v>12369</v>
      </c>
      <c r="AR402" s="321">
        <v>0</v>
      </c>
      <c r="AS402" s="321">
        <v>688</v>
      </c>
      <c r="AT402" s="321">
        <v>41</v>
      </c>
      <c r="AU402" s="321">
        <v>10631</v>
      </c>
      <c r="AV402" s="321">
        <v>2514</v>
      </c>
      <c r="AW402" s="321">
        <v>3402</v>
      </c>
      <c r="AX402" s="321">
        <v>15584</v>
      </c>
      <c r="AY402" s="321">
        <v>7</v>
      </c>
      <c r="AZ402" s="321">
        <v>0</v>
      </c>
      <c r="BA402" s="321">
        <v>813</v>
      </c>
      <c r="BB402" s="321">
        <v>0</v>
      </c>
      <c r="BC402" s="321">
        <v>266</v>
      </c>
      <c r="BD402" s="321">
        <v>1883</v>
      </c>
      <c r="BE402" s="321">
        <v>0</v>
      </c>
      <c r="BF402" s="321">
        <v>0</v>
      </c>
      <c r="BG402" s="321">
        <v>8942</v>
      </c>
      <c r="BH402" s="321">
        <v>0</v>
      </c>
      <c r="BI402" s="321">
        <v>0</v>
      </c>
      <c r="BJ402" s="321">
        <v>0</v>
      </c>
      <c r="BK402" s="321">
        <v>12</v>
      </c>
      <c r="BL402" s="321">
        <v>5483</v>
      </c>
      <c r="BM402" s="321">
        <v>0</v>
      </c>
      <c r="BN402" s="321">
        <v>3</v>
      </c>
      <c r="BO402" s="321">
        <v>0</v>
      </c>
      <c r="BP402" s="321">
        <v>45739</v>
      </c>
      <c r="BQ402" s="321">
        <v>94284</v>
      </c>
      <c r="BR402" s="321">
        <v>1676</v>
      </c>
      <c r="BS402" s="321">
        <v>25</v>
      </c>
      <c r="BT402" s="321">
        <v>36247</v>
      </c>
      <c r="BU402" s="321">
        <v>1170</v>
      </c>
      <c r="BV402" s="321">
        <v>4</v>
      </c>
      <c r="BW402" s="321">
        <v>0</v>
      </c>
      <c r="BX402" s="321">
        <v>1</v>
      </c>
      <c r="BY402" s="321">
        <v>0</v>
      </c>
      <c r="BZ402" s="321">
        <v>283</v>
      </c>
      <c r="CA402" s="321">
        <v>0</v>
      </c>
      <c r="CB402" s="321">
        <v>30327</v>
      </c>
      <c r="CC402" s="321">
        <v>20947</v>
      </c>
      <c r="CD402" s="321">
        <v>142899</v>
      </c>
      <c r="CE402" s="321">
        <v>346472</v>
      </c>
      <c r="CF402" s="321">
        <v>51511</v>
      </c>
      <c r="CG402" s="321">
        <v>79937</v>
      </c>
      <c r="CH402" s="321">
        <v>0</v>
      </c>
      <c r="CI402" s="321">
        <v>13</v>
      </c>
      <c r="CJ402" s="321">
        <v>0</v>
      </c>
      <c r="CK402" s="321">
        <v>78</v>
      </c>
      <c r="CL402" s="321">
        <v>79816</v>
      </c>
      <c r="CM402" s="321">
        <v>56404</v>
      </c>
      <c r="CN402" s="321">
        <v>292696</v>
      </c>
      <c r="CO402" s="321">
        <v>63811</v>
      </c>
      <c r="CP402" s="321">
        <v>179</v>
      </c>
      <c r="CQ402" s="321">
        <v>18213</v>
      </c>
      <c r="CR402" s="321">
        <v>1601</v>
      </c>
      <c r="CS402" s="321">
        <v>17</v>
      </c>
      <c r="CT402" s="321">
        <v>0</v>
      </c>
      <c r="CU402" s="321">
        <v>0</v>
      </c>
      <c r="CV402" s="321">
        <v>0</v>
      </c>
      <c r="CW402" s="321">
        <v>12</v>
      </c>
      <c r="CX402" s="321">
        <v>0</v>
      </c>
      <c r="CY402" s="321">
        <v>23</v>
      </c>
      <c r="DB402" s="6"/>
      <c r="DD402" s="6">
        <f t="shared" ref="DD402" si="1819">SUM(AY402:AZ402,BE402:CQ402)</f>
        <v>1377179</v>
      </c>
      <c r="DE402" s="6">
        <f t="shared" ref="DE402" si="1820">SUM(M402:N402,P402:AX402,BB402:BC402)+CR402+CS402</f>
        <v>299409</v>
      </c>
      <c r="DF402" s="8">
        <f t="shared" ref="DF402" si="1821">SUM(DD402:DE402)</f>
        <v>1676588</v>
      </c>
      <c r="DG402" s="8"/>
      <c r="DK402" s="6">
        <f t="shared" ref="DK402" si="1822">SUM(M402:N402,P402:S402,U402:X402)</f>
        <v>80384</v>
      </c>
      <c r="DL402" s="6">
        <f t="shared" ref="DL402" si="1823">SUM(Y402:Z402,AB402:AF402,AH402:AM402,AO402,AS402:AW402,BA402:BC402)+CR402+CS402</f>
        <v>152824</v>
      </c>
      <c r="DM402" s="6">
        <f t="shared" ref="DM402" si="1824">T402</f>
        <v>15890</v>
      </c>
      <c r="DN402" s="6">
        <f t="shared" ref="DN402" si="1825">AG402+AX402+AN402+AP402+AQ402+AR402</f>
        <v>51123</v>
      </c>
      <c r="DO402" s="6">
        <f t="shared" ref="DO402" si="1826">SUM(AY402,BF402,BI402,BK402,BO402,BR402:BS402,BU402,BW402,BZ402:CB402,CD402:CF402,CJ402:CK402)</f>
        <v>574460</v>
      </c>
      <c r="DP402" s="6">
        <f t="shared" ref="DP402" si="1827">SUM(AZ402,BD402:BE402,BH402,BN402,BQ402,BT402)</f>
        <v>132417</v>
      </c>
      <c r="DQ402" s="6">
        <f t="shared" ref="DQ402" si="1828">BY402</f>
        <v>0</v>
      </c>
      <c r="DR402" s="6">
        <f t="shared" ref="DR402" si="1829">CC402+CI402+AA402</f>
        <v>20961</v>
      </c>
      <c r="DS402" s="6">
        <f t="shared" ref="DS402" si="1830">BP402+BV402</f>
        <v>45743</v>
      </c>
      <c r="DT402" s="6">
        <f t="shared" ref="DT402" si="1831">BG402+BJ402+BL402+BM402+BX402</f>
        <v>14426</v>
      </c>
      <c r="DU402" s="6">
        <f t="shared" ref="DU402" si="1832">SUM(CL402:CM402)</f>
        <v>136220</v>
      </c>
      <c r="DV402" s="6">
        <f t="shared" ref="DV402" si="1833">SUM(CN402:CQ402)</f>
        <v>374899</v>
      </c>
      <c r="DW402" s="6">
        <f t="shared" ref="DW402" si="1834">SUM(DK402:DV402)</f>
        <v>1599347</v>
      </c>
      <c r="DX402" s="6"/>
      <c r="DY402" s="6">
        <f t="shared" ref="DY402" si="1835">DO402+DT402+H402+I402+J402+K402+CG402</f>
        <v>745502</v>
      </c>
      <c r="DZ402" s="6">
        <f t="shared" ref="DZ402" si="1836">SUM(G402:L402,O402)</f>
        <v>81170</v>
      </c>
      <c r="EA402" s="6"/>
      <c r="EB402" s="6">
        <f t="shared" ref="EB402" si="1837">DZ402+DF402</f>
        <v>1757758</v>
      </c>
      <c r="EC402" s="6"/>
      <c r="ED402" s="6"/>
      <c r="EE402" s="6"/>
      <c r="EF402" s="6">
        <f t="shared" ref="EF402" si="1838">SUM(BE402:CQ402)-CG402-BP402</f>
        <v>1251496</v>
      </c>
      <c r="EG402" s="6">
        <f t="shared" ref="EG402" si="1839">SUM(M402:BC402)-AQ402</f>
        <v>287375</v>
      </c>
      <c r="EH402" s="6">
        <f t="shared" ref="EH402" si="1840">SUM(EF402:EG402)</f>
        <v>1538871</v>
      </c>
      <c r="EI402" s="36">
        <f t="shared" ref="EI402" si="1841">(EF402-EF401)/EF401</f>
        <v>2.0214412826618428E-2</v>
      </c>
      <c r="EJ402" s="36">
        <f t="shared" ref="EJ402" si="1842">(EG402-EG401)/EG401</f>
        <v>4.1078198268449507E-4</v>
      </c>
      <c r="EK402" s="6"/>
      <c r="EN402" s="104"/>
      <c r="EO402" s="104"/>
      <c r="FC402" s="6"/>
      <c r="FD402" s="6"/>
      <c r="FE402" s="32"/>
      <c r="FF402" s="34"/>
      <c r="FG402" s="31"/>
      <c r="FH402" s="6"/>
      <c r="FI402" s="6"/>
      <c r="FJ402" s="6"/>
    </row>
    <row r="403" spans="2:166" s="322" customFormat="1">
      <c r="B403" s="50">
        <v>44228</v>
      </c>
      <c r="C403" s="322">
        <v>0</v>
      </c>
      <c r="D403" s="322">
        <v>0</v>
      </c>
      <c r="E403" s="322">
        <v>0</v>
      </c>
      <c r="F403" s="322">
        <v>0</v>
      </c>
      <c r="G403" s="322">
        <v>1629</v>
      </c>
      <c r="H403" s="322">
        <v>17674</v>
      </c>
      <c r="I403" s="322">
        <v>50949</v>
      </c>
      <c r="J403" s="322">
        <v>2486</v>
      </c>
      <c r="K403" s="322">
        <v>6021</v>
      </c>
      <c r="L403" s="322">
        <v>1834</v>
      </c>
      <c r="M403" s="322">
        <v>34577</v>
      </c>
      <c r="N403" s="322">
        <v>1292</v>
      </c>
      <c r="O403" s="322">
        <v>1123</v>
      </c>
      <c r="P403" s="322">
        <v>1808</v>
      </c>
      <c r="Q403" s="322">
        <v>11080</v>
      </c>
      <c r="R403" s="322">
        <v>313</v>
      </c>
      <c r="S403" s="322">
        <v>4911</v>
      </c>
      <c r="T403" s="322">
        <v>15894</v>
      </c>
      <c r="U403" s="322">
        <v>87</v>
      </c>
      <c r="V403" s="322">
        <v>4438</v>
      </c>
      <c r="W403" s="322">
        <v>82</v>
      </c>
      <c r="X403" s="322">
        <v>21573</v>
      </c>
      <c r="Y403" s="322">
        <v>491</v>
      </c>
      <c r="Z403" s="322">
        <v>4</v>
      </c>
      <c r="AA403" s="322">
        <v>2</v>
      </c>
      <c r="AB403" s="322">
        <v>3</v>
      </c>
      <c r="AC403" s="322">
        <v>84</v>
      </c>
      <c r="AD403" s="322">
        <v>20</v>
      </c>
      <c r="AE403" s="322">
        <v>26</v>
      </c>
      <c r="AF403" s="322">
        <v>17</v>
      </c>
      <c r="AG403" s="322">
        <v>45</v>
      </c>
      <c r="AH403" s="322">
        <v>245</v>
      </c>
      <c r="AI403" s="322">
        <v>2557</v>
      </c>
      <c r="AJ403" s="322">
        <v>2</v>
      </c>
      <c r="AK403" s="322">
        <v>13091</v>
      </c>
      <c r="AL403" s="322">
        <v>114704</v>
      </c>
      <c r="AM403" s="322">
        <v>1768</v>
      </c>
      <c r="AN403" s="322">
        <v>23085</v>
      </c>
      <c r="AO403" s="322">
        <v>6</v>
      </c>
      <c r="AP403" s="322">
        <v>7</v>
      </c>
      <c r="AQ403" s="322">
        <v>12421</v>
      </c>
      <c r="AR403" s="322">
        <v>0</v>
      </c>
      <c r="AS403" s="322">
        <v>690</v>
      </c>
      <c r="AT403" s="322">
        <v>42</v>
      </c>
      <c r="AU403" s="322">
        <v>10635</v>
      </c>
      <c r="AV403" s="322">
        <v>2519</v>
      </c>
      <c r="AW403" s="322">
        <v>3402</v>
      </c>
      <c r="AX403" s="322">
        <v>15524</v>
      </c>
      <c r="AY403" s="322">
        <v>9</v>
      </c>
      <c r="AZ403" s="322">
        <v>0</v>
      </c>
      <c r="BA403" s="322">
        <v>814</v>
      </c>
      <c r="BB403" s="322">
        <v>0</v>
      </c>
      <c r="BC403" s="322">
        <v>277</v>
      </c>
      <c r="BD403" s="322">
        <v>1911</v>
      </c>
      <c r="BE403" s="322">
        <v>0</v>
      </c>
      <c r="BF403" s="322">
        <v>0</v>
      </c>
      <c r="BG403" s="322">
        <v>8966</v>
      </c>
      <c r="BH403" s="322">
        <v>0</v>
      </c>
      <c r="BI403" s="322">
        <v>0</v>
      </c>
      <c r="BJ403" s="322">
        <v>0</v>
      </c>
      <c r="BK403" s="322">
        <v>11</v>
      </c>
      <c r="BL403" s="322">
        <v>5504</v>
      </c>
      <c r="BM403" s="322">
        <v>0</v>
      </c>
      <c r="BN403" s="322">
        <v>2</v>
      </c>
      <c r="BO403" s="322">
        <v>0</v>
      </c>
      <c r="BP403" s="322">
        <v>45852</v>
      </c>
      <c r="BQ403" s="322">
        <v>95234</v>
      </c>
      <c r="BR403" s="322">
        <v>1687</v>
      </c>
      <c r="BS403" s="322">
        <v>25</v>
      </c>
      <c r="BT403" s="322">
        <v>36801</v>
      </c>
      <c r="BU403" s="322">
        <v>1168</v>
      </c>
      <c r="BV403" s="322">
        <v>1</v>
      </c>
      <c r="BW403" s="322">
        <v>0</v>
      </c>
      <c r="BX403" s="322">
        <v>1</v>
      </c>
      <c r="BY403" s="322">
        <v>0</v>
      </c>
      <c r="BZ403" s="322">
        <v>289</v>
      </c>
      <c r="CA403" s="322">
        <v>0</v>
      </c>
      <c r="CB403" s="322">
        <v>30104</v>
      </c>
      <c r="CC403" s="322">
        <v>21329</v>
      </c>
      <c r="CD403" s="322">
        <v>142781</v>
      </c>
      <c r="CE403" s="322">
        <v>349770</v>
      </c>
      <c r="CF403" s="322">
        <v>52445</v>
      </c>
      <c r="CG403" s="322">
        <v>80362</v>
      </c>
      <c r="CH403" s="322">
        <v>0</v>
      </c>
      <c r="CI403" s="322">
        <v>13</v>
      </c>
      <c r="CJ403" s="322">
        <v>0</v>
      </c>
      <c r="CK403" s="322">
        <v>79</v>
      </c>
      <c r="CL403" s="322">
        <v>80442</v>
      </c>
      <c r="CM403" s="322">
        <v>57229</v>
      </c>
      <c r="CN403" s="322">
        <v>299806</v>
      </c>
      <c r="CO403" s="322">
        <v>65032</v>
      </c>
      <c r="CP403" s="322">
        <v>175</v>
      </c>
      <c r="CQ403" s="322">
        <v>18027</v>
      </c>
      <c r="CR403" s="322">
        <v>1591</v>
      </c>
      <c r="CS403" s="322">
        <v>19</v>
      </c>
      <c r="CT403" s="322">
        <v>0</v>
      </c>
      <c r="CU403" s="322">
        <v>0</v>
      </c>
      <c r="CV403" s="322">
        <v>0</v>
      </c>
      <c r="CW403" s="322">
        <v>12</v>
      </c>
      <c r="CX403" s="322">
        <v>0</v>
      </c>
      <c r="CY403" s="322">
        <v>23</v>
      </c>
      <c r="DB403" s="6"/>
      <c r="DD403" s="6">
        <f t="shared" ref="DD403" si="1843">SUM(AY403:AZ403,BE403:CQ403)</f>
        <v>1393144</v>
      </c>
      <c r="DE403" s="6">
        <f t="shared" ref="DE403" si="1844">SUM(M403:N403,P403:AX403,BB403:BC403)+CR403+CS403</f>
        <v>299332</v>
      </c>
      <c r="DF403" s="8">
        <f t="shared" ref="DF403" si="1845">SUM(DD403:DE403)</f>
        <v>1692476</v>
      </c>
      <c r="DG403" s="8"/>
      <c r="DK403" s="6">
        <f t="shared" ref="DK403" si="1846">SUM(M403:N403,P403:S403,U403:X403)</f>
        <v>80161</v>
      </c>
      <c r="DL403" s="6">
        <f t="shared" ref="DL403" si="1847">SUM(Y403:Z403,AB403:AF403,AH403:AM403,AO403,AS403:AW403,BA403:BC403)+CR403+CS403</f>
        <v>153007</v>
      </c>
      <c r="DM403" s="6">
        <f t="shared" ref="DM403" si="1848">T403</f>
        <v>15894</v>
      </c>
      <c r="DN403" s="6">
        <f t="shared" ref="DN403" si="1849">AG403+AX403+AN403+AP403+AQ403+AR403</f>
        <v>51082</v>
      </c>
      <c r="DO403" s="6">
        <f t="shared" ref="DO403" si="1850">SUM(AY403,BF403,BI403,BK403,BO403,BR403:BS403,BU403,BW403,BZ403:CB403,CD403:CF403,CJ403:CK403)</f>
        <v>578368</v>
      </c>
      <c r="DP403" s="6">
        <f t="shared" ref="DP403" si="1851">SUM(AZ403,BD403:BE403,BH403,BN403,BQ403,BT403)</f>
        <v>133948</v>
      </c>
      <c r="DQ403" s="6">
        <f t="shared" ref="DQ403" si="1852">BY403</f>
        <v>0</v>
      </c>
      <c r="DR403" s="6">
        <f t="shared" ref="DR403" si="1853">CC403+CI403+AA403</f>
        <v>21344</v>
      </c>
      <c r="DS403" s="6">
        <f t="shared" ref="DS403" si="1854">BP403+BV403</f>
        <v>45853</v>
      </c>
      <c r="DT403" s="6">
        <f t="shared" ref="DT403" si="1855">BG403+BJ403+BL403+BM403+BX403</f>
        <v>14471</v>
      </c>
      <c r="DU403" s="6">
        <f t="shared" ref="DU403" si="1856">SUM(CL403:CM403)</f>
        <v>137671</v>
      </c>
      <c r="DV403" s="6">
        <f t="shared" ref="DV403" si="1857">SUM(CN403:CQ403)</f>
        <v>383040</v>
      </c>
      <c r="DW403" s="6">
        <f t="shared" ref="DW403" si="1858">SUM(DK403:DV403)</f>
        <v>1614839</v>
      </c>
      <c r="DX403" s="6"/>
      <c r="DY403" s="6">
        <f t="shared" ref="DY403" si="1859">DO403+DT403+H403+I403+J403+K403+CG403</f>
        <v>750331</v>
      </c>
      <c r="DZ403" s="6">
        <f t="shared" ref="DZ403" si="1860">SUM(G403:L403,O403)</f>
        <v>81716</v>
      </c>
      <c r="EA403" s="6"/>
      <c r="EB403" s="6">
        <f t="shared" ref="EB403" si="1861">DZ403+DF403</f>
        <v>1774192</v>
      </c>
      <c r="EC403" s="6"/>
      <c r="ED403" s="6"/>
      <c r="EE403" s="6"/>
      <c r="EF403" s="6">
        <f t="shared" ref="EF403" si="1862">SUM(BE403:CQ403)-CG403-BP403</f>
        <v>1266921</v>
      </c>
      <c r="EG403" s="6">
        <f t="shared" ref="EG403" si="1863">SUM(M403:BC403)-AQ403</f>
        <v>287247</v>
      </c>
      <c r="EH403" s="6">
        <f t="shared" ref="EH403" si="1864">SUM(EF403:EG403)</f>
        <v>1554168</v>
      </c>
      <c r="EI403" s="36">
        <f t="shared" ref="EI403" si="1865">(EF403-EF402)/EF402</f>
        <v>1.2325249141827062E-2</v>
      </c>
      <c r="EJ403" s="36">
        <f t="shared" ref="EJ403" si="1866">(EG403-EG402)/EG402</f>
        <v>-4.4541104828186168E-4</v>
      </c>
      <c r="EK403" s="6"/>
      <c r="EN403" s="104"/>
      <c r="EO403" s="104"/>
      <c r="FC403" s="6"/>
      <c r="FD403" s="6"/>
      <c r="FE403" s="32"/>
      <c r="FF403" s="34"/>
      <c r="FG403" s="31"/>
      <c r="FH403" s="6"/>
      <c r="FI403" s="6"/>
      <c r="FJ403" s="6"/>
    </row>
    <row r="404" spans="2:166" s="323" customFormat="1">
      <c r="B404" s="50">
        <v>44256</v>
      </c>
      <c r="C404" s="323">
        <v>0</v>
      </c>
      <c r="D404" s="323">
        <v>0</v>
      </c>
      <c r="E404" s="323">
        <v>0</v>
      </c>
      <c r="F404" s="323">
        <v>0</v>
      </c>
      <c r="G404" s="323">
        <v>1624</v>
      </c>
      <c r="H404" s="323">
        <v>17600</v>
      </c>
      <c r="I404" s="323">
        <v>50928</v>
      </c>
      <c r="J404" s="323">
        <v>2630</v>
      </c>
      <c r="K404" s="323">
        <v>6374</v>
      </c>
      <c r="L404" s="323">
        <v>1838</v>
      </c>
      <c r="M404" s="323">
        <v>34636</v>
      </c>
      <c r="N404" s="323">
        <v>1281</v>
      </c>
      <c r="O404" s="323">
        <v>1135</v>
      </c>
      <c r="P404" s="323">
        <v>1782</v>
      </c>
      <c r="Q404" s="323">
        <v>10955</v>
      </c>
      <c r="R404" s="323">
        <v>316</v>
      </c>
      <c r="S404" s="323">
        <v>4864</v>
      </c>
      <c r="T404" s="323">
        <v>15872</v>
      </c>
      <c r="U404" s="323">
        <v>95</v>
      </c>
      <c r="V404" s="323">
        <v>4404</v>
      </c>
      <c r="W404" s="323">
        <v>87</v>
      </c>
      <c r="X404" s="323">
        <v>21774</v>
      </c>
      <c r="Y404" s="323">
        <v>495</v>
      </c>
      <c r="Z404" s="323">
        <v>4</v>
      </c>
      <c r="AA404" s="323">
        <v>4</v>
      </c>
      <c r="AB404" s="323">
        <v>3</v>
      </c>
      <c r="AC404" s="323">
        <v>82</v>
      </c>
      <c r="AD404" s="323">
        <v>22</v>
      </c>
      <c r="AE404" s="323">
        <v>25</v>
      </c>
      <c r="AF404" s="323">
        <v>17</v>
      </c>
      <c r="AG404" s="323">
        <v>46</v>
      </c>
      <c r="AH404" s="323">
        <v>237</v>
      </c>
      <c r="AI404" s="323">
        <v>2545</v>
      </c>
      <c r="AJ404" s="323">
        <v>2</v>
      </c>
      <c r="AK404" s="323">
        <v>13195</v>
      </c>
      <c r="AL404" s="323">
        <v>114828</v>
      </c>
      <c r="AM404" s="323">
        <v>1743</v>
      </c>
      <c r="AN404" s="323">
        <v>23050</v>
      </c>
      <c r="AO404" s="323">
        <v>7</v>
      </c>
      <c r="AP404" s="323">
        <v>7</v>
      </c>
      <c r="AQ404" s="323">
        <v>12466</v>
      </c>
      <c r="AR404" s="323">
        <v>0</v>
      </c>
      <c r="AS404" s="323">
        <v>699</v>
      </c>
      <c r="AT404" s="323">
        <v>41</v>
      </c>
      <c r="AU404" s="323">
        <v>10699</v>
      </c>
      <c r="AV404" s="323">
        <v>2523</v>
      </c>
      <c r="AW404" s="323">
        <v>3403</v>
      </c>
      <c r="AX404" s="323">
        <v>15467</v>
      </c>
      <c r="AY404" s="323">
        <v>11</v>
      </c>
      <c r="AZ404" s="323">
        <v>1</v>
      </c>
      <c r="BA404" s="323">
        <v>814</v>
      </c>
      <c r="BB404" s="323">
        <v>0</v>
      </c>
      <c r="BC404" s="323">
        <v>286</v>
      </c>
      <c r="BD404" s="323">
        <v>1925</v>
      </c>
      <c r="BE404" s="323">
        <v>0</v>
      </c>
      <c r="BF404" s="323">
        <v>0</v>
      </c>
      <c r="BG404" s="323">
        <v>8996</v>
      </c>
      <c r="BH404" s="323">
        <v>0</v>
      </c>
      <c r="BI404" s="323">
        <v>0</v>
      </c>
      <c r="BJ404" s="323">
        <v>0</v>
      </c>
      <c r="BK404" s="323">
        <v>11</v>
      </c>
      <c r="BL404" s="323">
        <v>5488</v>
      </c>
      <c r="BM404" s="323">
        <v>0</v>
      </c>
      <c r="BN404" s="323">
        <v>2</v>
      </c>
      <c r="BO404" s="323">
        <v>0</v>
      </c>
      <c r="BP404" s="323">
        <v>45928</v>
      </c>
      <c r="BQ404" s="323">
        <v>96313</v>
      </c>
      <c r="BR404" s="323">
        <v>1695</v>
      </c>
      <c r="BS404" s="323">
        <v>26</v>
      </c>
      <c r="BT404" s="323">
        <v>37419</v>
      </c>
      <c r="BU404" s="323">
        <v>1161</v>
      </c>
      <c r="BV404" s="323">
        <v>0</v>
      </c>
      <c r="BW404" s="323">
        <v>0</v>
      </c>
      <c r="BX404" s="323">
        <v>1</v>
      </c>
      <c r="BY404" s="323">
        <v>0</v>
      </c>
      <c r="BZ404" s="323">
        <v>289</v>
      </c>
      <c r="CA404" s="323">
        <v>0</v>
      </c>
      <c r="CB404" s="323">
        <v>29951</v>
      </c>
      <c r="CC404" s="323">
        <v>21475</v>
      </c>
      <c r="CD404" s="323">
        <v>142968</v>
      </c>
      <c r="CE404" s="323">
        <v>352662</v>
      </c>
      <c r="CF404" s="323">
        <v>52811</v>
      </c>
      <c r="CG404" s="323">
        <v>80762</v>
      </c>
      <c r="CH404" s="323">
        <v>0</v>
      </c>
      <c r="CI404" s="323">
        <v>14</v>
      </c>
      <c r="CJ404" s="323">
        <v>0</v>
      </c>
      <c r="CK404" s="323">
        <v>83</v>
      </c>
      <c r="CL404" s="323">
        <v>80993</v>
      </c>
      <c r="CM404" s="323">
        <v>57866</v>
      </c>
      <c r="CN404" s="323">
        <v>306094</v>
      </c>
      <c r="CO404" s="323">
        <v>65962</v>
      </c>
      <c r="CP404" s="323">
        <v>158</v>
      </c>
      <c r="CQ404" s="323">
        <v>17928</v>
      </c>
      <c r="CR404" s="323">
        <v>1585</v>
      </c>
      <c r="CS404" s="323">
        <v>19</v>
      </c>
      <c r="CT404" s="323">
        <v>0</v>
      </c>
      <c r="CU404" s="323">
        <v>0</v>
      </c>
      <c r="CV404" s="323">
        <v>0</v>
      </c>
      <c r="CW404" s="323">
        <v>12</v>
      </c>
      <c r="CX404" s="323">
        <v>0</v>
      </c>
      <c r="CY404" s="323">
        <v>23</v>
      </c>
      <c r="DB404" s="6"/>
      <c r="DD404" s="6">
        <f t="shared" ref="DD404" si="1867">SUM(AY404:AZ404,BE404:CQ404)</f>
        <v>1407068</v>
      </c>
      <c r="DE404" s="6">
        <f t="shared" ref="DE404" si="1868">SUM(M404:N404,P404:AX404,BB404:BC404)+CR404+CS404</f>
        <v>299566</v>
      </c>
      <c r="DF404" s="8">
        <f t="shared" ref="DF404" si="1869">SUM(DD404:DE404)</f>
        <v>1706634</v>
      </c>
      <c r="DG404" s="8"/>
      <c r="DK404" s="6">
        <f t="shared" ref="DK404" si="1870">SUM(M404:N404,P404:S404,U404:X404)</f>
        <v>80194</v>
      </c>
      <c r="DL404" s="6">
        <f t="shared" ref="DL404" si="1871">SUM(Y404:Z404,AB404:AF404,AH404:AM404,AO404,AS404:AW404,BA404:BC404)+CR404+CS404</f>
        <v>153274</v>
      </c>
      <c r="DM404" s="6">
        <f t="shared" ref="DM404" si="1872">T404</f>
        <v>15872</v>
      </c>
      <c r="DN404" s="6">
        <f t="shared" ref="DN404" si="1873">AG404+AX404+AN404+AP404+AQ404+AR404</f>
        <v>51036</v>
      </c>
      <c r="DO404" s="6">
        <f t="shared" ref="DO404" si="1874">SUM(AY404,BF404,BI404,BK404,BO404,BR404:BS404,BU404,BW404,BZ404:CB404,CD404:CF404,CJ404:CK404)</f>
        <v>581668</v>
      </c>
      <c r="DP404" s="6">
        <f t="shared" ref="DP404" si="1875">SUM(AZ404,BD404:BE404,BH404,BN404,BQ404,BT404)</f>
        <v>135660</v>
      </c>
      <c r="DQ404" s="6">
        <f t="shared" ref="DQ404" si="1876">BY404</f>
        <v>0</v>
      </c>
      <c r="DR404" s="6">
        <f t="shared" ref="DR404" si="1877">CC404+CI404+AA404</f>
        <v>21493</v>
      </c>
      <c r="DS404" s="6">
        <f t="shared" ref="DS404" si="1878">BP404+BV404</f>
        <v>45928</v>
      </c>
      <c r="DT404" s="6">
        <f t="shared" ref="DT404" si="1879">BG404+BJ404+BL404+BM404+BX404</f>
        <v>14485</v>
      </c>
      <c r="DU404" s="6">
        <f t="shared" ref="DU404" si="1880">SUM(CL404:CM404)</f>
        <v>138859</v>
      </c>
      <c r="DV404" s="6">
        <f t="shared" ref="DV404" si="1881">SUM(CN404:CQ404)</f>
        <v>390142</v>
      </c>
      <c r="DW404" s="6">
        <f t="shared" ref="DW404" si="1882">SUM(DK404:DV404)</f>
        <v>1628611</v>
      </c>
      <c r="DX404" s="6"/>
      <c r="DY404" s="6">
        <f t="shared" ref="DY404" si="1883">DO404+DT404+H404+I404+J404+K404+CG404</f>
        <v>754447</v>
      </c>
      <c r="DZ404" s="6">
        <f t="shared" ref="DZ404" si="1884">SUM(G404:L404,O404)</f>
        <v>82129</v>
      </c>
      <c r="EA404" s="6"/>
      <c r="EB404" s="6">
        <f t="shared" ref="EB404" si="1885">DZ404+DF404</f>
        <v>1788763</v>
      </c>
      <c r="EC404" s="6"/>
      <c r="ED404" s="6"/>
      <c r="EE404" s="6"/>
      <c r="EF404" s="6">
        <f t="shared" ref="EF404" si="1886">SUM(BE404:CQ404)-CG404-BP404</f>
        <v>1280366</v>
      </c>
      <c r="EG404" s="6">
        <f t="shared" ref="EG404" si="1887">SUM(M404:BC404)-AQ404</f>
        <v>287457</v>
      </c>
      <c r="EH404" s="6">
        <f t="shared" ref="EH404" si="1888">SUM(EF404:EG404)</f>
        <v>1567823</v>
      </c>
      <c r="EI404" s="36">
        <f t="shared" ref="EI404" si="1889">(EF404-EF403)/EF403</f>
        <v>1.0612342837477633E-2</v>
      </c>
      <c r="EJ404" s="36">
        <f t="shared" ref="EJ404" si="1890">(EG404-EG403)/EG403</f>
        <v>7.310781313642962E-4</v>
      </c>
      <c r="EK404" s="6"/>
      <c r="EN404" s="104"/>
      <c r="EO404" s="104"/>
      <c r="FC404" s="6"/>
      <c r="FD404" s="6"/>
      <c r="FE404" s="32"/>
      <c r="FF404" s="34"/>
      <c r="FG404" s="31"/>
      <c r="FH404" s="6"/>
      <c r="FI404" s="6"/>
      <c r="FJ404" s="6"/>
    </row>
    <row r="405" spans="2:166" s="324" customFormat="1">
      <c r="B405" s="50">
        <v>44287</v>
      </c>
      <c r="C405" s="324">
        <v>0</v>
      </c>
      <c r="D405" s="324">
        <v>0</v>
      </c>
      <c r="E405" s="324">
        <v>0</v>
      </c>
      <c r="F405" s="324">
        <v>0</v>
      </c>
      <c r="G405" s="324">
        <v>1636</v>
      </c>
      <c r="H405" s="324">
        <v>17412</v>
      </c>
      <c r="I405" s="324">
        <v>51044</v>
      </c>
      <c r="J405" s="324">
        <v>2717</v>
      </c>
      <c r="K405" s="324">
        <v>6649</v>
      </c>
      <c r="L405" s="324">
        <v>1847</v>
      </c>
      <c r="M405" s="324">
        <v>34695</v>
      </c>
      <c r="N405" s="324">
        <v>1268</v>
      </c>
      <c r="O405" s="324">
        <v>1142</v>
      </c>
      <c r="P405" s="324">
        <v>1799</v>
      </c>
      <c r="Q405" s="324">
        <v>11000</v>
      </c>
      <c r="R405" s="324">
        <v>323</v>
      </c>
      <c r="S405" s="324">
        <v>4904</v>
      </c>
      <c r="T405" s="324">
        <v>15909</v>
      </c>
      <c r="U405" s="324">
        <v>97</v>
      </c>
      <c r="V405" s="324">
        <v>4390</v>
      </c>
      <c r="W405" s="324">
        <v>87</v>
      </c>
      <c r="X405" s="324">
        <v>22079</v>
      </c>
      <c r="Y405" s="324">
        <v>498</v>
      </c>
      <c r="Z405" s="324">
        <v>4</v>
      </c>
      <c r="AA405" s="324">
        <v>2</v>
      </c>
      <c r="AB405" s="324">
        <v>3</v>
      </c>
      <c r="AC405" s="324">
        <v>86</v>
      </c>
      <c r="AD405" s="324">
        <v>21</v>
      </c>
      <c r="AE405" s="324">
        <v>26</v>
      </c>
      <c r="AF405" s="324">
        <v>17</v>
      </c>
      <c r="AG405" s="324">
        <v>45</v>
      </c>
      <c r="AH405" s="324">
        <v>255</v>
      </c>
      <c r="AI405" s="324">
        <v>2544</v>
      </c>
      <c r="AJ405" s="324">
        <v>2</v>
      </c>
      <c r="AK405" s="324">
        <v>13300</v>
      </c>
      <c r="AL405" s="324">
        <v>115016</v>
      </c>
      <c r="AM405" s="324">
        <v>1725</v>
      </c>
      <c r="AN405" s="324">
        <v>23095</v>
      </c>
      <c r="AO405" s="324">
        <v>8</v>
      </c>
      <c r="AP405" s="324">
        <v>7</v>
      </c>
      <c r="AQ405" s="324">
        <v>12516</v>
      </c>
      <c r="AR405" s="324">
        <v>0</v>
      </c>
      <c r="AS405" s="324">
        <v>720</v>
      </c>
      <c r="AT405" s="324">
        <v>42</v>
      </c>
      <c r="AU405" s="324">
        <v>10736</v>
      </c>
      <c r="AV405" s="324">
        <v>2525</v>
      </c>
      <c r="AW405" s="324">
        <v>3433</v>
      </c>
      <c r="AX405" s="324">
        <v>15390</v>
      </c>
      <c r="AY405" s="324">
        <v>6</v>
      </c>
      <c r="AZ405" s="324">
        <v>1</v>
      </c>
      <c r="BA405" s="324">
        <v>821</v>
      </c>
      <c r="BB405" s="324">
        <v>0</v>
      </c>
      <c r="BC405" s="324">
        <v>288</v>
      </c>
      <c r="BD405" s="324">
        <v>1937</v>
      </c>
      <c r="BE405" s="324">
        <v>0</v>
      </c>
      <c r="BF405" s="324">
        <v>0</v>
      </c>
      <c r="BG405" s="324">
        <v>9037</v>
      </c>
      <c r="BH405" s="324">
        <v>0</v>
      </c>
      <c r="BI405" s="324">
        <v>0</v>
      </c>
      <c r="BJ405" s="324">
        <v>0</v>
      </c>
      <c r="BK405" s="324">
        <v>11</v>
      </c>
      <c r="BL405" s="324">
        <v>5533</v>
      </c>
      <c r="BM405" s="324">
        <v>0</v>
      </c>
      <c r="BN405" s="324">
        <v>1</v>
      </c>
      <c r="BO405" s="324">
        <v>0</v>
      </c>
      <c r="BP405" s="324">
        <v>46179</v>
      </c>
      <c r="BQ405" s="324">
        <v>97177</v>
      </c>
      <c r="BR405" s="324">
        <v>1679</v>
      </c>
      <c r="BS405" s="324">
        <v>29</v>
      </c>
      <c r="BT405" s="324">
        <v>37870</v>
      </c>
      <c r="BU405" s="324">
        <v>1186</v>
      </c>
      <c r="BV405" s="324">
        <v>0</v>
      </c>
      <c r="BW405" s="324">
        <v>0</v>
      </c>
      <c r="BX405" s="324">
        <v>1</v>
      </c>
      <c r="BY405" s="324">
        <v>0</v>
      </c>
      <c r="BZ405" s="324">
        <v>287</v>
      </c>
      <c r="CA405" s="324">
        <v>0</v>
      </c>
      <c r="CB405" s="324">
        <v>29840</v>
      </c>
      <c r="CC405" s="324">
        <v>21879</v>
      </c>
      <c r="CD405" s="324">
        <v>142922</v>
      </c>
      <c r="CE405" s="324">
        <v>355839</v>
      </c>
      <c r="CF405" s="324">
        <v>53820</v>
      </c>
      <c r="CG405" s="324">
        <v>81284</v>
      </c>
      <c r="CH405" s="324">
        <v>0</v>
      </c>
      <c r="CI405" s="324">
        <v>14</v>
      </c>
      <c r="CJ405" s="324">
        <v>0</v>
      </c>
      <c r="CK405" s="324">
        <v>87</v>
      </c>
      <c r="CL405" s="324">
        <v>81773</v>
      </c>
      <c r="CM405" s="324">
        <v>58669</v>
      </c>
      <c r="CN405" s="324">
        <v>313127</v>
      </c>
      <c r="CO405" s="324">
        <v>67221</v>
      </c>
      <c r="CP405" s="324">
        <v>128</v>
      </c>
      <c r="CQ405" s="324">
        <v>17742</v>
      </c>
      <c r="CR405" s="324">
        <v>1569</v>
      </c>
      <c r="CS405" s="324">
        <v>11</v>
      </c>
      <c r="CT405" s="324">
        <v>0</v>
      </c>
      <c r="CU405" s="324">
        <v>0</v>
      </c>
      <c r="CV405" s="324">
        <v>0</v>
      </c>
      <c r="CW405" s="324">
        <v>12</v>
      </c>
      <c r="CX405" s="324">
        <v>0</v>
      </c>
      <c r="CY405" s="324">
        <v>23</v>
      </c>
      <c r="DB405" s="6"/>
      <c r="DD405" s="6">
        <f t="shared" ref="DD405" si="1891">SUM(AY405:AZ405,BE405:CQ405)</f>
        <v>1423342</v>
      </c>
      <c r="DE405" s="6">
        <f t="shared" ref="DE405" si="1892">SUM(M405:N405,P405:AX405,BB405:BC405)+CR405+CS405</f>
        <v>300435</v>
      </c>
      <c r="DF405" s="8">
        <f t="shared" ref="DF405" si="1893">SUM(DD405:DE405)</f>
        <v>1723777</v>
      </c>
      <c r="DG405" s="8"/>
      <c r="DK405" s="6">
        <f t="shared" ref="DK405" si="1894">SUM(M405:N405,P405:S405,U405:X405)</f>
        <v>80642</v>
      </c>
      <c r="DL405" s="6">
        <f t="shared" ref="DL405" si="1895">SUM(Y405:Z405,AB405:AF405,AH405:AM405,AO405,AS405:AW405,BA405:BC405)+CR405+CS405</f>
        <v>153650</v>
      </c>
      <c r="DM405" s="6">
        <f t="shared" ref="DM405" si="1896">T405</f>
        <v>15909</v>
      </c>
      <c r="DN405" s="6">
        <f t="shared" ref="DN405" si="1897">AG405+AX405+AN405+AP405+AQ405+AR405</f>
        <v>51053</v>
      </c>
      <c r="DO405" s="6">
        <f t="shared" ref="DO405" si="1898">SUM(AY405,BF405,BI405,BK405,BO405,BR405:BS405,BU405,BW405,BZ405:CB405,CD405:CF405,CJ405:CK405)</f>
        <v>585706</v>
      </c>
      <c r="DP405" s="6">
        <f t="shared" ref="DP405" si="1899">SUM(AZ405,BD405:BE405,BH405,BN405,BQ405,BT405)</f>
        <v>136986</v>
      </c>
      <c r="DQ405" s="6">
        <f t="shared" ref="DQ405" si="1900">BY405</f>
        <v>0</v>
      </c>
      <c r="DR405" s="6">
        <f t="shared" ref="DR405" si="1901">CC405+CI405+AA405</f>
        <v>21895</v>
      </c>
      <c r="DS405" s="6">
        <f t="shared" ref="DS405" si="1902">BP405+BV405</f>
        <v>46179</v>
      </c>
      <c r="DT405" s="6">
        <f t="shared" ref="DT405" si="1903">BG405+BJ405+BL405+BM405+BX405</f>
        <v>14571</v>
      </c>
      <c r="DU405" s="6">
        <f t="shared" ref="DU405" si="1904">SUM(CL405:CM405)</f>
        <v>140442</v>
      </c>
      <c r="DV405" s="6">
        <f t="shared" ref="DV405" si="1905">SUM(CN405:CQ405)</f>
        <v>398218</v>
      </c>
      <c r="DW405" s="6">
        <f t="shared" ref="DW405" si="1906">SUM(DK405:DV405)</f>
        <v>1645251</v>
      </c>
      <c r="DX405" s="6"/>
      <c r="DY405" s="6">
        <f t="shared" ref="DY405" si="1907">DO405+DT405+H405+I405+J405+K405+CG405</f>
        <v>759383</v>
      </c>
      <c r="DZ405" s="6">
        <f t="shared" ref="DZ405" si="1908">SUM(G405:L405,O405)</f>
        <v>82447</v>
      </c>
      <c r="EA405" s="6"/>
      <c r="EB405" s="6">
        <f t="shared" ref="EB405" si="1909">DZ405+DF405</f>
        <v>1806224</v>
      </c>
      <c r="EC405" s="6"/>
      <c r="ED405" s="6"/>
      <c r="EE405" s="6"/>
      <c r="EF405" s="6">
        <f t="shared" ref="EF405" si="1910">SUM(BE405:CQ405)-CG405-BP405</f>
        <v>1295872</v>
      </c>
      <c r="EG405" s="6">
        <f t="shared" ref="EG405" si="1911">SUM(M405:BC405)-AQ405</f>
        <v>288309</v>
      </c>
      <c r="EH405" s="6">
        <f t="shared" ref="EH405" si="1912">SUM(EF405:EG405)</f>
        <v>1584181</v>
      </c>
      <c r="EI405" s="36">
        <f t="shared" ref="EI405" si="1913">(EF405-EF404)/EF404</f>
        <v>1.2110599625419606E-2</v>
      </c>
      <c r="EJ405" s="36">
        <f t="shared" ref="EJ405" si="1914">(EG405-EG404)/EG404</f>
        <v>2.9639215604420834E-3</v>
      </c>
      <c r="EK405" s="6"/>
      <c r="EN405" s="104"/>
      <c r="EO405" s="104"/>
      <c r="FC405" s="6"/>
      <c r="FD405" s="6"/>
      <c r="FE405" s="32"/>
      <c r="FF405" s="34"/>
      <c r="FG405" s="31"/>
      <c r="FH405" s="6"/>
      <c r="FI405" s="6"/>
      <c r="FJ405" s="6"/>
    </row>
    <row r="406" spans="2:166" s="325" customFormat="1">
      <c r="B406" s="50">
        <v>44317</v>
      </c>
      <c r="C406" s="325">
        <v>0</v>
      </c>
      <c r="D406" s="325">
        <v>0</v>
      </c>
      <c r="E406" s="325">
        <v>0</v>
      </c>
      <c r="F406" s="325">
        <v>0</v>
      </c>
      <c r="G406" s="325">
        <v>1682</v>
      </c>
      <c r="H406" s="325">
        <v>17178</v>
      </c>
      <c r="I406" s="325">
        <v>51063</v>
      </c>
      <c r="J406" s="325">
        <v>2723</v>
      </c>
      <c r="K406" s="325">
        <v>6855</v>
      </c>
      <c r="L406" s="325">
        <v>1873</v>
      </c>
      <c r="M406" s="325">
        <v>34695</v>
      </c>
      <c r="N406" s="325">
        <v>1260</v>
      </c>
      <c r="O406" s="325">
        <v>1134</v>
      </c>
      <c r="P406" s="325">
        <v>1797</v>
      </c>
      <c r="Q406" s="325">
        <v>11054</v>
      </c>
      <c r="R406" s="325">
        <v>323</v>
      </c>
      <c r="S406" s="325">
        <v>4892</v>
      </c>
      <c r="T406" s="325">
        <v>15942</v>
      </c>
      <c r="U406" s="325">
        <v>108</v>
      </c>
      <c r="V406" s="325">
        <v>4387</v>
      </c>
      <c r="W406" s="325">
        <v>90</v>
      </c>
      <c r="X406" s="325">
        <v>22429</v>
      </c>
      <c r="Y406" s="325">
        <v>500</v>
      </c>
      <c r="Z406" s="325">
        <v>4</v>
      </c>
      <c r="AA406" s="325">
        <v>0</v>
      </c>
      <c r="AB406" s="325">
        <v>3</v>
      </c>
      <c r="AC406" s="325">
        <v>88</v>
      </c>
      <c r="AD406" s="325">
        <v>21</v>
      </c>
      <c r="AE406" s="325">
        <v>26</v>
      </c>
      <c r="AF406" s="325">
        <v>16</v>
      </c>
      <c r="AG406" s="325">
        <v>44</v>
      </c>
      <c r="AH406" s="325">
        <v>259</v>
      </c>
      <c r="AI406" s="325">
        <v>2552</v>
      </c>
      <c r="AJ406" s="325">
        <v>3</v>
      </c>
      <c r="AK406" s="325">
        <v>13392</v>
      </c>
      <c r="AL406" s="325">
        <v>115071</v>
      </c>
      <c r="AM406" s="325">
        <v>1714</v>
      </c>
      <c r="AN406" s="325">
        <v>23028</v>
      </c>
      <c r="AO406" s="325">
        <v>7</v>
      </c>
      <c r="AP406" s="325">
        <v>7</v>
      </c>
      <c r="AQ406" s="325">
        <v>12506</v>
      </c>
      <c r="AR406" s="325">
        <v>0</v>
      </c>
      <c r="AS406" s="325">
        <v>727</v>
      </c>
      <c r="AT406" s="325">
        <v>42</v>
      </c>
      <c r="AU406" s="325">
        <v>10833</v>
      </c>
      <c r="AV406" s="325">
        <v>2530</v>
      </c>
      <c r="AW406" s="325">
        <v>3430</v>
      </c>
      <c r="AX406" s="325">
        <v>15356</v>
      </c>
      <c r="AY406" s="325">
        <v>7</v>
      </c>
      <c r="AZ406" s="325">
        <v>0</v>
      </c>
      <c r="BA406" s="325">
        <v>822</v>
      </c>
      <c r="BB406" s="325">
        <v>0</v>
      </c>
      <c r="BC406" s="325">
        <v>294</v>
      </c>
      <c r="BD406" s="325">
        <v>1945</v>
      </c>
      <c r="BE406" s="325">
        <v>0</v>
      </c>
      <c r="BF406" s="325">
        <v>0</v>
      </c>
      <c r="BG406" s="325">
        <v>9054</v>
      </c>
      <c r="BH406" s="325">
        <v>0</v>
      </c>
      <c r="BI406" s="325">
        <v>0</v>
      </c>
      <c r="BJ406" s="325">
        <v>0</v>
      </c>
      <c r="BK406" s="325">
        <v>12</v>
      </c>
      <c r="BL406" s="325">
        <v>5588</v>
      </c>
      <c r="BM406" s="325">
        <v>0</v>
      </c>
      <c r="BN406" s="325">
        <v>0</v>
      </c>
      <c r="BO406" s="325">
        <v>0</v>
      </c>
      <c r="BP406" s="325">
        <v>46349</v>
      </c>
      <c r="BQ406" s="325">
        <v>97884</v>
      </c>
      <c r="BR406" s="325">
        <v>1677</v>
      </c>
      <c r="BS406" s="325">
        <v>29</v>
      </c>
      <c r="BT406" s="325">
        <v>38344</v>
      </c>
      <c r="BU406" s="325">
        <v>1194</v>
      </c>
      <c r="BV406" s="325">
        <v>0</v>
      </c>
      <c r="BW406" s="325">
        <v>0</v>
      </c>
      <c r="BX406" s="325">
        <v>1</v>
      </c>
      <c r="BY406" s="325">
        <v>0</v>
      </c>
      <c r="BZ406" s="325">
        <v>283</v>
      </c>
      <c r="CA406" s="325">
        <v>0</v>
      </c>
      <c r="CB406" s="325">
        <v>29823</v>
      </c>
      <c r="CC406" s="325">
        <v>22293</v>
      </c>
      <c r="CD406" s="325">
        <v>142865</v>
      </c>
      <c r="CE406" s="325">
        <v>358555</v>
      </c>
      <c r="CF406" s="325">
        <v>54460</v>
      </c>
      <c r="CG406" s="325">
        <v>81897</v>
      </c>
      <c r="CH406" s="325">
        <v>0</v>
      </c>
      <c r="CI406" s="325">
        <v>15</v>
      </c>
      <c r="CJ406" s="325">
        <v>0</v>
      </c>
      <c r="CK406" s="325">
        <v>87</v>
      </c>
      <c r="CL406" s="325">
        <v>82525</v>
      </c>
      <c r="CM406" s="325">
        <v>59434</v>
      </c>
      <c r="CN406" s="325">
        <v>319336</v>
      </c>
      <c r="CO406" s="325">
        <v>68593</v>
      </c>
      <c r="CP406" s="325">
        <v>120</v>
      </c>
      <c r="CQ406" s="325">
        <v>17630</v>
      </c>
      <c r="CR406" s="325">
        <v>1558</v>
      </c>
      <c r="CS406" s="325">
        <v>12</v>
      </c>
      <c r="CT406" s="325">
        <v>0</v>
      </c>
      <c r="CU406" s="325">
        <v>0</v>
      </c>
      <c r="CV406" s="325">
        <v>0</v>
      </c>
      <c r="CW406" s="325">
        <v>12</v>
      </c>
      <c r="CX406" s="325">
        <v>0</v>
      </c>
      <c r="CY406" s="325">
        <v>23</v>
      </c>
      <c r="DB406" s="6"/>
      <c r="DD406" s="6">
        <f t="shared" ref="DD406" si="1915">SUM(AY406:AZ406,BE406:CQ406)</f>
        <v>1438055</v>
      </c>
      <c r="DE406" s="6">
        <f t="shared" ref="DE406" si="1916">SUM(M406:N406,P406:AX406,BB406:BC406)+CR406+CS406</f>
        <v>301000</v>
      </c>
      <c r="DF406" s="8">
        <f t="shared" ref="DF406" si="1917">SUM(DD406:DE406)</f>
        <v>1739055</v>
      </c>
      <c r="DG406" s="8"/>
      <c r="DK406" s="6">
        <f t="shared" ref="DK406" si="1918">SUM(M406:N406,P406:S406,U406:X406)</f>
        <v>81035</v>
      </c>
      <c r="DL406" s="6">
        <f t="shared" ref="DL406" si="1919">SUM(Y406:Z406,AB406:AF406,AH406:AM406,AO406,AS406:AW406,BA406:BC406)+CR406+CS406</f>
        <v>153904</v>
      </c>
      <c r="DM406" s="6">
        <f t="shared" ref="DM406" si="1920">T406</f>
        <v>15942</v>
      </c>
      <c r="DN406" s="6">
        <f t="shared" ref="DN406" si="1921">AG406+AX406+AN406+AP406+AQ406+AR406</f>
        <v>50941</v>
      </c>
      <c r="DO406" s="6">
        <f t="shared" ref="DO406" si="1922">SUM(AY406,BF406,BI406,BK406,BO406,BR406:BS406,BU406,BW406,BZ406:CB406,CD406:CF406,CJ406:CK406)</f>
        <v>588992</v>
      </c>
      <c r="DP406" s="6">
        <f t="shared" ref="DP406" si="1923">SUM(AZ406,BD406:BE406,BH406,BN406,BQ406,BT406)</f>
        <v>138173</v>
      </c>
      <c r="DQ406" s="6">
        <f t="shared" ref="DQ406" si="1924">BY406</f>
        <v>0</v>
      </c>
      <c r="DR406" s="6">
        <f t="shared" ref="DR406" si="1925">CC406+CI406+AA406</f>
        <v>22308</v>
      </c>
      <c r="DS406" s="6">
        <f t="shared" ref="DS406" si="1926">BP406+BV406</f>
        <v>46349</v>
      </c>
      <c r="DT406" s="6">
        <f t="shared" ref="DT406" si="1927">BG406+BJ406+BL406+BM406+BX406</f>
        <v>14643</v>
      </c>
      <c r="DU406" s="6">
        <f t="shared" ref="DU406" si="1928">SUM(CL406:CM406)</f>
        <v>141959</v>
      </c>
      <c r="DV406" s="6">
        <f t="shared" ref="DV406" si="1929">SUM(CN406:CQ406)</f>
        <v>405679</v>
      </c>
      <c r="DW406" s="6">
        <f t="shared" ref="DW406" si="1930">SUM(DK406:DV406)</f>
        <v>1659925</v>
      </c>
      <c r="DX406" s="6"/>
      <c r="DY406" s="6">
        <f t="shared" ref="DY406" si="1931">DO406+DT406+H406+I406+J406+K406+CG406</f>
        <v>763351</v>
      </c>
      <c r="DZ406" s="6">
        <f t="shared" ref="DZ406" si="1932">SUM(G406:L406,O406)</f>
        <v>82508</v>
      </c>
      <c r="EA406" s="6"/>
      <c r="EB406" s="6">
        <f t="shared" ref="EB406" si="1933">DZ406+DF406</f>
        <v>1821563</v>
      </c>
      <c r="EC406" s="6"/>
      <c r="ED406" s="6"/>
      <c r="EE406" s="6"/>
      <c r="EF406" s="6">
        <f t="shared" ref="EF406" si="1934">SUM(BE406:CQ406)-CG406-BP406</f>
        <v>1309802</v>
      </c>
      <c r="EG406" s="6">
        <f t="shared" ref="EG406" si="1935">SUM(M406:BC406)-AQ406</f>
        <v>288887</v>
      </c>
      <c r="EH406" s="6">
        <f t="shared" ref="EH406" si="1936">SUM(EF406:EG406)</f>
        <v>1598689</v>
      </c>
      <c r="EI406" s="36">
        <f t="shared" ref="EI406" si="1937">(EF406-EF405)/EF405</f>
        <v>1.0749518470960095E-2</v>
      </c>
      <c r="EJ406" s="36">
        <f t="shared" ref="EJ406" si="1938">(EG406-EG405)/EG405</f>
        <v>2.0047934681192746E-3</v>
      </c>
      <c r="EK406" s="6"/>
      <c r="EN406" s="104"/>
      <c r="EO406" s="104"/>
      <c r="FC406" s="6"/>
      <c r="FD406" s="6"/>
      <c r="FE406" s="32"/>
      <c r="FF406" s="34"/>
      <c r="FG406" s="31"/>
      <c r="FH406" s="6"/>
      <c r="FI406" s="6"/>
      <c r="FJ406" s="6"/>
    </row>
    <row r="407" spans="2:166" s="326" customFormat="1">
      <c r="B407" s="50">
        <v>44348</v>
      </c>
      <c r="C407" s="326">
        <v>0</v>
      </c>
      <c r="D407" s="326">
        <v>0</v>
      </c>
      <c r="E407" s="326">
        <v>0</v>
      </c>
      <c r="F407" s="326">
        <v>0</v>
      </c>
      <c r="G407" s="326">
        <v>1701</v>
      </c>
      <c r="H407" s="326">
        <v>17006</v>
      </c>
      <c r="I407" s="326">
        <v>51107</v>
      </c>
      <c r="J407" s="326">
        <v>2711</v>
      </c>
      <c r="K407" s="326">
        <v>6885</v>
      </c>
      <c r="L407" s="326">
        <v>1906</v>
      </c>
      <c r="M407" s="326">
        <v>34574</v>
      </c>
      <c r="N407" s="326">
        <v>1243</v>
      </c>
      <c r="O407" s="326">
        <v>1144</v>
      </c>
      <c r="P407" s="326">
        <v>1819</v>
      </c>
      <c r="Q407" s="326">
        <v>11048</v>
      </c>
      <c r="R407" s="326">
        <v>324</v>
      </c>
      <c r="S407" s="326">
        <v>4861</v>
      </c>
      <c r="T407" s="326">
        <v>15931</v>
      </c>
      <c r="U407" s="326">
        <v>108</v>
      </c>
      <c r="V407" s="326">
        <v>4362</v>
      </c>
      <c r="W407" s="326">
        <v>97</v>
      </c>
      <c r="X407" s="326">
        <v>22751</v>
      </c>
      <c r="Y407" s="326">
        <v>504</v>
      </c>
      <c r="Z407" s="326">
        <v>4</v>
      </c>
      <c r="AA407" s="326">
        <v>0</v>
      </c>
      <c r="AB407" s="326">
        <v>3</v>
      </c>
      <c r="AC407" s="326">
        <v>87</v>
      </c>
      <c r="AD407" s="326">
        <v>21</v>
      </c>
      <c r="AE407" s="326">
        <v>26</v>
      </c>
      <c r="AF407" s="326">
        <v>16</v>
      </c>
      <c r="AG407" s="326">
        <v>46</v>
      </c>
      <c r="AH407" s="326">
        <v>257</v>
      </c>
      <c r="AI407" s="326">
        <v>2559</v>
      </c>
      <c r="AJ407" s="326">
        <v>3</v>
      </c>
      <c r="AK407" s="326">
        <v>13474</v>
      </c>
      <c r="AL407" s="326">
        <v>115152</v>
      </c>
      <c r="AM407" s="326">
        <v>1694</v>
      </c>
      <c r="AN407" s="326">
        <v>22990</v>
      </c>
      <c r="AO407" s="326">
        <v>5</v>
      </c>
      <c r="AP407" s="326">
        <v>7</v>
      </c>
      <c r="AQ407" s="326">
        <v>12472</v>
      </c>
      <c r="AR407" s="326">
        <v>0</v>
      </c>
      <c r="AS407" s="326">
        <v>726</v>
      </c>
      <c r="AT407" s="326">
        <v>42</v>
      </c>
      <c r="AU407" s="326">
        <v>10908</v>
      </c>
      <c r="AV407" s="326">
        <v>2531</v>
      </c>
      <c r="AW407" s="326">
        <v>3434</v>
      </c>
      <c r="AX407" s="326">
        <v>15349</v>
      </c>
      <c r="AY407" s="326">
        <v>4</v>
      </c>
      <c r="AZ407" s="326">
        <v>0</v>
      </c>
      <c r="BA407" s="326">
        <v>822</v>
      </c>
      <c r="BB407" s="326">
        <v>0</v>
      </c>
      <c r="BC407" s="326">
        <v>298</v>
      </c>
      <c r="BD407" s="326">
        <v>1966</v>
      </c>
      <c r="BE407" s="326">
        <v>0</v>
      </c>
      <c r="BF407" s="326">
        <v>0</v>
      </c>
      <c r="BG407" s="326">
        <v>9116</v>
      </c>
      <c r="BH407" s="326">
        <v>0</v>
      </c>
      <c r="BI407" s="326">
        <v>0</v>
      </c>
      <c r="BJ407" s="326">
        <v>0</v>
      </c>
      <c r="BK407" s="326">
        <v>12</v>
      </c>
      <c r="BL407" s="326">
        <v>5603</v>
      </c>
      <c r="BM407" s="326">
        <v>0</v>
      </c>
      <c r="BN407" s="326">
        <v>6</v>
      </c>
      <c r="BO407" s="326">
        <v>0</v>
      </c>
      <c r="BP407" s="326">
        <v>46727</v>
      </c>
      <c r="BQ407" s="326">
        <v>98722</v>
      </c>
      <c r="BR407" s="326">
        <v>1647</v>
      </c>
      <c r="BS407" s="326">
        <v>29</v>
      </c>
      <c r="BT407" s="326">
        <v>38824</v>
      </c>
      <c r="BU407" s="326">
        <v>1189</v>
      </c>
      <c r="BV407" s="326">
        <v>1</v>
      </c>
      <c r="BW407" s="326">
        <v>0</v>
      </c>
      <c r="BX407" s="326">
        <v>1</v>
      </c>
      <c r="BY407" s="326">
        <v>0</v>
      </c>
      <c r="BZ407" s="326">
        <v>285</v>
      </c>
      <c r="CA407" s="326">
        <v>0</v>
      </c>
      <c r="CB407" s="326">
        <v>29547</v>
      </c>
      <c r="CC407" s="326">
        <v>22743</v>
      </c>
      <c r="CD407" s="326">
        <v>142405</v>
      </c>
      <c r="CE407" s="326">
        <v>361844</v>
      </c>
      <c r="CF407" s="326">
        <v>55630</v>
      </c>
      <c r="CG407" s="326">
        <v>82630</v>
      </c>
      <c r="CH407" s="326">
        <v>0</v>
      </c>
      <c r="CI407" s="326">
        <v>17</v>
      </c>
      <c r="CJ407" s="326">
        <v>0</v>
      </c>
      <c r="CK407" s="326">
        <v>88</v>
      </c>
      <c r="CL407" s="326">
        <v>83207</v>
      </c>
      <c r="CM407" s="326">
        <v>59979</v>
      </c>
      <c r="CN407" s="326">
        <v>324916</v>
      </c>
      <c r="CO407" s="326">
        <v>69546</v>
      </c>
      <c r="CP407" s="326">
        <v>117</v>
      </c>
      <c r="CQ407" s="326">
        <v>17458</v>
      </c>
      <c r="CR407" s="326">
        <v>1533</v>
      </c>
      <c r="CS407" s="326">
        <v>13</v>
      </c>
      <c r="CT407" s="326">
        <v>0</v>
      </c>
      <c r="CU407" s="326">
        <v>0</v>
      </c>
      <c r="CV407" s="326">
        <v>0</v>
      </c>
      <c r="CW407" s="326">
        <v>12</v>
      </c>
      <c r="CX407" s="326">
        <v>0</v>
      </c>
      <c r="CY407" s="326">
        <v>23</v>
      </c>
      <c r="DB407" s="6"/>
      <c r="DD407" s="6">
        <f t="shared" ref="DD407" si="1939">SUM(AY407:AZ407,BE407:CQ407)</f>
        <v>1452293</v>
      </c>
      <c r="DE407" s="6">
        <f t="shared" ref="DE407" si="1940">SUM(M407:N407,P407:AX407,BB407:BC407)+CR407+CS407</f>
        <v>301272</v>
      </c>
      <c r="DF407" s="8">
        <f t="shared" ref="DF407" si="1941">SUM(DD407:DE407)</f>
        <v>1753565</v>
      </c>
      <c r="DG407" s="8"/>
      <c r="DK407" s="6">
        <f t="shared" ref="DK407" si="1942">SUM(M407:N407,P407:S407,U407:X407)</f>
        <v>81187</v>
      </c>
      <c r="DL407" s="6">
        <f t="shared" ref="DL407" si="1943">SUM(Y407:Z407,AB407:AF407,AH407:AM407,AO407,AS407:AW407,BA407:BC407)+CR407+CS407</f>
        <v>154112</v>
      </c>
      <c r="DM407" s="6">
        <f t="shared" ref="DM407" si="1944">T407</f>
        <v>15931</v>
      </c>
      <c r="DN407" s="6">
        <f t="shared" ref="DN407" si="1945">AG407+AX407+AN407+AP407+AQ407+AR407</f>
        <v>50864</v>
      </c>
      <c r="DO407" s="6">
        <f t="shared" ref="DO407" si="1946">SUM(AY407,BF407,BI407,BK407,BO407,BR407:BS407,BU407,BW407,BZ407:CB407,CD407:CF407,CJ407:CK407)</f>
        <v>592680</v>
      </c>
      <c r="DP407" s="6">
        <f t="shared" ref="DP407" si="1947">SUM(AZ407,BD407:BE407,BH407,BN407,BQ407,BT407)</f>
        <v>139518</v>
      </c>
      <c r="DQ407" s="6">
        <f t="shared" ref="DQ407" si="1948">BY407</f>
        <v>0</v>
      </c>
      <c r="DR407" s="6">
        <f t="shared" ref="DR407" si="1949">CC407+CI407+AA407</f>
        <v>22760</v>
      </c>
      <c r="DS407" s="6">
        <f t="shared" ref="DS407" si="1950">BP407+BV407</f>
        <v>46728</v>
      </c>
      <c r="DT407" s="6">
        <f t="shared" ref="DT407" si="1951">BG407+BJ407+BL407+BM407+BX407</f>
        <v>14720</v>
      </c>
      <c r="DU407" s="6">
        <f t="shared" ref="DU407" si="1952">SUM(CL407:CM407)</f>
        <v>143186</v>
      </c>
      <c r="DV407" s="6">
        <f t="shared" ref="DV407" si="1953">SUM(CN407:CQ407)</f>
        <v>412037</v>
      </c>
      <c r="DW407" s="6">
        <f t="shared" ref="DW407" si="1954">SUM(DK407:DV407)</f>
        <v>1673723</v>
      </c>
      <c r="DX407" s="6"/>
      <c r="DY407" s="6">
        <f t="shared" ref="DY407" si="1955">DO407+DT407+H407+I407+J407+K407+CG407</f>
        <v>767739</v>
      </c>
      <c r="DZ407" s="6">
        <f t="shared" ref="DZ407" si="1956">SUM(G407:L407,O407)</f>
        <v>82460</v>
      </c>
      <c r="EA407" s="6"/>
      <c r="EB407" s="6">
        <f t="shared" ref="EB407" si="1957">DZ407+DF407</f>
        <v>1836025</v>
      </c>
      <c r="EC407" s="6"/>
      <c r="ED407" s="6"/>
      <c r="EE407" s="6"/>
      <c r="EF407" s="6">
        <f t="shared" ref="EF407" si="1958">SUM(BE407:CQ407)-CG407-BP407</f>
        <v>1322932</v>
      </c>
      <c r="EG407" s="6">
        <f t="shared" ref="EG407" si="1959">SUM(M407:BC407)-AQ407</f>
        <v>289224</v>
      </c>
      <c r="EH407" s="6">
        <f t="shared" ref="EH407" si="1960">SUM(EF407:EG407)</f>
        <v>1612156</v>
      </c>
      <c r="EI407" s="36">
        <f t="shared" ref="EI407" si="1961">(EF407-EF406)/EF406</f>
        <v>1.0024415904083213E-2</v>
      </c>
      <c r="EJ407" s="36">
        <f t="shared" ref="EJ407" si="1962">(EG407-EG406)/EG406</f>
        <v>1.166546088955197E-3</v>
      </c>
      <c r="EK407" s="6"/>
      <c r="EN407" s="104"/>
      <c r="EO407" s="104"/>
      <c r="FC407" s="6"/>
      <c r="FD407" s="6"/>
      <c r="FE407" s="32"/>
      <c r="FF407" s="34"/>
      <c r="FG407" s="31"/>
      <c r="FH407" s="6"/>
      <c r="FI407" s="6"/>
      <c r="FJ407" s="6"/>
    </row>
    <row r="408" spans="2:166" s="328" customFormat="1">
      <c r="B408" s="50">
        <v>44378</v>
      </c>
      <c r="C408" s="328">
        <v>0</v>
      </c>
      <c r="D408" s="328">
        <v>0</v>
      </c>
      <c r="E408" s="328">
        <v>0</v>
      </c>
      <c r="F408" s="328">
        <v>0</v>
      </c>
      <c r="G408" s="328">
        <v>1737</v>
      </c>
      <c r="H408" s="328">
        <v>16791</v>
      </c>
      <c r="I408" s="328">
        <v>51143</v>
      </c>
      <c r="J408" s="328">
        <v>2646</v>
      </c>
      <c r="K408" s="328">
        <v>6860</v>
      </c>
      <c r="L408" s="328">
        <v>1954</v>
      </c>
      <c r="M408" s="328">
        <v>34362</v>
      </c>
      <c r="N408" s="328">
        <v>1211</v>
      </c>
      <c r="O408" s="328">
        <v>1162</v>
      </c>
      <c r="P408" s="328">
        <v>1805</v>
      </c>
      <c r="Q408" s="328">
        <v>10906</v>
      </c>
      <c r="R408" s="328">
        <v>318</v>
      </c>
      <c r="S408" s="328">
        <v>4823</v>
      </c>
      <c r="T408" s="328">
        <v>15840</v>
      </c>
      <c r="U408" s="328">
        <v>108</v>
      </c>
      <c r="V408" s="328">
        <v>4317</v>
      </c>
      <c r="W408" s="328">
        <v>99</v>
      </c>
      <c r="X408" s="328">
        <v>23005</v>
      </c>
      <c r="Y408" s="328">
        <v>500</v>
      </c>
      <c r="Z408" s="328">
        <v>4</v>
      </c>
      <c r="AA408" s="328">
        <v>0</v>
      </c>
      <c r="AB408" s="328">
        <v>3</v>
      </c>
      <c r="AC408" s="328">
        <v>87</v>
      </c>
      <c r="AD408" s="328">
        <v>21</v>
      </c>
      <c r="AE408" s="328">
        <v>25</v>
      </c>
      <c r="AF408" s="328">
        <v>16</v>
      </c>
      <c r="AG408" s="328">
        <v>46</v>
      </c>
      <c r="AH408" s="328">
        <v>261</v>
      </c>
      <c r="AI408" s="328">
        <v>2564</v>
      </c>
      <c r="AJ408" s="328">
        <v>3</v>
      </c>
      <c r="AK408" s="328">
        <v>13483</v>
      </c>
      <c r="AL408" s="328">
        <v>115053</v>
      </c>
      <c r="AM408" s="328">
        <v>1688</v>
      </c>
      <c r="AN408" s="328">
        <v>22871</v>
      </c>
      <c r="AO408" s="328">
        <v>5</v>
      </c>
      <c r="AP408" s="328">
        <v>7</v>
      </c>
      <c r="AQ408" s="328">
        <v>12398</v>
      </c>
      <c r="AR408" s="328">
        <v>0</v>
      </c>
      <c r="AS408" s="328">
        <v>732</v>
      </c>
      <c r="AT408" s="328">
        <v>42</v>
      </c>
      <c r="AU408" s="328">
        <v>10935</v>
      </c>
      <c r="AV408" s="328">
        <v>2524</v>
      </c>
      <c r="AW408" s="328">
        <v>3436</v>
      </c>
      <c r="AX408" s="328">
        <v>15270</v>
      </c>
      <c r="AY408" s="328">
        <v>2</v>
      </c>
      <c r="AZ408" s="328">
        <v>0</v>
      </c>
      <c r="BA408" s="328">
        <v>826</v>
      </c>
      <c r="BB408" s="328">
        <v>0</v>
      </c>
      <c r="BC408" s="328">
        <v>304</v>
      </c>
      <c r="BD408" s="328">
        <v>1971</v>
      </c>
      <c r="BE408" s="328">
        <v>0</v>
      </c>
      <c r="BF408" s="328">
        <v>0</v>
      </c>
      <c r="BG408" s="328">
        <v>9134</v>
      </c>
      <c r="BH408" s="328">
        <v>0</v>
      </c>
      <c r="BI408" s="328">
        <v>0</v>
      </c>
      <c r="BJ408" s="328">
        <v>0</v>
      </c>
      <c r="BK408" s="328">
        <v>12</v>
      </c>
      <c r="BL408" s="328">
        <v>5639</v>
      </c>
      <c r="BM408" s="328">
        <v>0</v>
      </c>
      <c r="BN408" s="328">
        <v>6</v>
      </c>
      <c r="BO408" s="328">
        <v>0</v>
      </c>
      <c r="BP408" s="328">
        <v>47096</v>
      </c>
      <c r="BQ408" s="328">
        <v>99570</v>
      </c>
      <c r="BR408" s="328">
        <v>1644</v>
      </c>
      <c r="BS408" s="328">
        <v>29</v>
      </c>
      <c r="BT408" s="328">
        <v>39347</v>
      </c>
      <c r="BU408" s="328">
        <v>1184</v>
      </c>
      <c r="BV408" s="328">
        <v>5</v>
      </c>
      <c r="BW408" s="328">
        <v>0</v>
      </c>
      <c r="BX408" s="328">
        <v>1</v>
      </c>
      <c r="BY408" s="328">
        <v>0</v>
      </c>
      <c r="BZ408" s="328">
        <v>292</v>
      </c>
      <c r="CA408" s="328">
        <v>0</v>
      </c>
      <c r="CB408" s="328">
        <v>29343</v>
      </c>
      <c r="CC408" s="328">
        <v>23283</v>
      </c>
      <c r="CD408" s="328">
        <v>142223</v>
      </c>
      <c r="CE408" s="328">
        <v>365337</v>
      </c>
      <c r="CF408" s="328">
        <v>56815</v>
      </c>
      <c r="CG408" s="328">
        <v>83237</v>
      </c>
      <c r="CH408" s="328">
        <v>0</v>
      </c>
      <c r="CI408" s="328">
        <v>17</v>
      </c>
      <c r="CJ408" s="328">
        <v>0</v>
      </c>
      <c r="CK408" s="328">
        <v>93</v>
      </c>
      <c r="CL408" s="328">
        <v>83707</v>
      </c>
      <c r="CM408" s="328">
        <v>60572</v>
      </c>
      <c r="CN408" s="328">
        <v>330328</v>
      </c>
      <c r="CO408" s="328">
        <v>70406</v>
      </c>
      <c r="CP408" s="328">
        <v>127</v>
      </c>
      <c r="CQ408" s="328">
        <v>17408</v>
      </c>
      <c r="CR408" s="328">
        <v>1533</v>
      </c>
      <c r="CS408" s="328">
        <v>11</v>
      </c>
      <c r="CT408" s="328">
        <v>0</v>
      </c>
      <c r="CU408" s="328">
        <v>0</v>
      </c>
      <c r="CV408" s="328">
        <v>0</v>
      </c>
      <c r="CW408" s="328">
        <v>11</v>
      </c>
      <c r="CX408" s="328">
        <v>0</v>
      </c>
      <c r="CY408" s="328">
        <v>23</v>
      </c>
      <c r="DB408" s="6"/>
      <c r="DD408" s="6">
        <f t="shared" ref="DD408" si="1963">SUM(AY408:AZ408,BE408:CQ408)</f>
        <v>1466857</v>
      </c>
      <c r="DE408" s="6">
        <f t="shared" ref="DE408" si="1964">SUM(M408:N408,P408:AX408,BB408:BC408)+CR408+CS408</f>
        <v>300616</v>
      </c>
      <c r="DF408" s="8">
        <f t="shared" ref="DF408" si="1965">SUM(DD408:DE408)</f>
        <v>1767473</v>
      </c>
      <c r="DG408" s="8"/>
      <c r="DK408" s="6">
        <f t="shared" ref="DK408" si="1966">SUM(M408:N408,P408:S408,U408:X408)</f>
        <v>80954</v>
      </c>
      <c r="DL408" s="6">
        <f t="shared" ref="DL408" si="1967">SUM(Y408:Z408,AB408:AF408,AH408:AM408,AO408,AS408:AW408,BA408:BC408)+CR408+CS408</f>
        <v>154056</v>
      </c>
      <c r="DM408" s="6">
        <f t="shared" ref="DM408" si="1968">T408</f>
        <v>15840</v>
      </c>
      <c r="DN408" s="6">
        <f t="shared" ref="DN408" si="1969">AG408+AX408+AN408+AP408+AQ408+AR408</f>
        <v>50592</v>
      </c>
      <c r="DO408" s="6">
        <f t="shared" ref="DO408" si="1970">SUM(AY408,BF408,BI408,BK408,BO408,BR408:BS408,BU408,BW408,BZ408:CB408,CD408:CF408,CJ408:CK408)</f>
        <v>596974</v>
      </c>
      <c r="DP408" s="6">
        <f t="shared" ref="DP408" si="1971">SUM(AZ408,BD408:BE408,BH408,BN408,BQ408,BT408)</f>
        <v>140894</v>
      </c>
      <c r="DQ408" s="6">
        <f t="shared" ref="DQ408" si="1972">BY408</f>
        <v>0</v>
      </c>
      <c r="DR408" s="6">
        <f t="shared" ref="DR408" si="1973">CC408+CI408+AA408</f>
        <v>23300</v>
      </c>
      <c r="DS408" s="6">
        <f t="shared" ref="DS408" si="1974">BP408+BV408</f>
        <v>47101</v>
      </c>
      <c r="DT408" s="6">
        <f t="shared" ref="DT408" si="1975">BG408+BJ408+BL408+BM408+BX408</f>
        <v>14774</v>
      </c>
      <c r="DU408" s="6">
        <f t="shared" ref="DU408" si="1976">SUM(CL408:CM408)</f>
        <v>144279</v>
      </c>
      <c r="DV408" s="6">
        <f t="shared" ref="DV408" si="1977">SUM(CN408:CQ408)</f>
        <v>418269</v>
      </c>
      <c r="DW408" s="6">
        <f t="shared" ref="DW408" si="1978">SUM(DK408:DV408)</f>
        <v>1687033</v>
      </c>
      <c r="DX408" s="6"/>
      <c r="DY408" s="6">
        <f t="shared" ref="DY408" si="1979">DO408+DT408+H408+I408+J408+K408+CG408</f>
        <v>772425</v>
      </c>
      <c r="DZ408" s="6">
        <f t="shared" ref="DZ408" si="1980">SUM(G408:L408,O408)</f>
        <v>82293</v>
      </c>
      <c r="EA408" s="6"/>
      <c r="EB408" s="6">
        <f t="shared" ref="EB408" si="1981">DZ408+DF408</f>
        <v>1849766</v>
      </c>
      <c r="EC408" s="6"/>
      <c r="ED408" s="6"/>
      <c r="EE408" s="6"/>
      <c r="EF408" s="6">
        <f t="shared" ref="EF408" si="1982">SUM(BE408:CQ408)-CG408-BP408</f>
        <v>1336522</v>
      </c>
      <c r="EG408" s="6">
        <f t="shared" ref="EG408" si="1983">SUM(M408:BC408)-AQ408</f>
        <v>288664</v>
      </c>
      <c r="EH408" s="6">
        <f t="shared" ref="EH408" si="1984">SUM(EF408:EG408)</f>
        <v>1625186</v>
      </c>
      <c r="EI408" s="36">
        <f t="shared" ref="EI408" si="1985">(EF408-EF407)/EF407</f>
        <v>1.0272636839988752E-2</v>
      </c>
      <c r="EJ408" s="36">
        <f t="shared" ref="EJ408" si="1986">(EG408-EG407)/EG407</f>
        <v>-1.9362155284485382E-3</v>
      </c>
      <c r="EK408" s="6"/>
      <c r="EN408" s="104"/>
      <c r="EO408" s="104"/>
      <c r="FC408" s="6"/>
      <c r="FD408" s="6"/>
      <c r="FE408" s="32"/>
      <c r="FF408" s="34"/>
      <c r="FG408" s="31"/>
      <c r="FH408" s="6"/>
      <c r="FI408" s="6"/>
      <c r="FJ408" s="6"/>
    </row>
    <row r="409" spans="2:166" s="317" customFormat="1">
      <c r="B409" s="50"/>
      <c r="DB409" s="6"/>
      <c r="DD409" s="6"/>
      <c r="DE409" s="6"/>
      <c r="DF409" s="6"/>
      <c r="DG409" s="8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EA409" s="6"/>
      <c r="EC409" s="6"/>
      <c r="ED409" s="6"/>
      <c r="EE409" s="6"/>
      <c r="EG409" s="6"/>
      <c r="EH409" s="6"/>
      <c r="EI409" s="6"/>
      <c r="EJ409" s="36"/>
      <c r="EK409" s="6"/>
      <c r="EN409" s="104"/>
      <c r="EO409" s="104"/>
      <c r="FC409" s="6"/>
      <c r="FD409" s="6"/>
      <c r="FE409" s="32"/>
      <c r="FF409" s="34"/>
      <c r="FG409" s="31"/>
      <c r="FH409" s="6"/>
      <c r="FI409" s="6"/>
    </row>
    <row r="410" spans="2:166" s="317" customFormat="1">
      <c r="B410" s="50"/>
      <c r="DB410" s="6"/>
      <c r="DD410" s="6"/>
      <c r="DE410" s="6"/>
      <c r="DF410" s="6"/>
      <c r="DG410" s="8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EA410" s="6"/>
      <c r="EC410" s="6"/>
      <c r="ED410" s="6"/>
      <c r="EE410" s="6"/>
      <c r="EG410" s="6"/>
      <c r="EH410" s="6"/>
      <c r="EI410" s="6"/>
      <c r="EJ410" s="36"/>
      <c r="EK410" s="6"/>
      <c r="EN410" s="104"/>
      <c r="EO410" s="104"/>
      <c r="FC410" s="6"/>
      <c r="FD410" s="6"/>
      <c r="FE410" s="32"/>
      <c r="FF410" s="34"/>
      <c r="FG410" s="31"/>
      <c r="FH410" s="6"/>
      <c r="FI410" s="6"/>
    </row>
    <row r="411" spans="2:166">
      <c r="B411" s="134" t="s">
        <v>217</v>
      </c>
      <c r="C411" s="46"/>
      <c r="D411" s="46"/>
      <c r="E411" s="46"/>
      <c r="F411" s="47"/>
      <c r="G411" s="47"/>
      <c r="H411" s="43">
        <f>AVERAGE(H12:H23)</f>
        <v>0</v>
      </c>
      <c r="I411" s="43">
        <f>AVERAGE(I12:I23)</f>
        <v>0</v>
      </c>
      <c r="J411" s="43">
        <f>AVERAGE(J12:J23)</f>
        <v>0</v>
      </c>
      <c r="K411" s="43">
        <f>AVERAGE(K12:K23)</f>
        <v>0</v>
      </c>
      <c r="L411" s="43"/>
      <c r="M411" s="43">
        <f t="shared" ref="M411:T411" si="1987">AVERAGE(M12:M23)</f>
        <v>32265.5</v>
      </c>
      <c r="N411" s="43">
        <f t="shared" si="1987"/>
        <v>2822.5</v>
      </c>
      <c r="O411" s="43" t="e">
        <f t="shared" si="1987"/>
        <v>#DIV/0!</v>
      </c>
      <c r="P411" s="43">
        <f t="shared" si="1987"/>
        <v>0</v>
      </c>
      <c r="Q411" s="43">
        <f t="shared" si="1987"/>
        <v>0</v>
      </c>
      <c r="R411" s="43">
        <f t="shared" si="1987"/>
        <v>1082.6666666666667</v>
      </c>
      <c r="S411" s="43">
        <f t="shared" si="1987"/>
        <v>1131.75</v>
      </c>
      <c r="T411" s="43">
        <f t="shared" si="1987"/>
        <v>0</v>
      </c>
      <c r="U411" s="43"/>
      <c r="V411" s="43"/>
      <c r="W411" s="43">
        <f>AVERAGE(W12:W23)</f>
        <v>13636.833333333334</v>
      </c>
      <c r="X411" s="43">
        <f>AVERAGE(X12:X23)</f>
        <v>0</v>
      </c>
      <c r="Y411" s="43">
        <f>AVERAGE(Y12:Y23)</f>
        <v>927.16666666666663</v>
      </c>
      <c r="Z411" s="43">
        <f>AVERAGE(Z12:Z23)</f>
        <v>55.75</v>
      </c>
      <c r="AA411" s="161"/>
      <c r="AB411" s="43">
        <f t="shared" ref="AB411:AG411" si="1988">AVERAGE(AB12:AB23)</f>
        <v>0</v>
      </c>
      <c r="AC411" s="43">
        <f t="shared" si="1988"/>
        <v>0</v>
      </c>
      <c r="AD411" s="43">
        <f t="shared" si="1988"/>
        <v>0</v>
      </c>
      <c r="AE411" s="43">
        <f t="shared" si="1988"/>
        <v>22.583333333333332</v>
      </c>
      <c r="AF411" s="43">
        <f t="shared" si="1988"/>
        <v>10.916666666666666</v>
      </c>
      <c r="AG411" s="43">
        <f t="shared" si="1988"/>
        <v>0</v>
      </c>
      <c r="AH411" s="43"/>
      <c r="AI411" s="43"/>
      <c r="AJ411" s="43">
        <f t="shared" ref="AJ411:AX411" si="1989">AVERAGE(AJ12:AJ23)</f>
        <v>80.333333333333329</v>
      </c>
      <c r="AK411" s="43">
        <f t="shared" si="1989"/>
        <v>0</v>
      </c>
      <c r="AL411" s="43">
        <f t="shared" si="1989"/>
        <v>40423.333333333336</v>
      </c>
      <c r="AM411" s="43">
        <f t="shared" si="1989"/>
        <v>2575.9166666666665</v>
      </c>
      <c r="AN411" s="43">
        <f t="shared" si="1989"/>
        <v>0</v>
      </c>
      <c r="AO411" s="43">
        <f t="shared" si="1989"/>
        <v>0</v>
      </c>
      <c r="AP411" s="43">
        <f t="shared" si="1989"/>
        <v>0</v>
      </c>
      <c r="AQ411" s="43">
        <f t="shared" si="1989"/>
        <v>0</v>
      </c>
      <c r="AR411" s="43">
        <f t="shared" si="1989"/>
        <v>0</v>
      </c>
      <c r="AS411" s="43">
        <f t="shared" si="1989"/>
        <v>0</v>
      </c>
      <c r="AT411" s="43" t="e">
        <f t="shared" si="1989"/>
        <v>#DIV/0!</v>
      </c>
      <c r="AU411" s="43">
        <f t="shared" si="1989"/>
        <v>0</v>
      </c>
      <c r="AV411" s="43">
        <f t="shared" si="1989"/>
        <v>535.25</v>
      </c>
      <c r="AW411" s="43">
        <f t="shared" si="1989"/>
        <v>1626.5833333333333</v>
      </c>
      <c r="AX411" s="43">
        <f t="shared" si="1989"/>
        <v>0</v>
      </c>
      <c r="AY411" s="161"/>
      <c r="AZ411" s="161"/>
      <c r="BA411" s="161">
        <f>AVERAGE(BA12:BA23)</f>
        <v>0</v>
      </c>
      <c r="BB411" s="161"/>
      <c r="BC411" s="43">
        <f>AVERAGE(BC12:BC23)</f>
        <v>2424.4166666666665</v>
      </c>
      <c r="BD411" s="43"/>
      <c r="BE411" s="43">
        <f t="shared" ref="BE411:BL411" si="1990">AVERAGE(BE12:BE23)</f>
        <v>44327.583333333336</v>
      </c>
      <c r="BF411" s="43">
        <f t="shared" si="1990"/>
        <v>94304.416666666672</v>
      </c>
      <c r="BG411" s="43">
        <f t="shared" si="1990"/>
        <v>109.83333333333333</v>
      </c>
      <c r="BH411" s="43">
        <f t="shared" si="1990"/>
        <v>0</v>
      </c>
      <c r="BI411" s="43">
        <f t="shared" si="1990"/>
        <v>0</v>
      </c>
      <c r="BJ411" s="43">
        <f t="shared" si="1990"/>
        <v>2233.1666666666665</v>
      </c>
      <c r="BK411" s="43">
        <f t="shared" si="1990"/>
        <v>169.33333333333334</v>
      </c>
      <c r="BL411" s="43">
        <f t="shared" si="1990"/>
        <v>2470.5</v>
      </c>
      <c r="BM411" s="43"/>
      <c r="BN411" s="43">
        <f t="shared" ref="BN411:BU411" si="1991">AVERAGE(BN12:BN23)</f>
        <v>513.08333333333337</v>
      </c>
      <c r="BO411" s="43">
        <f t="shared" si="1991"/>
        <v>534.41666666666663</v>
      </c>
      <c r="BP411" s="43">
        <f t="shared" si="1991"/>
        <v>0</v>
      </c>
      <c r="BQ411" s="43">
        <f t="shared" si="1991"/>
        <v>3050.9166666666665</v>
      </c>
      <c r="BR411" s="43">
        <f t="shared" si="1991"/>
        <v>7332.25</v>
      </c>
      <c r="BS411" s="43">
        <f t="shared" si="1991"/>
        <v>29.25</v>
      </c>
      <c r="BT411" s="43">
        <f t="shared" si="1991"/>
        <v>0</v>
      </c>
      <c r="BU411" s="43">
        <f t="shared" si="1991"/>
        <v>0</v>
      </c>
      <c r="BV411" s="43"/>
      <c r="BW411" s="43">
        <f>AVERAGE(BW12:BW23)</f>
        <v>11.916666666666666</v>
      </c>
      <c r="BX411" s="43">
        <f>AVERAGE(BX12:BX23)</f>
        <v>363.75</v>
      </c>
      <c r="BY411" s="43"/>
      <c r="BZ411" s="43">
        <f t="shared" ref="BZ411:CK411" si="1992">AVERAGE(BZ12:BZ23)</f>
        <v>4769.666666666667</v>
      </c>
      <c r="CA411" s="43">
        <f t="shared" si="1992"/>
        <v>0</v>
      </c>
      <c r="CB411" s="43">
        <f t="shared" si="1992"/>
        <v>0</v>
      </c>
      <c r="CC411" s="43">
        <f t="shared" si="1992"/>
        <v>4203.166666666667</v>
      </c>
      <c r="CD411" s="43">
        <f t="shared" si="1992"/>
        <v>1377.5</v>
      </c>
      <c r="CE411" s="43">
        <f t="shared" si="1992"/>
        <v>2053.0833333333335</v>
      </c>
      <c r="CF411" s="43">
        <f t="shared" si="1992"/>
        <v>1396.1666666666667</v>
      </c>
      <c r="CG411" s="43">
        <f t="shared" si="1992"/>
        <v>0</v>
      </c>
      <c r="CH411" s="43">
        <f t="shared" si="1992"/>
        <v>2.25</v>
      </c>
      <c r="CI411" s="43">
        <f t="shared" si="1992"/>
        <v>307.08333333333331</v>
      </c>
      <c r="CJ411" s="43">
        <f t="shared" si="1992"/>
        <v>786.58333333333337</v>
      </c>
      <c r="CK411" s="43">
        <f t="shared" si="1992"/>
        <v>156</v>
      </c>
      <c r="CL411" s="43">
        <v>0</v>
      </c>
      <c r="CM411" s="43">
        <v>0</v>
      </c>
      <c r="CN411" s="43">
        <v>0</v>
      </c>
      <c r="CO411" s="43">
        <v>0</v>
      </c>
      <c r="CP411" s="43">
        <v>0</v>
      </c>
      <c r="CQ411" s="43">
        <v>0</v>
      </c>
      <c r="CR411" s="43"/>
      <c r="CS411" s="43"/>
      <c r="CT411" s="43" t="e">
        <f t="shared" ref="CT411:CY411" si="1993">AVERAGE(CT12:CT23)</f>
        <v>#DIV/0!</v>
      </c>
      <c r="CU411" s="43" t="e">
        <f t="shared" si="1993"/>
        <v>#DIV/0!</v>
      </c>
      <c r="CV411" s="43" t="e">
        <f t="shared" si="1993"/>
        <v>#DIV/0!</v>
      </c>
      <c r="CW411" s="43">
        <f t="shared" si="1993"/>
        <v>0</v>
      </c>
      <c r="CX411" s="43">
        <f t="shared" si="1993"/>
        <v>0</v>
      </c>
      <c r="CY411" s="43">
        <f t="shared" si="1993"/>
        <v>0</v>
      </c>
      <c r="DB411" s="6"/>
      <c r="DC411" s="6"/>
      <c r="DD411" s="43">
        <f>DF411-DE411</f>
        <v>170501.91666666669</v>
      </c>
      <c r="DE411" s="43">
        <f>AVERAGE(DE12:DE23)</f>
        <v>99621.5</v>
      </c>
      <c r="DF411" s="43">
        <f>AVERAGE(DF12:DF23)</f>
        <v>270123.41666666669</v>
      </c>
      <c r="DK411" s="43">
        <f t="shared" ref="DK411:DP411" si="1994">AVERAGE(DK12:DK23)</f>
        <v>50939.25</v>
      </c>
      <c r="DL411" s="43">
        <f t="shared" si="1994"/>
        <v>48682.25</v>
      </c>
      <c r="DM411" s="43">
        <f t="shared" si="1994"/>
        <v>0</v>
      </c>
      <c r="DN411" s="43">
        <f t="shared" si="1994"/>
        <v>0</v>
      </c>
      <c r="DO411" s="43">
        <f t="shared" si="1994"/>
        <v>112920.58333333333</v>
      </c>
      <c r="DP411" s="43">
        <f t="shared" si="1994"/>
        <v>47891.583333333336</v>
      </c>
      <c r="DQ411" s="43"/>
      <c r="DR411" s="43">
        <f>AVERAGE(DR12:DR23)</f>
        <v>4510.25</v>
      </c>
      <c r="DS411" s="43">
        <f>AVERAGE(DS12:DS23)</f>
        <v>0</v>
      </c>
      <c r="DT411" s="43">
        <f>AVERAGE(DT12:DT23)</f>
        <v>5177.25</v>
      </c>
      <c r="DU411" s="43"/>
      <c r="DV411" s="43"/>
      <c r="DW411" s="43">
        <f>AVERAGE(DW12:DW23)</f>
        <v>270121.16666666669</v>
      </c>
      <c r="DZ411" s="43">
        <f>AVERAGE(DZ12:DZ23)</f>
        <v>0</v>
      </c>
      <c r="EB411" s="43">
        <f>AVERAGE(EB12:EB23)</f>
        <v>270123.41666666669</v>
      </c>
      <c r="EC411" s="43">
        <f>DE411</f>
        <v>99621.5</v>
      </c>
      <c r="ED411" s="43">
        <f>EB411-EC411</f>
        <v>170501.91666666669</v>
      </c>
      <c r="EJ411" s="6"/>
      <c r="EK411" s="6"/>
    </row>
    <row r="412" spans="2:166">
      <c r="B412" s="134" t="s">
        <v>207</v>
      </c>
      <c r="C412" s="46"/>
      <c r="D412" s="46"/>
      <c r="E412" s="46"/>
      <c r="F412" s="47"/>
      <c r="G412" s="47"/>
      <c r="H412" s="43">
        <f>AVERAGE(H24:H35)</f>
        <v>0</v>
      </c>
      <c r="I412" s="43">
        <f>AVERAGE(I24:I35)</f>
        <v>0</v>
      </c>
      <c r="J412" s="43">
        <f>AVERAGE(J24:J35)</f>
        <v>0</v>
      </c>
      <c r="K412" s="43">
        <f>AVERAGE(K24:K35)</f>
        <v>0</v>
      </c>
      <c r="L412" s="43"/>
      <c r="M412" s="43">
        <f t="shared" ref="M412:T412" si="1995">AVERAGE(M24:M35)</f>
        <v>32997</v>
      </c>
      <c r="N412" s="43">
        <f t="shared" si="1995"/>
        <v>2601</v>
      </c>
      <c r="O412" s="43" t="e">
        <f t="shared" si="1995"/>
        <v>#DIV/0!</v>
      </c>
      <c r="P412" s="43">
        <f t="shared" si="1995"/>
        <v>3532.25</v>
      </c>
      <c r="Q412" s="43">
        <f t="shared" si="1995"/>
        <v>660.66666666666663</v>
      </c>
      <c r="R412" s="43">
        <f t="shared" si="1995"/>
        <v>1171.25</v>
      </c>
      <c r="S412" s="43">
        <f t="shared" si="1995"/>
        <v>966.16666666666663</v>
      </c>
      <c r="T412" s="43">
        <f t="shared" si="1995"/>
        <v>2328.8333333333335</v>
      </c>
      <c r="U412" s="43"/>
      <c r="V412" s="43"/>
      <c r="W412" s="43">
        <f>AVERAGE(W24:W35)</f>
        <v>10184.416666666666</v>
      </c>
      <c r="X412" s="43">
        <f>AVERAGE(X24:X35)</f>
        <v>0</v>
      </c>
      <c r="Y412" s="43">
        <f>AVERAGE(Y24:Y35)</f>
        <v>905.58333333333337</v>
      </c>
      <c r="Z412" s="43">
        <f>AVERAGE(Z24:Z35)</f>
        <v>44</v>
      </c>
      <c r="AA412" s="161"/>
      <c r="AB412" s="43">
        <f t="shared" ref="AB412:AG412" si="1996">AVERAGE(AB24:AB35)</f>
        <v>8.5833333333333339</v>
      </c>
      <c r="AC412" s="43">
        <f t="shared" si="1996"/>
        <v>0</v>
      </c>
      <c r="AD412" s="43">
        <f t="shared" si="1996"/>
        <v>5.833333333333333</v>
      </c>
      <c r="AE412" s="43">
        <f t="shared" si="1996"/>
        <v>20.5</v>
      </c>
      <c r="AF412" s="43">
        <f t="shared" si="1996"/>
        <v>9.4166666666666661</v>
      </c>
      <c r="AG412" s="43">
        <f t="shared" si="1996"/>
        <v>14.583333333333334</v>
      </c>
      <c r="AH412" s="43"/>
      <c r="AI412" s="43"/>
      <c r="AJ412" s="43">
        <f t="shared" ref="AJ412:AX412" si="1997">AVERAGE(AJ24:AJ35)</f>
        <v>63.25</v>
      </c>
      <c r="AK412" s="43">
        <f t="shared" si="1997"/>
        <v>0</v>
      </c>
      <c r="AL412" s="43">
        <f t="shared" si="1997"/>
        <v>42266.75</v>
      </c>
      <c r="AM412" s="43">
        <f t="shared" si="1997"/>
        <v>2514.9166666666665</v>
      </c>
      <c r="AN412" s="43">
        <f t="shared" si="1997"/>
        <v>0</v>
      </c>
      <c r="AO412" s="43">
        <f t="shared" si="1997"/>
        <v>0</v>
      </c>
      <c r="AP412" s="43">
        <f t="shared" si="1997"/>
        <v>0</v>
      </c>
      <c r="AQ412" s="43">
        <f t="shared" si="1997"/>
        <v>0</v>
      </c>
      <c r="AR412" s="43">
        <f t="shared" si="1997"/>
        <v>0</v>
      </c>
      <c r="AS412" s="43">
        <f t="shared" si="1997"/>
        <v>491.41666666666669</v>
      </c>
      <c r="AT412" s="43" t="e">
        <f t="shared" si="1997"/>
        <v>#DIV/0!</v>
      </c>
      <c r="AU412" s="43">
        <f t="shared" si="1997"/>
        <v>415.25</v>
      </c>
      <c r="AV412" s="43">
        <f t="shared" si="1997"/>
        <v>624.66666666666663</v>
      </c>
      <c r="AW412" s="43">
        <f t="shared" si="1997"/>
        <v>1338.75</v>
      </c>
      <c r="AX412" s="43">
        <f t="shared" si="1997"/>
        <v>830</v>
      </c>
      <c r="AY412" s="161"/>
      <c r="AZ412" s="161"/>
      <c r="BA412" s="161">
        <f>AVERAGE(BA24:BA35)</f>
        <v>0</v>
      </c>
      <c r="BB412" s="161"/>
      <c r="BC412" s="43">
        <f>AVERAGE(BC24:BC35)</f>
        <v>2026.1666666666667</v>
      </c>
      <c r="BD412" s="43"/>
      <c r="BE412" s="43">
        <f t="shared" ref="BE412:BL412" si="1998">AVERAGE(BE24:BE35)</f>
        <v>44566</v>
      </c>
      <c r="BF412" s="43">
        <f t="shared" si="1998"/>
        <v>97068.666666666672</v>
      </c>
      <c r="BG412" s="43">
        <f t="shared" si="1998"/>
        <v>163.91666666666666</v>
      </c>
      <c r="BH412" s="43">
        <f t="shared" si="1998"/>
        <v>0</v>
      </c>
      <c r="BI412" s="43">
        <f t="shared" si="1998"/>
        <v>0</v>
      </c>
      <c r="BJ412" s="43">
        <f t="shared" si="1998"/>
        <v>2579.6666666666665</v>
      </c>
      <c r="BK412" s="43">
        <f t="shared" si="1998"/>
        <v>183.75</v>
      </c>
      <c r="BL412" s="43">
        <f t="shared" si="1998"/>
        <v>2554.3333333333335</v>
      </c>
      <c r="BM412" s="43"/>
      <c r="BN412" s="43">
        <f t="shared" ref="BN412:BU412" si="1999">AVERAGE(BN24:BN35)</f>
        <v>494.83333333333331</v>
      </c>
      <c r="BO412" s="43">
        <f t="shared" si="1999"/>
        <v>369.16666666666669</v>
      </c>
      <c r="BP412" s="43">
        <f t="shared" si="1999"/>
        <v>0</v>
      </c>
      <c r="BQ412" s="43">
        <f t="shared" si="1999"/>
        <v>3300.3333333333335</v>
      </c>
      <c r="BR412" s="43">
        <f t="shared" si="1999"/>
        <v>8273.0833333333339</v>
      </c>
      <c r="BS412" s="43">
        <f t="shared" si="1999"/>
        <v>26.166666666666668</v>
      </c>
      <c r="BT412" s="43">
        <f t="shared" si="1999"/>
        <v>0</v>
      </c>
      <c r="BU412" s="43">
        <f t="shared" si="1999"/>
        <v>0</v>
      </c>
      <c r="BV412" s="43"/>
      <c r="BW412" s="43">
        <f>AVERAGE(BW24:BW35)</f>
        <v>5.916666666666667</v>
      </c>
      <c r="BX412" s="43">
        <f>AVERAGE(BX24:BX35)</f>
        <v>338.83333333333331</v>
      </c>
      <c r="BY412" s="43"/>
      <c r="BZ412" s="43">
        <f t="shared" ref="BZ412:CK412" si="2000">AVERAGE(BZ24:BZ35)</f>
        <v>5113.333333333333</v>
      </c>
      <c r="CA412" s="43">
        <f t="shared" si="2000"/>
        <v>0</v>
      </c>
      <c r="CB412" s="43">
        <f t="shared" si="2000"/>
        <v>0</v>
      </c>
      <c r="CC412" s="43">
        <f t="shared" si="2000"/>
        <v>6687.25</v>
      </c>
      <c r="CD412" s="43">
        <f t="shared" si="2000"/>
        <v>5139.25</v>
      </c>
      <c r="CE412" s="43">
        <f t="shared" si="2000"/>
        <v>2099</v>
      </c>
      <c r="CF412" s="43">
        <f t="shared" si="2000"/>
        <v>2382.8333333333335</v>
      </c>
      <c r="CG412" s="43">
        <f t="shared" si="2000"/>
        <v>0</v>
      </c>
      <c r="CH412" s="43">
        <f t="shared" si="2000"/>
        <v>0.83333333333333337</v>
      </c>
      <c r="CI412" s="43">
        <f t="shared" si="2000"/>
        <v>168</v>
      </c>
      <c r="CJ412" s="43">
        <f t="shared" si="2000"/>
        <v>996.25</v>
      </c>
      <c r="CK412" s="43">
        <f t="shared" si="2000"/>
        <v>165.33333333333334</v>
      </c>
      <c r="CL412" s="43">
        <v>0</v>
      </c>
      <c r="CM412" s="43">
        <v>0</v>
      </c>
      <c r="CN412" s="43">
        <v>0</v>
      </c>
      <c r="CO412" s="43">
        <v>0</v>
      </c>
      <c r="CP412" s="43">
        <v>0</v>
      </c>
      <c r="CQ412" s="43">
        <v>0</v>
      </c>
      <c r="CR412" s="43"/>
      <c r="CS412" s="43"/>
      <c r="CT412" s="43" t="e">
        <f t="shared" ref="CT412:CY412" si="2001">AVERAGE(CT24:CT35)</f>
        <v>#DIV/0!</v>
      </c>
      <c r="CU412" s="43" t="e">
        <f t="shared" si="2001"/>
        <v>#DIV/0!</v>
      </c>
      <c r="CV412" s="43" t="e">
        <f t="shared" si="2001"/>
        <v>#DIV/0!</v>
      </c>
      <c r="CW412" s="43">
        <f t="shared" si="2001"/>
        <v>0</v>
      </c>
      <c r="CX412" s="43">
        <f t="shared" si="2001"/>
        <v>0</v>
      </c>
      <c r="CY412" s="43">
        <f t="shared" si="2001"/>
        <v>0</v>
      </c>
      <c r="DB412" s="6"/>
      <c r="DC412" s="6"/>
      <c r="DD412" s="43">
        <f>DF412-DE412</f>
        <v>182676.75</v>
      </c>
      <c r="DE412" s="43">
        <f>AVERAGE(DE24:DE35)</f>
        <v>106021.25</v>
      </c>
      <c r="DF412" s="43">
        <f>AVERAGE(DF24:DF35)</f>
        <v>288698</v>
      </c>
      <c r="DK412" s="43">
        <f t="shared" ref="DK412:DP412" si="2002">AVERAGE(DK24:DK35)</f>
        <v>52112.75</v>
      </c>
      <c r="DL412" s="43">
        <f t="shared" si="2002"/>
        <v>50735.083333333336</v>
      </c>
      <c r="DM412" s="43">
        <f t="shared" si="2002"/>
        <v>2328.8333333333335</v>
      </c>
      <c r="DN412" s="43">
        <f t="shared" si="2002"/>
        <v>844.58333333333337</v>
      </c>
      <c r="DO412" s="43">
        <f t="shared" si="2002"/>
        <v>121822.75</v>
      </c>
      <c r="DP412" s="43">
        <f t="shared" si="2002"/>
        <v>48361.166666666664</v>
      </c>
      <c r="DQ412" s="43"/>
      <c r="DR412" s="43">
        <f>AVERAGE(DR24:DR35)</f>
        <v>6855.25</v>
      </c>
      <c r="DS412" s="43">
        <f>AVERAGE(DS24:DS35)</f>
        <v>0</v>
      </c>
      <c r="DT412" s="43">
        <f>AVERAGE(DT24:DT35)</f>
        <v>5636.75</v>
      </c>
      <c r="DU412" s="43"/>
      <c r="DV412" s="43"/>
      <c r="DW412" s="43">
        <f>AVERAGE(DW24:DW35)</f>
        <v>288697.16666666669</v>
      </c>
      <c r="DZ412" s="43">
        <f>AVERAGE(DZ24:DZ35)</f>
        <v>0</v>
      </c>
      <c r="EB412" s="43">
        <f>AVERAGE(EB24:EB35)</f>
        <v>288698</v>
      </c>
      <c r="EC412" s="43">
        <f>DE412</f>
        <v>106021.25</v>
      </c>
      <c r="ED412" s="43">
        <f>EB412-EC412</f>
        <v>182676.75</v>
      </c>
      <c r="EJ412" s="6"/>
      <c r="EK412" s="6"/>
    </row>
    <row r="413" spans="2:166" ht="15">
      <c r="B413" s="44" t="s">
        <v>208</v>
      </c>
      <c r="C413" s="128"/>
      <c r="D413" s="128"/>
      <c r="E413" s="128"/>
      <c r="F413" s="129"/>
      <c r="G413" s="129"/>
      <c r="H413" s="43">
        <f>AVERAGE(H36:H47)</f>
        <v>0</v>
      </c>
      <c r="I413" s="43">
        <f>AVERAGE(I36:I47)</f>
        <v>0</v>
      </c>
      <c r="J413" s="43">
        <f>AVERAGE(J36:J47)</f>
        <v>0</v>
      </c>
      <c r="K413" s="43">
        <f>AVERAGE(K36:K47)</f>
        <v>0</v>
      </c>
      <c r="L413" s="43"/>
      <c r="M413" s="43">
        <f t="shared" ref="M413:T413" si="2003">AVERAGE(M36:M47)</f>
        <v>33563.833333333336</v>
      </c>
      <c r="N413" s="43">
        <f t="shared" si="2003"/>
        <v>2667.25</v>
      </c>
      <c r="O413" s="43" t="e">
        <f t="shared" si="2003"/>
        <v>#DIV/0!</v>
      </c>
      <c r="P413" s="43">
        <f t="shared" si="2003"/>
        <v>6098.75</v>
      </c>
      <c r="Q413" s="43">
        <f t="shared" si="2003"/>
        <v>1059.5833333333333</v>
      </c>
      <c r="R413" s="43">
        <f t="shared" si="2003"/>
        <v>1235.5833333333333</v>
      </c>
      <c r="S413" s="43">
        <f t="shared" si="2003"/>
        <v>1242</v>
      </c>
      <c r="T413" s="43">
        <f t="shared" si="2003"/>
        <v>5099.166666666667</v>
      </c>
      <c r="U413" s="43"/>
      <c r="V413" s="43"/>
      <c r="W413" s="43">
        <f>AVERAGE(W36:W47)</f>
        <v>9229.9166666666661</v>
      </c>
      <c r="X413" s="43">
        <f>AVERAGE(X36:X47)</f>
        <v>0</v>
      </c>
      <c r="Y413" s="43">
        <f>AVERAGE(Y36:Y47)</f>
        <v>882.25</v>
      </c>
      <c r="Z413" s="43">
        <f>AVERAGE(Z36:Z47)</f>
        <v>42.5</v>
      </c>
      <c r="AA413" s="161"/>
      <c r="AB413" s="43">
        <f t="shared" ref="AB413:AG413" si="2004">AVERAGE(AB36:AB47)</f>
        <v>18.916666666666668</v>
      </c>
      <c r="AC413" s="43">
        <f t="shared" si="2004"/>
        <v>0</v>
      </c>
      <c r="AD413" s="43">
        <f t="shared" si="2004"/>
        <v>5.833333333333333</v>
      </c>
      <c r="AE413" s="43">
        <f t="shared" si="2004"/>
        <v>16.5</v>
      </c>
      <c r="AF413" s="43">
        <f t="shared" si="2004"/>
        <v>8.6666666666666661</v>
      </c>
      <c r="AG413" s="43">
        <f t="shared" si="2004"/>
        <v>32.083333333333336</v>
      </c>
      <c r="AH413" s="43"/>
      <c r="AI413" s="43"/>
      <c r="AJ413" s="43">
        <f t="shared" ref="AJ413:AX413" si="2005">AVERAGE(AJ36:AJ47)</f>
        <v>58</v>
      </c>
      <c r="AK413" s="43">
        <f t="shared" si="2005"/>
        <v>0</v>
      </c>
      <c r="AL413" s="43">
        <f t="shared" si="2005"/>
        <v>45616.25</v>
      </c>
      <c r="AM413" s="43">
        <f t="shared" si="2005"/>
        <v>2660.4166666666665</v>
      </c>
      <c r="AN413" s="43">
        <f t="shared" si="2005"/>
        <v>0</v>
      </c>
      <c r="AO413" s="43">
        <f t="shared" si="2005"/>
        <v>0</v>
      </c>
      <c r="AP413" s="43">
        <f t="shared" si="2005"/>
        <v>0</v>
      </c>
      <c r="AQ413" s="43">
        <f t="shared" si="2005"/>
        <v>0</v>
      </c>
      <c r="AR413" s="43">
        <f t="shared" si="2005"/>
        <v>0</v>
      </c>
      <c r="AS413" s="43">
        <f t="shared" si="2005"/>
        <v>1136.8333333333333</v>
      </c>
      <c r="AT413" s="43" t="e">
        <f t="shared" si="2005"/>
        <v>#DIV/0!</v>
      </c>
      <c r="AU413" s="43">
        <f t="shared" si="2005"/>
        <v>626.25</v>
      </c>
      <c r="AV413" s="43">
        <f t="shared" si="2005"/>
        <v>753.91666666666663</v>
      </c>
      <c r="AW413" s="43">
        <f t="shared" si="2005"/>
        <v>1317.4166666666667</v>
      </c>
      <c r="AX413" s="43">
        <f t="shared" si="2005"/>
        <v>2039.75</v>
      </c>
      <c r="AY413" s="161"/>
      <c r="AZ413" s="161"/>
      <c r="BA413" s="161">
        <f>AVERAGE(BA36:BA47)</f>
        <v>0</v>
      </c>
      <c r="BB413" s="161"/>
      <c r="BC413" s="43">
        <f>AVERAGE(BC36:BC47)</f>
        <v>1805.5833333333333</v>
      </c>
      <c r="BD413" s="43"/>
      <c r="BE413" s="43">
        <f t="shared" ref="BE413:BL413" si="2006">AVERAGE(BE36:BE47)</f>
        <v>48750.416666666664</v>
      </c>
      <c r="BF413" s="43">
        <f t="shared" si="2006"/>
        <v>105687.58333333333</v>
      </c>
      <c r="BG413" s="43">
        <f t="shared" si="2006"/>
        <v>188.25</v>
      </c>
      <c r="BH413" s="43">
        <f t="shared" si="2006"/>
        <v>310.25</v>
      </c>
      <c r="BI413" s="43">
        <f t="shared" si="2006"/>
        <v>336.25</v>
      </c>
      <c r="BJ413" s="43">
        <f t="shared" si="2006"/>
        <v>2919</v>
      </c>
      <c r="BK413" s="43">
        <f t="shared" si="2006"/>
        <v>190.5</v>
      </c>
      <c r="BL413" s="43">
        <f t="shared" si="2006"/>
        <v>2750.3333333333335</v>
      </c>
      <c r="BM413" s="43"/>
      <c r="BN413" s="43">
        <f t="shared" ref="BN413:BU413" si="2007">AVERAGE(BN36:BN47)</f>
        <v>629.16666666666663</v>
      </c>
      <c r="BO413" s="43">
        <f t="shared" si="2007"/>
        <v>199.25</v>
      </c>
      <c r="BP413" s="43">
        <f t="shared" si="2007"/>
        <v>0</v>
      </c>
      <c r="BQ413" s="43">
        <f t="shared" si="2007"/>
        <v>4404.416666666667</v>
      </c>
      <c r="BR413" s="43">
        <f t="shared" si="2007"/>
        <v>10320</v>
      </c>
      <c r="BS413" s="43">
        <f t="shared" si="2007"/>
        <v>29.916666666666668</v>
      </c>
      <c r="BT413" s="43">
        <f t="shared" si="2007"/>
        <v>38.583333333333336</v>
      </c>
      <c r="BU413" s="43">
        <f t="shared" si="2007"/>
        <v>40.916666666666664</v>
      </c>
      <c r="BV413" s="43"/>
      <c r="BW413" s="43">
        <f>AVERAGE(BW36:BW47)</f>
        <v>12.25</v>
      </c>
      <c r="BX413" s="43">
        <f>AVERAGE(BX36:BX47)</f>
        <v>300.66666666666669</v>
      </c>
      <c r="BY413" s="43"/>
      <c r="BZ413" s="43">
        <f t="shared" ref="BZ413:CK413" si="2008">AVERAGE(BZ36:BZ47)</f>
        <v>5624.083333333333</v>
      </c>
      <c r="CA413" s="43">
        <f t="shared" si="2008"/>
        <v>3.5833333333333335</v>
      </c>
      <c r="CB413" s="43">
        <f t="shared" si="2008"/>
        <v>0</v>
      </c>
      <c r="CC413" s="43">
        <f t="shared" si="2008"/>
        <v>9910.4166666666661</v>
      </c>
      <c r="CD413" s="43">
        <f t="shared" si="2008"/>
        <v>20604.666666666668</v>
      </c>
      <c r="CE413" s="43">
        <f t="shared" si="2008"/>
        <v>1518.25</v>
      </c>
      <c r="CF413" s="43">
        <f t="shared" si="2008"/>
        <v>3433.1666666666665</v>
      </c>
      <c r="CG413" s="43">
        <f t="shared" si="2008"/>
        <v>0</v>
      </c>
      <c r="CH413" s="43">
        <f t="shared" si="2008"/>
        <v>0</v>
      </c>
      <c r="CI413" s="43">
        <f t="shared" si="2008"/>
        <v>108.25</v>
      </c>
      <c r="CJ413" s="43">
        <f t="shared" si="2008"/>
        <v>835.16666666666663</v>
      </c>
      <c r="CK413" s="43">
        <f t="shared" si="2008"/>
        <v>181.58333333333334</v>
      </c>
      <c r="CL413" s="43">
        <v>0</v>
      </c>
      <c r="CM413" s="43">
        <v>0</v>
      </c>
      <c r="CN413" s="43">
        <v>0</v>
      </c>
      <c r="CO413" s="43">
        <v>0</v>
      </c>
      <c r="CP413" s="43">
        <v>0</v>
      </c>
      <c r="CQ413" s="43">
        <v>0</v>
      </c>
      <c r="CR413" s="43"/>
      <c r="CS413" s="43"/>
      <c r="CT413" s="43" t="e">
        <f t="shared" ref="CT413:CY413" si="2009">AVERAGE(CT36:CT47)</f>
        <v>#DIV/0!</v>
      </c>
      <c r="CU413" s="43" t="e">
        <f t="shared" si="2009"/>
        <v>#DIV/0!</v>
      </c>
      <c r="CV413" s="43" t="e">
        <f t="shared" si="2009"/>
        <v>#DIV/0!</v>
      </c>
      <c r="CW413" s="43">
        <f t="shared" si="2009"/>
        <v>0</v>
      </c>
      <c r="CX413" s="43">
        <f t="shared" si="2009"/>
        <v>0</v>
      </c>
      <c r="CY413" s="43">
        <f t="shared" si="2009"/>
        <v>0</v>
      </c>
      <c r="CZ413" s="129"/>
      <c r="DA413" s="129"/>
      <c r="DB413" s="6"/>
      <c r="DD413" s="43">
        <f t="shared" ref="DD413:DD421" si="2010">DF413-DE413</f>
        <v>219326.91666666669</v>
      </c>
      <c r="DE413" s="43">
        <f>AVERAGE(DE36:DE47)</f>
        <v>117217.25</v>
      </c>
      <c r="DF413" s="43">
        <f>AVERAGE(DF36:DF47)</f>
        <v>336544.16666666669</v>
      </c>
      <c r="DK413" s="43">
        <f t="shared" ref="DK413:DP413" si="2011">AVERAGE(DK36:DK47)</f>
        <v>55096.916666666664</v>
      </c>
      <c r="DL413" s="43">
        <f t="shared" si="2011"/>
        <v>54949.333333333336</v>
      </c>
      <c r="DM413" s="43">
        <f t="shared" si="2011"/>
        <v>5099.166666666667</v>
      </c>
      <c r="DN413" s="43">
        <f t="shared" si="2011"/>
        <v>2071.8333333333335</v>
      </c>
      <c r="DO413" s="43">
        <f t="shared" si="2011"/>
        <v>149017.16666666666</v>
      </c>
      <c r="DP413" s="43">
        <f t="shared" si="2011"/>
        <v>54132.833333333336</v>
      </c>
      <c r="DQ413" s="43"/>
      <c r="DR413" s="43">
        <f>AVERAGE(DR36:DR47)</f>
        <v>10018.666666666666</v>
      </c>
      <c r="DS413" s="43">
        <f>AVERAGE(DS36:DS47)</f>
        <v>0</v>
      </c>
      <c r="DT413" s="43">
        <f>AVERAGE(DT36:DT47)</f>
        <v>6158.25</v>
      </c>
      <c r="DU413" s="43"/>
      <c r="DV413" s="43"/>
      <c r="DW413" s="43">
        <f>AVERAGE(DW36:DW47)</f>
        <v>336544.16666666669</v>
      </c>
      <c r="DZ413" s="43">
        <f>AVERAGE(DZ36:DZ47)</f>
        <v>0</v>
      </c>
      <c r="EB413" s="43">
        <f>AVERAGE(EB36:EB47)</f>
        <v>336544.16666666669</v>
      </c>
      <c r="EC413" s="43">
        <f t="shared" ref="EC413:EC422" si="2012">DE413</f>
        <v>117217.25</v>
      </c>
      <c r="ED413" s="43">
        <f t="shared" ref="ED413:ED422" si="2013">EB413-EC413</f>
        <v>219326.91666666669</v>
      </c>
      <c r="EI413" s="37"/>
      <c r="EJ413" s="6"/>
      <c r="EK413" s="6"/>
    </row>
    <row r="414" spans="2:166" ht="15">
      <c r="B414" s="44" t="s">
        <v>209</v>
      </c>
      <c r="C414" s="128"/>
      <c r="D414" s="128"/>
      <c r="E414" s="128"/>
      <c r="F414" s="129"/>
      <c r="G414" s="129"/>
      <c r="H414" s="43">
        <f>AVERAGE(H48:H59)</f>
        <v>0</v>
      </c>
      <c r="I414" s="43">
        <f>AVERAGE(I48:I59)</f>
        <v>0</v>
      </c>
      <c r="J414" s="43">
        <f>AVERAGE(J48:J59)</f>
        <v>0</v>
      </c>
      <c r="K414" s="43">
        <f>AVERAGE(K48:K59)</f>
        <v>0</v>
      </c>
      <c r="L414" s="43"/>
      <c r="M414" s="43">
        <f t="shared" ref="M414:T414" si="2014">AVERAGE(M48:M59)</f>
        <v>34141.916666666664</v>
      </c>
      <c r="N414" s="43">
        <f t="shared" si="2014"/>
        <v>2919.6666666666665</v>
      </c>
      <c r="O414" s="43" t="e">
        <f t="shared" si="2014"/>
        <v>#DIV/0!</v>
      </c>
      <c r="P414" s="43">
        <f t="shared" si="2014"/>
        <v>6674.416666666667</v>
      </c>
      <c r="Q414" s="43">
        <f t="shared" si="2014"/>
        <v>1176.5833333333333</v>
      </c>
      <c r="R414" s="43">
        <f t="shared" si="2014"/>
        <v>1308</v>
      </c>
      <c r="S414" s="43">
        <f t="shared" si="2014"/>
        <v>1989.25</v>
      </c>
      <c r="T414" s="43">
        <f t="shared" si="2014"/>
        <v>8197.9166666666661</v>
      </c>
      <c r="U414" s="43"/>
      <c r="V414" s="43"/>
      <c r="W414" s="43">
        <f>AVERAGE(W48:W59)</f>
        <v>9001.6666666666661</v>
      </c>
      <c r="X414" s="43">
        <f>AVERAGE(X48:X59)</f>
        <v>0</v>
      </c>
      <c r="Y414" s="43">
        <f>AVERAGE(Y48:Y59)</f>
        <v>904.08333333333337</v>
      </c>
      <c r="Z414" s="43">
        <f>AVERAGE(Z48:Z59)</f>
        <v>39.5</v>
      </c>
      <c r="AA414" s="161"/>
      <c r="AB414" s="43">
        <f t="shared" ref="AB414:AG414" si="2015">AVERAGE(AB48:AB59)</f>
        <v>24.666666666666668</v>
      </c>
      <c r="AC414" s="43">
        <f t="shared" si="2015"/>
        <v>0</v>
      </c>
      <c r="AD414" s="43">
        <f t="shared" si="2015"/>
        <v>6.166666666666667</v>
      </c>
      <c r="AE414" s="43">
        <f t="shared" si="2015"/>
        <v>17.833333333333332</v>
      </c>
      <c r="AF414" s="43">
        <f t="shared" si="2015"/>
        <v>7.583333333333333</v>
      </c>
      <c r="AG414" s="43">
        <f t="shared" si="2015"/>
        <v>40</v>
      </c>
      <c r="AH414" s="43"/>
      <c r="AI414" s="43"/>
      <c r="AJ414" s="43">
        <f t="shared" ref="AJ414:AX414" si="2016">AVERAGE(AJ48:AJ59)</f>
        <v>49.75</v>
      </c>
      <c r="AK414" s="43">
        <f t="shared" si="2016"/>
        <v>0</v>
      </c>
      <c r="AL414" s="43">
        <f t="shared" si="2016"/>
        <v>50771.583333333336</v>
      </c>
      <c r="AM414" s="43">
        <f t="shared" si="2016"/>
        <v>2911.25</v>
      </c>
      <c r="AN414" s="43">
        <f t="shared" si="2016"/>
        <v>0</v>
      </c>
      <c r="AO414" s="43">
        <f t="shared" si="2016"/>
        <v>0</v>
      </c>
      <c r="AP414" s="43">
        <f t="shared" si="2016"/>
        <v>0</v>
      </c>
      <c r="AQ414" s="43">
        <f t="shared" si="2016"/>
        <v>0</v>
      </c>
      <c r="AR414" s="43">
        <f t="shared" si="2016"/>
        <v>0</v>
      </c>
      <c r="AS414" s="43">
        <f t="shared" si="2016"/>
        <v>1472.8333333333333</v>
      </c>
      <c r="AT414" s="43" t="e">
        <f t="shared" si="2016"/>
        <v>#DIV/0!</v>
      </c>
      <c r="AU414" s="43">
        <f t="shared" si="2016"/>
        <v>602.75</v>
      </c>
      <c r="AV414" s="43">
        <f t="shared" si="2016"/>
        <v>888.33333333333337</v>
      </c>
      <c r="AW414" s="43">
        <f t="shared" si="2016"/>
        <v>1482.8333333333333</v>
      </c>
      <c r="AX414" s="43">
        <f t="shared" si="2016"/>
        <v>3356.1666666666665</v>
      </c>
      <c r="AY414" s="161"/>
      <c r="AZ414" s="161"/>
      <c r="BA414" s="161">
        <f>AVERAGE(BA48:BA59)</f>
        <v>0</v>
      </c>
      <c r="BB414" s="161"/>
      <c r="BC414" s="43">
        <f>AVERAGE(BC48:BC59)</f>
        <v>1655.5</v>
      </c>
      <c r="BD414" s="43"/>
      <c r="BE414" s="43">
        <f t="shared" ref="BE414:BL414" si="2017">AVERAGE(BE48:BE59)</f>
        <v>55629.083333333336</v>
      </c>
      <c r="BF414" s="43">
        <f t="shared" si="2017"/>
        <v>119805.33333333333</v>
      </c>
      <c r="BG414" s="43">
        <f t="shared" si="2017"/>
        <v>202.58333333333334</v>
      </c>
      <c r="BH414" s="43">
        <f t="shared" si="2017"/>
        <v>1032.75</v>
      </c>
      <c r="BI414" s="43">
        <f t="shared" si="2017"/>
        <v>1155.1666666666667</v>
      </c>
      <c r="BJ414" s="43">
        <f t="shared" si="2017"/>
        <v>3110.4166666666665</v>
      </c>
      <c r="BK414" s="43">
        <f t="shared" si="2017"/>
        <v>211.16666666666666</v>
      </c>
      <c r="BL414" s="43">
        <f t="shared" si="2017"/>
        <v>2728</v>
      </c>
      <c r="BM414" s="43"/>
      <c r="BN414" s="43">
        <f t="shared" ref="BN414:BU414" si="2018">AVERAGE(BN48:BN59)</f>
        <v>631</v>
      </c>
      <c r="BO414" s="43">
        <f t="shared" si="2018"/>
        <v>173.75</v>
      </c>
      <c r="BP414" s="43">
        <f t="shared" si="2018"/>
        <v>0</v>
      </c>
      <c r="BQ414" s="43">
        <f t="shared" si="2018"/>
        <v>5861.916666666667</v>
      </c>
      <c r="BR414" s="43">
        <f t="shared" si="2018"/>
        <v>12704.333333333334</v>
      </c>
      <c r="BS414" s="43">
        <f t="shared" si="2018"/>
        <v>35.583333333333336</v>
      </c>
      <c r="BT414" s="43">
        <f t="shared" si="2018"/>
        <v>457.41666666666669</v>
      </c>
      <c r="BU414" s="43">
        <f t="shared" si="2018"/>
        <v>495.5</v>
      </c>
      <c r="BV414" s="43"/>
      <c r="BW414" s="43">
        <f>AVERAGE(BW48:BW59)</f>
        <v>9.0833333333333339</v>
      </c>
      <c r="BX414" s="43">
        <f>AVERAGE(BX48:BX59)</f>
        <v>263.5</v>
      </c>
      <c r="BY414" s="43"/>
      <c r="BZ414" s="43">
        <f t="shared" ref="BZ414:CK414" si="2019">AVERAGE(BZ48:BZ59)</f>
        <v>5684.333333333333</v>
      </c>
      <c r="CA414" s="43">
        <f t="shared" si="2019"/>
        <v>20.083333333333332</v>
      </c>
      <c r="CB414" s="43">
        <f t="shared" si="2019"/>
        <v>0</v>
      </c>
      <c r="CC414" s="43">
        <f t="shared" si="2019"/>
        <v>11928.833333333334</v>
      </c>
      <c r="CD414" s="43">
        <f t="shared" si="2019"/>
        <v>37632.583333333336</v>
      </c>
      <c r="CE414" s="43">
        <f t="shared" si="2019"/>
        <v>4780.416666666667</v>
      </c>
      <c r="CF414" s="43">
        <f t="shared" si="2019"/>
        <v>6764.75</v>
      </c>
      <c r="CG414" s="43">
        <f t="shared" si="2019"/>
        <v>0</v>
      </c>
      <c r="CH414" s="43">
        <f t="shared" si="2019"/>
        <v>0</v>
      </c>
      <c r="CI414" s="43">
        <f t="shared" si="2019"/>
        <v>59.333333333333336</v>
      </c>
      <c r="CJ414" s="43">
        <f t="shared" si="2019"/>
        <v>626.58333333333337</v>
      </c>
      <c r="CK414" s="43">
        <f t="shared" si="2019"/>
        <v>155.25</v>
      </c>
      <c r="CL414" s="43">
        <v>0</v>
      </c>
      <c r="CM414" s="43">
        <v>0</v>
      </c>
      <c r="CN414" s="43">
        <v>0</v>
      </c>
      <c r="CO414" s="43">
        <v>0</v>
      </c>
      <c r="CP414" s="43">
        <v>0</v>
      </c>
      <c r="CQ414" s="43">
        <v>0</v>
      </c>
      <c r="CR414" s="43"/>
      <c r="CS414" s="43"/>
      <c r="CT414" s="43" t="e">
        <f t="shared" ref="CT414:CY414" si="2020">AVERAGE(CT48:CT59)</f>
        <v>#DIV/0!</v>
      </c>
      <c r="CU414" s="43" t="e">
        <f t="shared" si="2020"/>
        <v>#DIV/0!</v>
      </c>
      <c r="CV414" s="43" t="e">
        <f t="shared" si="2020"/>
        <v>#DIV/0!</v>
      </c>
      <c r="CW414" s="43">
        <f t="shared" si="2020"/>
        <v>0</v>
      </c>
      <c r="CX414" s="43">
        <f t="shared" si="2020"/>
        <v>0</v>
      </c>
      <c r="CY414" s="43">
        <f t="shared" si="2020"/>
        <v>0</v>
      </c>
      <c r="CZ414" s="129"/>
      <c r="DA414" s="129"/>
      <c r="DB414" s="6"/>
      <c r="DD414" s="43">
        <f t="shared" si="2010"/>
        <v>272158.75</v>
      </c>
      <c r="DE414" s="43">
        <f>AVERAGE(DE48:DE59)</f>
        <v>129640.25</v>
      </c>
      <c r="DF414" s="43">
        <f>AVERAGE(DF48:DF59)</f>
        <v>401799</v>
      </c>
      <c r="DK414" s="43">
        <f t="shared" ref="DK414:DP414" si="2021">AVERAGE(DK48:DK59)</f>
        <v>57211.5</v>
      </c>
      <c r="DL414" s="43">
        <f t="shared" si="2021"/>
        <v>60834.666666666664</v>
      </c>
      <c r="DM414" s="43">
        <f t="shared" si="2021"/>
        <v>8197.9166666666661</v>
      </c>
      <c r="DN414" s="43">
        <f t="shared" si="2021"/>
        <v>3396.1666666666665</v>
      </c>
      <c r="DO414" s="43">
        <f t="shared" si="2021"/>
        <v>190253.91666666666</v>
      </c>
      <c r="DP414" s="43">
        <f t="shared" si="2021"/>
        <v>63612.166666666664</v>
      </c>
      <c r="DQ414" s="43"/>
      <c r="DR414" s="43">
        <f>AVERAGE(DR48:DR59)</f>
        <v>11988.166666666666</v>
      </c>
      <c r="DS414" s="43">
        <f>AVERAGE(DS48:DS59)</f>
        <v>0</v>
      </c>
      <c r="DT414" s="43">
        <f>AVERAGE(DT48:DT59)</f>
        <v>6304.5</v>
      </c>
      <c r="DU414" s="43"/>
      <c r="DV414" s="43"/>
      <c r="DW414" s="43">
        <f>AVERAGE(DW48:DW59)</f>
        <v>401799</v>
      </c>
      <c r="DZ414" s="43">
        <f>AVERAGE(DZ48:DZ59)</f>
        <v>0</v>
      </c>
      <c r="EB414" s="43">
        <f>AVERAGE(EB48:EB59)</f>
        <v>401799</v>
      </c>
      <c r="EC414" s="43">
        <f t="shared" si="2012"/>
        <v>129640.25</v>
      </c>
      <c r="ED414" s="43">
        <f t="shared" si="2013"/>
        <v>272158.75</v>
      </c>
      <c r="EI414" s="37"/>
      <c r="EJ414" s="6"/>
      <c r="EK414" s="6"/>
    </row>
    <row r="415" spans="2:166" ht="15">
      <c r="B415" s="44" t="s">
        <v>210</v>
      </c>
      <c r="C415" s="128"/>
      <c r="D415" s="128"/>
      <c r="E415" s="128"/>
      <c r="F415" s="129"/>
      <c r="G415" s="129"/>
      <c r="H415" s="43">
        <f>AVERAGE(H60:H71)</f>
        <v>0</v>
      </c>
      <c r="I415" s="43">
        <f>AVERAGE(I60:I71)</f>
        <v>0</v>
      </c>
      <c r="J415" s="43">
        <f>AVERAGE(J60:J71)</f>
        <v>0</v>
      </c>
      <c r="K415" s="43">
        <f>AVERAGE(K60:K71)</f>
        <v>0</v>
      </c>
      <c r="L415" s="43"/>
      <c r="M415" s="43">
        <f t="shared" ref="M415:T415" si="2022">AVERAGE(M60:M71)</f>
        <v>34663.5</v>
      </c>
      <c r="N415" s="43">
        <f t="shared" si="2022"/>
        <v>3095</v>
      </c>
      <c r="O415" s="43" t="e">
        <f t="shared" si="2022"/>
        <v>#DIV/0!</v>
      </c>
      <c r="P415" s="43">
        <f t="shared" si="2022"/>
        <v>7346.083333333333</v>
      </c>
      <c r="Q415" s="43">
        <f t="shared" si="2022"/>
        <v>1275.9166666666667</v>
      </c>
      <c r="R415" s="43">
        <f t="shared" si="2022"/>
        <v>1360.1666666666667</v>
      </c>
      <c r="S415" s="43">
        <f t="shared" si="2022"/>
        <v>2533.6666666666665</v>
      </c>
      <c r="T415" s="43">
        <f t="shared" si="2022"/>
        <v>10463.166666666666</v>
      </c>
      <c r="U415" s="43"/>
      <c r="V415" s="43"/>
      <c r="W415" s="43">
        <f>AVERAGE(W60:W71)</f>
        <v>9228.0833333333339</v>
      </c>
      <c r="X415" s="43">
        <f>AVERAGE(X60:X71)</f>
        <v>0</v>
      </c>
      <c r="Y415" s="43">
        <f>AVERAGE(Y60:Y71)</f>
        <v>909.25</v>
      </c>
      <c r="Z415" s="43">
        <f>AVERAGE(Z60:Z71)</f>
        <v>35.916666666666664</v>
      </c>
      <c r="AA415" s="161"/>
      <c r="AB415" s="43">
        <f t="shared" ref="AB415:AG415" si="2023">AVERAGE(AB60:AB71)</f>
        <v>27.333333333333332</v>
      </c>
      <c r="AC415" s="43">
        <f t="shared" si="2023"/>
        <v>0</v>
      </c>
      <c r="AD415" s="43">
        <f t="shared" si="2023"/>
        <v>5.333333333333333</v>
      </c>
      <c r="AE415" s="43">
        <f t="shared" si="2023"/>
        <v>19.916666666666668</v>
      </c>
      <c r="AF415" s="43">
        <f t="shared" si="2023"/>
        <v>8.4166666666666661</v>
      </c>
      <c r="AG415" s="43">
        <f t="shared" si="2023"/>
        <v>48.333333333333336</v>
      </c>
      <c r="AH415" s="43"/>
      <c r="AI415" s="43"/>
      <c r="AJ415" s="43">
        <f t="shared" ref="AJ415:AX415" si="2024">AVERAGE(AJ60:AJ71)</f>
        <v>40.083333333333336</v>
      </c>
      <c r="AK415" s="43">
        <f t="shared" si="2024"/>
        <v>0</v>
      </c>
      <c r="AL415" s="43">
        <f t="shared" si="2024"/>
        <v>58088.583333333336</v>
      </c>
      <c r="AM415" s="43">
        <f t="shared" si="2024"/>
        <v>3151.9166666666665</v>
      </c>
      <c r="AN415" s="43">
        <f t="shared" si="2024"/>
        <v>43.333333333333336</v>
      </c>
      <c r="AO415" s="43">
        <f t="shared" si="2024"/>
        <v>0</v>
      </c>
      <c r="AP415" s="43">
        <f t="shared" si="2024"/>
        <v>9.25</v>
      </c>
      <c r="AQ415" s="43">
        <f t="shared" si="2024"/>
        <v>0</v>
      </c>
      <c r="AR415" s="43">
        <f t="shared" si="2024"/>
        <v>0</v>
      </c>
      <c r="AS415" s="43">
        <f t="shared" si="2024"/>
        <v>1760.4166666666667</v>
      </c>
      <c r="AT415" s="43" t="e">
        <f t="shared" si="2024"/>
        <v>#DIV/0!</v>
      </c>
      <c r="AU415" s="43">
        <f t="shared" si="2024"/>
        <v>679.33333333333337</v>
      </c>
      <c r="AV415" s="43">
        <f t="shared" si="2024"/>
        <v>1002</v>
      </c>
      <c r="AW415" s="43">
        <f t="shared" si="2024"/>
        <v>1587.5833333333333</v>
      </c>
      <c r="AX415" s="43">
        <f t="shared" si="2024"/>
        <v>4627.916666666667</v>
      </c>
      <c r="AY415" s="161"/>
      <c r="AZ415" s="161"/>
      <c r="BA415" s="161">
        <f>AVERAGE(BA60:BA71)</f>
        <v>0</v>
      </c>
      <c r="BB415" s="161"/>
      <c r="BC415" s="43">
        <f>AVERAGE(BC60:BC71)</f>
        <v>1516</v>
      </c>
      <c r="BD415" s="43"/>
      <c r="BE415" s="43">
        <f t="shared" ref="BE415:BL415" si="2025">AVERAGE(BE60:BE71)</f>
        <v>58361.916666666664</v>
      </c>
      <c r="BF415" s="43">
        <f t="shared" si="2025"/>
        <v>126392.5</v>
      </c>
      <c r="BG415" s="43">
        <f t="shared" si="2025"/>
        <v>226.83333333333334</v>
      </c>
      <c r="BH415" s="43">
        <f t="shared" si="2025"/>
        <v>1181.9166666666667</v>
      </c>
      <c r="BI415" s="43">
        <f t="shared" si="2025"/>
        <v>1344.5</v>
      </c>
      <c r="BJ415" s="43">
        <f t="shared" si="2025"/>
        <v>3166.25</v>
      </c>
      <c r="BK415" s="43">
        <f t="shared" si="2025"/>
        <v>213</v>
      </c>
      <c r="BL415" s="43">
        <f t="shared" si="2025"/>
        <v>2760.6666666666665</v>
      </c>
      <c r="BM415" s="43"/>
      <c r="BN415" s="43">
        <f t="shared" ref="BN415:BU415" si="2026">AVERAGE(BN60:BN71)</f>
        <v>658.5</v>
      </c>
      <c r="BO415" s="43">
        <f t="shared" si="2026"/>
        <v>147</v>
      </c>
      <c r="BP415" s="43">
        <f t="shared" si="2026"/>
        <v>0</v>
      </c>
      <c r="BQ415" s="43">
        <f t="shared" si="2026"/>
        <v>7100.25</v>
      </c>
      <c r="BR415" s="43">
        <f t="shared" si="2026"/>
        <v>13788.333333333334</v>
      </c>
      <c r="BS415" s="43">
        <f t="shared" si="2026"/>
        <v>33.916666666666664</v>
      </c>
      <c r="BT415" s="43">
        <f t="shared" si="2026"/>
        <v>733.58333333333337</v>
      </c>
      <c r="BU415" s="43">
        <f t="shared" si="2026"/>
        <v>798.66666666666663</v>
      </c>
      <c r="BV415" s="43"/>
      <c r="BW415" s="43">
        <f>AVERAGE(BW60:BW71)</f>
        <v>9.9166666666666661</v>
      </c>
      <c r="BX415" s="43">
        <f>AVERAGE(BX60:BX71)</f>
        <v>278.25</v>
      </c>
      <c r="BY415" s="43"/>
      <c r="BZ415" s="43">
        <f t="shared" ref="BZ415:CK415" si="2027">AVERAGE(BZ60:BZ71)</f>
        <v>4798.333333333333</v>
      </c>
      <c r="CA415" s="43">
        <f t="shared" si="2027"/>
        <v>17.583333333333332</v>
      </c>
      <c r="CB415" s="43">
        <f t="shared" si="2027"/>
        <v>0</v>
      </c>
      <c r="CC415" s="43">
        <f t="shared" si="2027"/>
        <v>13033.416666666666</v>
      </c>
      <c r="CD415" s="43">
        <f t="shared" si="2027"/>
        <v>48950.5</v>
      </c>
      <c r="CE415" s="43">
        <f t="shared" si="2027"/>
        <v>19611.5</v>
      </c>
      <c r="CF415" s="43">
        <f t="shared" si="2027"/>
        <v>10170.583333333334</v>
      </c>
      <c r="CG415" s="43">
        <f t="shared" si="2027"/>
        <v>0</v>
      </c>
      <c r="CH415" s="43">
        <f t="shared" si="2027"/>
        <v>0</v>
      </c>
      <c r="CI415" s="43">
        <f t="shared" si="2027"/>
        <v>28.25</v>
      </c>
      <c r="CJ415" s="43">
        <f t="shared" si="2027"/>
        <v>426.41666666666669</v>
      </c>
      <c r="CK415" s="43">
        <f t="shared" si="2027"/>
        <v>179.66666666666666</v>
      </c>
      <c r="CL415" s="43">
        <v>0</v>
      </c>
      <c r="CM415" s="43">
        <v>0</v>
      </c>
      <c r="CN415" s="43">
        <v>0</v>
      </c>
      <c r="CO415" s="43">
        <v>0</v>
      </c>
      <c r="CP415" s="43">
        <v>0</v>
      </c>
      <c r="CQ415" s="43">
        <v>0</v>
      </c>
      <c r="CR415" s="43"/>
      <c r="CS415" s="43"/>
      <c r="CT415" s="43" t="e">
        <f t="shared" ref="CT415:CY415" si="2028">AVERAGE(CT60:CT71)</f>
        <v>#DIV/0!</v>
      </c>
      <c r="CU415" s="43" t="e">
        <f t="shared" si="2028"/>
        <v>#DIV/0!</v>
      </c>
      <c r="CV415" s="43" t="e">
        <f t="shared" si="2028"/>
        <v>#DIV/0!</v>
      </c>
      <c r="CW415" s="43">
        <f t="shared" si="2028"/>
        <v>0</v>
      </c>
      <c r="CX415" s="43">
        <f t="shared" si="2028"/>
        <v>0</v>
      </c>
      <c r="CY415" s="43">
        <f t="shared" si="2028"/>
        <v>0</v>
      </c>
      <c r="CZ415" s="129"/>
      <c r="DA415" s="129"/>
      <c r="DB415" s="6"/>
      <c r="DD415" s="43">
        <f t="shared" si="2010"/>
        <v>314412.25</v>
      </c>
      <c r="DE415" s="43">
        <f>AVERAGE(DE60:DE71)</f>
        <v>143526.5</v>
      </c>
      <c r="DF415" s="43">
        <f>AVERAGE(DF60:DF71)</f>
        <v>457938.75</v>
      </c>
      <c r="DK415" s="43">
        <f t="shared" ref="DK415:DP415" si="2029">AVERAGE(DK60:DK71)</f>
        <v>59502.416666666664</v>
      </c>
      <c r="DL415" s="43">
        <f t="shared" si="2029"/>
        <v>68832.083333333328</v>
      </c>
      <c r="DM415" s="43">
        <f t="shared" si="2029"/>
        <v>10463.166666666666</v>
      </c>
      <c r="DN415" s="43">
        <f t="shared" si="2029"/>
        <v>4728.833333333333</v>
      </c>
      <c r="DO415" s="43">
        <f t="shared" si="2029"/>
        <v>226882.41666666666</v>
      </c>
      <c r="DP415" s="43">
        <f t="shared" si="2029"/>
        <v>68036.166666666672</v>
      </c>
      <c r="DQ415" s="43"/>
      <c r="DR415" s="43">
        <f>AVERAGE(DR60:DR71)</f>
        <v>13061.666666666666</v>
      </c>
      <c r="DS415" s="43">
        <f>AVERAGE(DS60:DS71)</f>
        <v>0</v>
      </c>
      <c r="DT415" s="43">
        <f>AVERAGE(DT60:DT71)</f>
        <v>6432</v>
      </c>
      <c r="DU415" s="43"/>
      <c r="DV415" s="43"/>
      <c r="DW415" s="43">
        <f>AVERAGE(DW60:DW71)</f>
        <v>457938.75</v>
      </c>
      <c r="DZ415" s="43">
        <f>AVERAGE(DZ60:DZ71)</f>
        <v>0</v>
      </c>
      <c r="EB415" s="43">
        <f>AVERAGE(EB60:EB71)</f>
        <v>457938.75</v>
      </c>
      <c r="EC415" s="43">
        <f t="shared" si="2012"/>
        <v>143526.5</v>
      </c>
      <c r="ED415" s="43">
        <f t="shared" si="2013"/>
        <v>314412.25</v>
      </c>
      <c r="EI415" s="37"/>
      <c r="EJ415" s="6"/>
      <c r="EK415" s="6"/>
    </row>
    <row r="416" spans="2:166" ht="15">
      <c r="B416" s="44" t="s">
        <v>211</v>
      </c>
      <c r="C416" s="128"/>
      <c r="D416" s="128"/>
      <c r="E416" s="128"/>
      <c r="F416" s="129"/>
      <c r="G416" s="129"/>
      <c r="H416" s="43">
        <f>AVERAGE(H72:H83)</f>
        <v>0</v>
      </c>
      <c r="I416" s="43">
        <f>AVERAGE(I72:I83)</f>
        <v>0</v>
      </c>
      <c r="J416" s="43">
        <f>AVERAGE(J72:J83)</f>
        <v>0</v>
      </c>
      <c r="K416" s="43">
        <f>AVERAGE(K72:K83)</f>
        <v>0</v>
      </c>
      <c r="L416" s="43"/>
      <c r="M416" s="43">
        <f t="shared" ref="M416:T416" si="2030">AVERAGE(M72:M83)</f>
        <v>34809.416666666664</v>
      </c>
      <c r="N416" s="43">
        <f t="shared" si="2030"/>
        <v>3248.8333333333335</v>
      </c>
      <c r="O416" s="43" t="e">
        <f t="shared" si="2030"/>
        <v>#DIV/0!</v>
      </c>
      <c r="P416" s="43">
        <f t="shared" si="2030"/>
        <v>7647.583333333333</v>
      </c>
      <c r="Q416" s="43">
        <f t="shared" si="2030"/>
        <v>1297.5</v>
      </c>
      <c r="R416" s="43">
        <f t="shared" si="2030"/>
        <v>1436.3333333333333</v>
      </c>
      <c r="S416" s="43">
        <f t="shared" si="2030"/>
        <v>2769</v>
      </c>
      <c r="T416" s="43">
        <f t="shared" si="2030"/>
        <v>11778</v>
      </c>
      <c r="U416" s="43"/>
      <c r="V416" s="43"/>
      <c r="W416" s="43">
        <f>AVERAGE(W72:W83)</f>
        <v>9023.8333333333339</v>
      </c>
      <c r="X416" s="43">
        <f>AVERAGE(X72:X83)</f>
        <v>0</v>
      </c>
      <c r="Y416" s="43">
        <f>AVERAGE(Y72:Y83)</f>
        <v>887.16666666666663</v>
      </c>
      <c r="Z416" s="43">
        <f>AVERAGE(Z72:Z83)</f>
        <v>33.583333333333336</v>
      </c>
      <c r="AA416" s="161"/>
      <c r="AB416" s="43">
        <f t="shared" ref="AB416:AG416" si="2031">AVERAGE(AB72:AB83)</f>
        <v>25</v>
      </c>
      <c r="AC416" s="43">
        <f t="shared" si="2031"/>
        <v>0</v>
      </c>
      <c r="AD416" s="43">
        <f t="shared" si="2031"/>
        <v>3.0833333333333335</v>
      </c>
      <c r="AE416" s="43">
        <f t="shared" si="2031"/>
        <v>24.833333333333332</v>
      </c>
      <c r="AF416" s="43">
        <f t="shared" si="2031"/>
        <v>5.666666666666667</v>
      </c>
      <c r="AG416" s="43">
        <f t="shared" si="2031"/>
        <v>50.666666666666664</v>
      </c>
      <c r="AH416" s="43"/>
      <c r="AI416" s="43"/>
      <c r="AJ416" s="43">
        <f t="shared" ref="AJ416:AX416" si="2032">AVERAGE(AJ72:AJ83)</f>
        <v>37.083333333333336</v>
      </c>
      <c r="AK416" s="43">
        <f t="shared" si="2032"/>
        <v>0</v>
      </c>
      <c r="AL416" s="43">
        <f t="shared" si="2032"/>
        <v>65194.416666666664</v>
      </c>
      <c r="AM416" s="43">
        <f t="shared" si="2032"/>
        <v>3358.5833333333335</v>
      </c>
      <c r="AN416" s="43">
        <f t="shared" si="2032"/>
        <v>1774.1666666666667</v>
      </c>
      <c r="AO416" s="43">
        <f t="shared" si="2032"/>
        <v>15.833333333333334</v>
      </c>
      <c r="AP416" s="43">
        <f t="shared" si="2032"/>
        <v>9.6666666666666661</v>
      </c>
      <c r="AQ416" s="43">
        <f t="shared" si="2032"/>
        <v>0</v>
      </c>
      <c r="AR416" s="43">
        <f t="shared" si="2032"/>
        <v>0</v>
      </c>
      <c r="AS416" s="43">
        <f t="shared" si="2032"/>
        <v>1942.6666666666667</v>
      </c>
      <c r="AT416" s="43" t="e">
        <f t="shared" si="2032"/>
        <v>#DIV/0!</v>
      </c>
      <c r="AU416" s="43">
        <f t="shared" si="2032"/>
        <v>736.41666666666663</v>
      </c>
      <c r="AV416" s="43">
        <f t="shared" si="2032"/>
        <v>1114.5833333333333</v>
      </c>
      <c r="AW416" s="43">
        <f t="shared" si="2032"/>
        <v>1663.5833333333333</v>
      </c>
      <c r="AX416" s="43">
        <f t="shared" si="2032"/>
        <v>5714.166666666667</v>
      </c>
      <c r="AY416" s="161"/>
      <c r="AZ416" s="161"/>
      <c r="BA416" s="161">
        <f>AVERAGE(BA72:BA83)</f>
        <v>0</v>
      </c>
      <c r="BB416" s="161"/>
      <c r="BC416" s="43">
        <f>AVERAGE(BC72:BC83)</f>
        <v>1479.25</v>
      </c>
      <c r="BD416" s="43"/>
      <c r="BE416" s="43">
        <f t="shared" ref="BE416:BL416" si="2033">AVERAGE(BE72:BE83)</f>
        <v>58981.75</v>
      </c>
      <c r="BF416" s="43">
        <f t="shared" si="2033"/>
        <v>128325.58333333333</v>
      </c>
      <c r="BG416" s="43">
        <f t="shared" si="2033"/>
        <v>254.75</v>
      </c>
      <c r="BH416" s="43">
        <f t="shared" si="2033"/>
        <v>1026.8333333333333</v>
      </c>
      <c r="BI416" s="43">
        <f t="shared" si="2033"/>
        <v>1232.75</v>
      </c>
      <c r="BJ416" s="43">
        <f t="shared" si="2033"/>
        <v>3532.75</v>
      </c>
      <c r="BK416" s="43">
        <f t="shared" si="2033"/>
        <v>217.75</v>
      </c>
      <c r="BL416" s="43">
        <f t="shared" si="2033"/>
        <v>2726.8333333333335</v>
      </c>
      <c r="BM416" s="43"/>
      <c r="BN416" s="43">
        <f t="shared" ref="BN416:BU416" si="2034">AVERAGE(BN72:BN83)</f>
        <v>646.25</v>
      </c>
      <c r="BO416" s="43">
        <f t="shared" si="2034"/>
        <v>117.08333333333333</v>
      </c>
      <c r="BP416" s="43">
        <f t="shared" si="2034"/>
        <v>0</v>
      </c>
      <c r="BQ416" s="43">
        <f t="shared" si="2034"/>
        <v>7643.25</v>
      </c>
      <c r="BR416" s="43">
        <f t="shared" si="2034"/>
        <v>13339.166666666666</v>
      </c>
      <c r="BS416" s="43">
        <f t="shared" si="2034"/>
        <v>31.75</v>
      </c>
      <c r="BT416" s="43">
        <f t="shared" si="2034"/>
        <v>761.75</v>
      </c>
      <c r="BU416" s="43">
        <f t="shared" si="2034"/>
        <v>887.5</v>
      </c>
      <c r="BV416" s="43"/>
      <c r="BW416" s="43">
        <f>AVERAGE(BW72:BW83)</f>
        <v>12.5</v>
      </c>
      <c r="BX416" s="43">
        <f>AVERAGE(BX72:BX83)</f>
        <v>283.33333333333331</v>
      </c>
      <c r="BY416" s="43"/>
      <c r="BZ416" s="43">
        <f t="shared" ref="BZ416:CK416" si="2035">AVERAGE(BZ72:BZ83)</f>
        <v>2753.9166666666665</v>
      </c>
      <c r="CA416" s="43">
        <f t="shared" si="2035"/>
        <v>6.166666666666667</v>
      </c>
      <c r="CB416" s="43">
        <f t="shared" si="2035"/>
        <v>0</v>
      </c>
      <c r="CC416" s="43">
        <f t="shared" si="2035"/>
        <v>13175.5</v>
      </c>
      <c r="CD416" s="43">
        <f t="shared" si="2035"/>
        <v>55856.583333333336</v>
      </c>
      <c r="CE416" s="43">
        <f t="shared" si="2035"/>
        <v>41452.416666666664</v>
      </c>
      <c r="CF416" s="43">
        <f t="shared" si="2035"/>
        <v>12979.5</v>
      </c>
      <c r="CG416" s="43">
        <f t="shared" si="2035"/>
        <v>0</v>
      </c>
      <c r="CH416" s="43">
        <f t="shared" si="2035"/>
        <v>0</v>
      </c>
      <c r="CI416" s="43">
        <f t="shared" si="2035"/>
        <v>16.75</v>
      </c>
      <c r="CJ416" s="43">
        <f t="shared" si="2035"/>
        <v>260.83333333333331</v>
      </c>
      <c r="CK416" s="43">
        <f t="shared" si="2035"/>
        <v>188.25</v>
      </c>
      <c r="CL416" s="43">
        <v>0</v>
      </c>
      <c r="CM416" s="43">
        <v>0</v>
      </c>
      <c r="CN416" s="43">
        <v>0</v>
      </c>
      <c r="CO416" s="43">
        <v>0</v>
      </c>
      <c r="CP416" s="43">
        <v>0</v>
      </c>
      <c r="CQ416" s="43">
        <v>0</v>
      </c>
      <c r="CR416" s="43"/>
      <c r="CS416" s="43"/>
      <c r="CT416" s="43" t="e">
        <f t="shared" ref="CT416:CY416" si="2036">AVERAGE(CT72:CT83)</f>
        <v>#DIV/0!</v>
      </c>
      <c r="CU416" s="43" t="e">
        <f t="shared" si="2036"/>
        <v>#DIV/0!</v>
      </c>
      <c r="CV416" s="43" t="e">
        <f t="shared" si="2036"/>
        <v>#DIV/0!</v>
      </c>
      <c r="CW416" s="43">
        <f t="shared" si="2036"/>
        <v>0</v>
      </c>
      <c r="CX416" s="43">
        <f t="shared" si="2036"/>
        <v>0</v>
      </c>
      <c r="CY416" s="43">
        <f t="shared" si="2036"/>
        <v>0</v>
      </c>
      <c r="CZ416" s="129"/>
      <c r="DA416" s="129"/>
      <c r="DB416" s="6"/>
      <c r="DD416" s="43">
        <f t="shared" si="2010"/>
        <v>346711.5</v>
      </c>
      <c r="DE416" s="43">
        <f>AVERAGE(DE72:DE83)</f>
        <v>156080.91666666666</v>
      </c>
      <c r="DF416" s="43">
        <f>AVERAGE(DF72:DF83)</f>
        <v>502792.41666666669</v>
      </c>
      <c r="DK416" s="43">
        <f t="shared" ref="DK416:DP416" si="2037">AVERAGE(DK72:DK83)</f>
        <v>60232.5</v>
      </c>
      <c r="DL416" s="43">
        <f t="shared" si="2037"/>
        <v>76521.75</v>
      </c>
      <c r="DM416" s="43">
        <f t="shared" si="2037"/>
        <v>11778</v>
      </c>
      <c r="DN416" s="43">
        <f t="shared" si="2037"/>
        <v>7548.666666666667</v>
      </c>
      <c r="DO416" s="43">
        <f t="shared" si="2037"/>
        <v>257661.75</v>
      </c>
      <c r="DP416" s="43">
        <f t="shared" si="2037"/>
        <v>69059.833333333328</v>
      </c>
      <c r="DQ416" s="43"/>
      <c r="DR416" s="43">
        <f>AVERAGE(DR72:DR83)</f>
        <v>13192.25</v>
      </c>
      <c r="DS416" s="43">
        <f>AVERAGE(DS72:DS83)</f>
        <v>0</v>
      </c>
      <c r="DT416" s="43">
        <f>AVERAGE(DT72:DT83)</f>
        <v>6797.666666666667</v>
      </c>
      <c r="DU416" s="43"/>
      <c r="DV416" s="43"/>
      <c r="DW416" s="43">
        <f>AVERAGE(DW72:DW83)</f>
        <v>502792.41666666669</v>
      </c>
      <c r="DZ416" s="43">
        <f>AVERAGE(DZ72:DZ83)</f>
        <v>0</v>
      </c>
      <c r="EB416" s="43">
        <f>AVERAGE(EB72:EB83)</f>
        <v>502792.41666666669</v>
      </c>
      <c r="EC416" s="43">
        <f t="shared" si="2012"/>
        <v>156080.91666666666</v>
      </c>
      <c r="ED416" s="43">
        <f t="shared" si="2013"/>
        <v>346711.5</v>
      </c>
      <c r="EI416" s="37"/>
      <c r="EJ416" s="6"/>
      <c r="EK416" s="6"/>
    </row>
    <row r="417" spans="2:141" ht="15">
      <c r="B417" s="44" t="s">
        <v>212</v>
      </c>
      <c r="C417" s="128"/>
      <c r="D417" s="128"/>
      <c r="E417" s="128"/>
      <c r="F417" s="129"/>
      <c r="G417" s="129"/>
      <c r="H417" s="43">
        <f>AVERAGE(H84:H95)</f>
        <v>0</v>
      </c>
      <c r="I417" s="43">
        <f>AVERAGE(I84:I95)</f>
        <v>0</v>
      </c>
      <c r="J417" s="43">
        <f>AVERAGE(J84:J95)</f>
        <v>0</v>
      </c>
      <c r="K417" s="43">
        <f>AVERAGE(K84:K95)</f>
        <v>0</v>
      </c>
      <c r="L417" s="43"/>
      <c r="M417" s="43">
        <f t="shared" ref="M417:T417" si="2038">AVERAGE(M84:M95)</f>
        <v>34645.166666666664</v>
      </c>
      <c r="N417" s="43">
        <f t="shared" si="2038"/>
        <v>3420.6666666666665</v>
      </c>
      <c r="O417" s="43" t="e">
        <f t="shared" si="2038"/>
        <v>#DIV/0!</v>
      </c>
      <c r="P417" s="43">
        <f t="shared" si="2038"/>
        <v>7642.583333333333</v>
      </c>
      <c r="Q417" s="43">
        <f t="shared" si="2038"/>
        <v>1842.6666666666667</v>
      </c>
      <c r="R417" s="43">
        <f t="shared" si="2038"/>
        <v>1481.0833333333333</v>
      </c>
      <c r="S417" s="43">
        <f t="shared" si="2038"/>
        <v>3711.9166666666665</v>
      </c>
      <c r="T417" s="43">
        <f t="shared" si="2038"/>
        <v>12960.083333333334</v>
      </c>
      <c r="U417" s="43"/>
      <c r="V417" s="43"/>
      <c r="W417" s="43">
        <f>AVERAGE(W84:W95)</f>
        <v>8034.833333333333</v>
      </c>
      <c r="X417" s="43">
        <f>AVERAGE(X84:X95)</f>
        <v>0</v>
      </c>
      <c r="Y417" s="43">
        <f>AVERAGE(Y84:Y95)</f>
        <v>858</v>
      </c>
      <c r="Z417" s="43">
        <f>AVERAGE(Z84:Z95)</f>
        <v>30.666666666666668</v>
      </c>
      <c r="AA417" s="161"/>
      <c r="AB417" s="43">
        <f t="shared" ref="AB417:AG417" si="2039">AVERAGE(AB84:AB95)</f>
        <v>29.083333333333332</v>
      </c>
      <c r="AC417" s="43">
        <f t="shared" si="2039"/>
        <v>0</v>
      </c>
      <c r="AD417" s="43">
        <f t="shared" si="2039"/>
        <v>6.416666666666667</v>
      </c>
      <c r="AE417" s="43">
        <f t="shared" si="2039"/>
        <v>27.75</v>
      </c>
      <c r="AF417" s="43">
        <f t="shared" si="2039"/>
        <v>9.4166666666666661</v>
      </c>
      <c r="AG417" s="43">
        <f t="shared" si="2039"/>
        <v>55.25</v>
      </c>
      <c r="AH417" s="43"/>
      <c r="AI417" s="43"/>
      <c r="AJ417" s="43">
        <f t="shared" ref="AJ417:AX417" si="2040">AVERAGE(AJ84:AJ95)</f>
        <v>33.5</v>
      </c>
      <c r="AK417" s="43">
        <f t="shared" si="2040"/>
        <v>0</v>
      </c>
      <c r="AL417" s="43">
        <f t="shared" si="2040"/>
        <v>72053.916666666672</v>
      </c>
      <c r="AM417" s="43">
        <f t="shared" si="2040"/>
        <v>3504.6666666666665</v>
      </c>
      <c r="AN417" s="43">
        <f t="shared" si="2040"/>
        <v>3061.1666666666665</v>
      </c>
      <c r="AO417" s="43">
        <f t="shared" si="2040"/>
        <v>38.833333333333336</v>
      </c>
      <c r="AP417" s="43">
        <f t="shared" si="2040"/>
        <v>3</v>
      </c>
      <c r="AQ417" s="43">
        <f t="shared" si="2040"/>
        <v>0</v>
      </c>
      <c r="AR417" s="43">
        <f t="shared" si="2040"/>
        <v>0</v>
      </c>
      <c r="AS417" s="43">
        <f t="shared" si="2040"/>
        <v>2023.8333333333333</v>
      </c>
      <c r="AT417" s="43" t="e">
        <f t="shared" si="2040"/>
        <v>#DIV/0!</v>
      </c>
      <c r="AU417" s="43">
        <f t="shared" si="2040"/>
        <v>852.33333333333337</v>
      </c>
      <c r="AV417" s="43">
        <f t="shared" si="2040"/>
        <v>1216.8333333333333</v>
      </c>
      <c r="AW417" s="43">
        <f t="shared" si="2040"/>
        <v>1856.0833333333333</v>
      </c>
      <c r="AX417" s="43">
        <f t="shared" si="2040"/>
        <v>6856.083333333333</v>
      </c>
      <c r="AY417" s="161"/>
      <c r="AZ417" s="161"/>
      <c r="BA417" s="161">
        <f>AVERAGE(BA84:BA95)</f>
        <v>0</v>
      </c>
      <c r="BB417" s="161"/>
      <c r="BC417" s="43">
        <f>AVERAGE(BC84:BC95)</f>
        <v>1318.4166666666667</v>
      </c>
      <c r="BD417" s="43"/>
      <c r="BE417" s="43">
        <f t="shared" ref="BE417:BL417" si="2041">AVERAGE(BE84:BE95)</f>
        <v>56996.5</v>
      </c>
      <c r="BF417" s="43">
        <f t="shared" si="2041"/>
        <v>126077.83333333333</v>
      </c>
      <c r="BG417" s="43">
        <f t="shared" si="2041"/>
        <v>251.91666666666666</v>
      </c>
      <c r="BH417" s="43">
        <f t="shared" si="2041"/>
        <v>749.16666666666663</v>
      </c>
      <c r="BI417" s="43">
        <f t="shared" si="2041"/>
        <v>921.08333333333337</v>
      </c>
      <c r="BJ417" s="43">
        <f t="shared" si="2041"/>
        <v>4076.75</v>
      </c>
      <c r="BK417" s="43">
        <f t="shared" si="2041"/>
        <v>107.75</v>
      </c>
      <c r="BL417" s="43">
        <f t="shared" si="2041"/>
        <v>2756.5833333333335</v>
      </c>
      <c r="BM417" s="43"/>
      <c r="BN417" s="43">
        <f t="shared" ref="BN417:BU417" si="2042">AVERAGE(BN84:BN95)</f>
        <v>601.33333333333337</v>
      </c>
      <c r="BO417" s="43">
        <f t="shared" si="2042"/>
        <v>90.833333333333329</v>
      </c>
      <c r="BP417" s="43">
        <f t="shared" si="2042"/>
        <v>0</v>
      </c>
      <c r="BQ417" s="43">
        <f t="shared" si="2042"/>
        <v>8365.75</v>
      </c>
      <c r="BR417" s="43">
        <f t="shared" si="2042"/>
        <v>13682.75</v>
      </c>
      <c r="BS417" s="43">
        <f t="shared" si="2042"/>
        <v>28.916666666666668</v>
      </c>
      <c r="BT417" s="43">
        <f t="shared" si="2042"/>
        <v>553</v>
      </c>
      <c r="BU417" s="43">
        <f t="shared" si="2042"/>
        <v>667.66666666666663</v>
      </c>
      <c r="BV417" s="43"/>
      <c r="BW417" s="43">
        <f>AVERAGE(BW84:BW95)</f>
        <v>13.083333333333334</v>
      </c>
      <c r="BX417" s="43">
        <f>AVERAGE(BX84:BX95)</f>
        <v>261.83333333333331</v>
      </c>
      <c r="BY417" s="43"/>
      <c r="BZ417" s="43">
        <f t="shared" ref="BZ417:CK417" si="2043">AVERAGE(BZ84:BZ95)</f>
        <v>1171.9166666666667</v>
      </c>
      <c r="CA417" s="43">
        <f t="shared" si="2043"/>
        <v>3.0833333333333335</v>
      </c>
      <c r="CB417" s="43">
        <f t="shared" si="2043"/>
        <v>0</v>
      </c>
      <c r="CC417" s="43">
        <f t="shared" si="2043"/>
        <v>13025</v>
      </c>
      <c r="CD417" s="43">
        <f t="shared" si="2043"/>
        <v>59867.583333333336</v>
      </c>
      <c r="CE417" s="43">
        <f t="shared" si="2043"/>
        <v>59999.416666666664</v>
      </c>
      <c r="CF417" s="43">
        <f t="shared" si="2043"/>
        <v>13621.75</v>
      </c>
      <c r="CG417" s="43">
        <f t="shared" si="2043"/>
        <v>0</v>
      </c>
      <c r="CH417" s="43">
        <f t="shared" si="2043"/>
        <v>0</v>
      </c>
      <c r="CI417" s="43">
        <f t="shared" si="2043"/>
        <v>18.833333333333332</v>
      </c>
      <c r="CJ417" s="43">
        <f t="shared" si="2043"/>
        <v>186.41666666666666</v>
      </c>
      <c r="CK417" s="43">
        <f t="shared" si="2043"/>
        <v>196.83333333333334</v>
      </c>
      <c r="CL417" s="43">
        <v>0</v>
      </c>
      <c r="CM417" s="43">
        <v>0</v>
      </c>
      <c r="CN417" s="43">
        <v>0</v>
      </c>
      <c r="CO417" s="43">
        <v>0</v>
      </c>
      <c r="CP417" s="43">
        <v>0</v>
      </c>
      <c r="CQ417" s="43">
        <v>0</v>
      </c>
      <c r="CR417" s="43"/>
      <c r="CS417" s="43"/>
      <c r="CT417" s="43" t="e">
        <f t="shared" ref="CT417:CY417" si="2044">AVERAGE(CT84:CT95)</f>
        <v>#DIV/0!</v>
      </c>
      <c r="CU417" s="43" t="e">
        <f t="shared" si="2044"/>
        <v>#DIV/0!</v>
      </c>
      <c r="CV417" s="43" t="e">
        <f t="shared" si="2044"/>
        <v>#DIV/0!</v>
      </c>
      <c r="CW417" s="43">
        <f t="shared" si="2044"/>
        <v>0</v>
      </c>
      <c r="CX417" s="43">
        <f t="shared" si="2044"/>
        <v>0</v>
      </c>
      <c r="CY417" s="43">
        <f t="shared" si="2044"/>
        <v>0</v>
      </c>
      <c r="CZ417" s="129"/>
      <c r="DA417" s="129"/>
      <c r="DB417" s="6"/>
      <c r="DD417" s="43">
        <f t="shared" si="2010"/>
        <v>364293.58333333337</v>
      </c>
      <c r="DE417" s="43">
        <f>AVERAGE(DE84:DE95)</f>
        <v>167574.25</v>
      </c>
      <c r="DF417" s="43">
        <f>AVERAGE(DF84:DF95)</f>
        <v>531867.83333333337</v>
      </c>
      <c r="DK417" s="43">
        <f t="shared" ref="DK417:DP417" si="2045">AVERAGE(DK84:DK95)</f>
        <v>60778.916666666664</v>
      </c>
      <c r="DL417" s="43">
        <f t="shared" si="2045"/>
        <v>83859.75</v>
      </c>
      <c r="DM417" s="43">
        <f t="shared" si="2045"/>
        <v>12960.083333333334</v>
      </c>
      <c r="DN417" s="43">
        <f t="shared" si="2045"/>
        <v>9975.5</v>
      </c>
      <c r="DO417" s="43">
        <f t="shared" si="2045"/>
        <v>276636.91666666669</v>
      </c>
      <c r="DP417" s="43">
        <f t="shared" si="2045"/>
        <v>67265.75</v>
      </c>
      <c r="DQ417" s="43"/>
      <c r="DR417" s="43">
        <f>AVERAGE(DR84:DR95)</f>
        <v>13043.833333333334</v>
      </c>
      <c r="DS417" s="43">
        <f>AVERAGE(DS84:DS95)</f>
        <v>0</v>
      </c>
      <c r="DT417" s="43">
        <f>AVERAGE(DT84:DT95)</f>
        <v>7347.083333333333</v>
      </c>
      <c r="DU417" s="43"/>
      <c r="DV417" s="43"/>
      <c r="DW417" s="43">
        <f>AVERAGE(DW84:DW95)</f>
        <v>531867.83333333337</v>
      </c>
      <c r="DZ417" s="43">
        <f>AVERAGE(DZ84:DZ95)</f>
        <v>0</v>
      </c>
      <c r="EB417" s="43">
        <f>AVERAGE(EB84:EB95)</f>
        <v>531867.83333333337</v>
      </c>
      <c r="EC417" s="43">
        <f t="shared" si="2012"/>
        <v>167574.25</v>
      </c>
      <c r="ED417" s="43">
        <f t="shared" si="2013"/>
        <v>364293.58333333337</v>
      </c>
      <c r="EI417" s="37"/>
      <c r="EJ417" s="6"/>
      <c r="EK417" s="6"/>
    </row>
    <row r="418" spans="2:141" ht="15">
      <c r="B418" s="44" t="s">
        <v>213</v>
      </c>
      <c r="C418" s="128"/>
      <c r="D418" s="128"/>
      <c r="E418" s="128"/>
      <c r="F418" s="129"/>
      <c r="G418" s="129"/>
      <c r="H418" s="43">
        <f>AVERAGE(H96:H107)</f>
        <v>0</v>
      </c>
      <c r="I418" s="43">
        <f>AVERAGE(I96:I107)</f>
        <v>0</v>
      </c>
      <c r="J418" s="43">
        <f>AVERAGE(J96:J107)</f>
        <v>0</v>
      </c>
      <c r="K418" s="43">
        <f>AVERAGE(K96:K107)</f>
        <v>0</v>
      </c>
      <c r="L418" s="43"/>
      <c r="M418" s="43">
        <f t="shared" ref="M418:T418" si="2046">AVERAGE(M96:M107)</f>
        <v>34507.25</v>
      </c>
      <c r="N418" s="43">
        <f t="shared" si="2046"/>
        <v>3352.4166666666665</v>
      </c>
      <c r="O418" s="43" t="e">
        <f t="shared" si="2046"/>
        <v>#DIV/0!</v>
      </c>
      <c r="P418" s="43">
        <f t="shared" si="2046"/>
        <v>6430.333333333333</v>
      </c>
      <c r="Q418" s="43">
        <f t="shared" si="2046"/>
        <v>3308.75</v>
      </c>
      <c r="R418" s="43">
        <f t="shared" si="2046"/>
        <v>1620.6666666666667</v>
      </c>
      <c r="S418" s="43">
        <f t="shared" si="2046"/>
        <v>5662.833333333333</v>
      </c>
      <c r="T418" s="43">
        <f t="shared" si="2046"/>
        <v>13492.166666666666</v>
      </c>
      <c r="U418" s="43"/>
      <c r="V418" s="43"/>
      <c r="W418" s="43">
        <f>AVERAGE(W96:W107)</f>
        <v>6029.083333333333</v>
      </c>
      <c r="X418" s="43">
        <f>AVERAGE(X96:X107)</f>
        <v>0</v>
      </c>
      <c r="Y418" s="43">
        <f>AVERAGE(Y96:Y107)</f>
        <v>837.75</v>
      </c>
      <c r="Z418" s="43">
        <f>AVERAGE(Z96:Z107)</f>
        <v>31.75</v>
      </c>
      <c r="AA418" s="161"/>
      <c r="AB418" s="43">
        <f t="shared" ref="AB418:AG418" si="2047">AVERAGE(AB96:AB107)</f>
        <v>25.416666666666668</v>
      </c>
      <c r="AC418" s="43">
        <f t="shared" si="2047"/>
        <v>0</v>
      </c>
      <c r="AD418" s="43">
        <f t="shared" si="2047"/>
        <v>9.0833333333333339</v>
      </c>
      <c r="AE418" s="43">
        <f t="shared" si="2047"/>
        <v>28.75</v>
      </c>
      <c r="AF418" s="43">
        <f t="shared" si="2047"/>
        <v>19.75</v>
      </c>
      <c r="AG418" s="43">
        <f t="shared" si="2047"/>
        <v>55.666666666666664</v>
      </c>
      <c r="AH418" s="43"/>
      <c r="AI418" s="43"/>
      <c r="AJ418" s="43">
        <f t="shared" ref="AJ418:AX418" si="2048">AVERAGE(AJ96:AJ107)</f>
        <v>28.5</v>
      </c>
      <c r="AK418" s="43">
        <f t="shared" si="2048"/>
        <v>0</v>
      </c>
      <c r="AL418" s="43">
        <f t="shared" si="2048"/>
        <v>78123.416666666672</v>
      </c>
      <c r="AM418" s="43">
        <f t="shared" si="2048"/>
        <v>3550.75</v>
      </c>
      <c r="AN418" s="43">
        <f t="shared" si="2048"/>
        <v>4996.583333333333</v>
      </c>
      <c r="AO418" s="43">
        <f t="shared" si="2048"/>
        <v>46.666666666666664</v>
      </c>
      <c r="AP418" s="43">
        <f t="shared" si="2048"/>
        <v>3.4166666666666665</v>
      </c>
      <c r="AQ418" s="43">
        <f t="shared" si="2048"/>
        <v>0</v>
      </c>
      <c r="AR418" s="43">
        <f t="shared" si="2048"/>
        <v>0</v>
      </c>
      <c r="AS418" s="43">
        <f t="shared" si="2048"/>
        <v>1912.75</v>
      </c>
      <c r="AT418" s="43" t="e">
        <f t="shared" si="2048"/>
        <v>#DIV/0!</v>
      </c>
      <c r="AU418" s="43">
        <f t="shared" si="2048"/>
        <v>1147.4166666666667</v>
      </c>
      <c r="AV418" s="43">
        <f t="shared" si="2048"/>
        <v>1362.8333333333333</v>
      </c>
      <c r="AW418" s="43">
        <f t="shared" si="2048"/>
        <v>2130.5</v>
      </c>
      <c r="AX418" s="43">
        <f t="shared" si="2048"/>
        <v>7723.583333333333</v>
      </c>
      <c r="AY418" s="161"/>
      <c r="AZ418" s="161"/>
      <c r="BA418" s="161">
        <f>AVERAGE(BA96:BA107)</f>
        <v>0</v>
      </c>
      <c r="BB418" s="161"/>
      <c r="BC418" s="43">
        <f>AVERAGE(BC96:BC107)</f>
        <v>1206.6666666666667</v>
      </c>
      <c r="BD418" s="43"/>
      <c r="BE418" s="43">
        <f t="shared" ref="BE418:BL418" si="2049">AVERAGE(BE96:BE107)</f>
        <v>49731.75</v>
      </c>
      <c r="BF418" s="43">
        <f t="shared" si="2049"/>
        <v>114447.75</v>
      </c>
      <c r="BG418" s="43">
        <f t="shared" si="2049"/>
        <v>268.08333333333331</v>
      </c>
      <c r="BH418" s="43">
        <f t="shared" si="2049"/>
        <v>767.58333333333337</v>
      </c>
      <c r="BI418" s="43">
        <f t="shared" si="2049"/>
        <v>943.33333333333337</v>
      </c>
      <c r="BJ418" s="43">
        <f t="shared" si="2049"/>
        <v>4566.166666666667</v>
      </c>
      <c r="BK418" s="43">
        <f t="shared" si="2049"/>
        <v>81.333333333333329</v>
      </c>
      <c r="BL418" s="43">
        <f t="shared" si="2049"/>
        <v>2723.8333333333335</v>
      </c>
      <c r="BM418" s="43"/>
      <c r="BN418" s="43">
        <f t="shared" ref="BN418:BU418" si="2050">AVERAGE(BN96:BN107)</f>
        <v>604.5</v>
      </c>
      <c r="BO418" s="43">
        <f t="shared" si="2050"/>
        <v>75.833333333333329</v>
      </c>
      <c r="BP418" s="43">
        <f t="shared" si="2050"/>
        <v>0</v>
      </c>
      <c r="BQ418" s="43">
        <f t="shared" si="2050"/>
        <v>8934.0833333333339</v>
      </c>
      <c r="BR418" s="43">
        <f t="shared" si="2050"/>
        <v>14535.416666666666</v>
      </c>
      <c r="BS418" s="43">
        <f t="shared" si="2050"/>
        <v>21</v>
      </c>
      <c r="BT418" s="43">
        <f t="shared" si="2050"/>
        <v>248.75</v>
      </c>
      <c r="BU418" s="43">
        <f t="shared" si="2050"/>
        <v>333.08333333333331</v>
      </c>
      <c r="BV418" s="43"/>
      <c r="BW418" s="43">
        <f>AVERAGE(BW96:BW107)</f>
        <v>6.916666666666667</v>
      </c>
      <c r="BX418" s="43">
        <f>AVERAGE(BX96:BX107)</f>
        <v>241.33333333333334</v>
      </c>
      <c r="BY418" s="43"/>
      <c r="BZ418" s="43">
        <f t="shared" ref="BZ418:CK418" si="2051">AVERAGE(BZ96:BZ107)</f>
        <v>681</v>
      </c>
      <c r="CA418" s="43">
        <f t="shared" si="2051"/>
        <v>1.5</v>
      </c>
      <c r="CB418" s="43">
        <f t="shared" si="2051"/>
        <v>0</v>
      </c>
      <c r="CC418" s="43">
        <f t="shared" si="2051"/>
        <v>12594.666666666666</v>
      </c>
      <c r="CD418" s="43">
        <f t="shared" si="2051"/>
        <v>61098.583333333336</v>
      </c>
      <c r="CE418" s="43">
        <f t="shared" si="2051"/>
        <v>70862.833333333328</v>
      </c>
      <c r="CF418" s="43">
        <f t="shared" si="2051"/>
        <v>13738.833333333334</v>
      </c>
      <c r="CG418" s="43">
        <f t="shared" si="2051"/>
        <v>0</v>
      </c>
      <c r="CH418" s="43">
        <f t="shared" si="2051"/>
        <v>0</v>
      </c>
      <c r="CI418" s="43">
        <f t="shared" si="2051"/>
        <v>22.666666666666668</v>
      </c>
      <c r="CJ418" s="43">
        <f t="shared" si="2051"/>
        <v>134.58333333333334</v>
      </c>
      <c r="CK418" s="43">
        <f t="shared" si="2051"/>
        <v>197.66666666666666</v>
      </c>
      <c r="CL418" s="43">
        <v>0</v>
      </c>
      <c r="CM418" s="43">
        <v>0</v>
      </c>
      <c r="CN418" s="43">
        <v>0</v>
      </c>
      <c r="CO418" s="43">
        <v>0</v>
      </c>
      <c r="CP418" s="43">
        <v>0</v>
      </c>
      <c r="CQ418" s="43">
        <v>0</v>
      </c>
      <c r="CR418" s="43"/>
      <c r="CS418" s="43"/>
      <c r="CT418" s="43" t="e">
        <f t="shared" ref="CT418:CY418" si="2052">AVERAGE(CT96:CT107)</f>
        <v>#DIV/0!</v>
      </c>
      <c r="CU418" s="43" t="e">
        <f t="shared" si="2052"/>
        <v>#DIV/0!</v>
      </c>
      <c r="CV418" s="43" t="e">
        <f t="shared" si="2052"/>
        <v>#DIV/0!</v>
      </c>
      <c r="CW418" s="43">
        <f t="shared" si="2052"/>
        <v>0</v>
      </c>
      <c r="CX418" s="43">
        <f t="shared" si="2052"/>
        <v>0</v>
      </c>
      <c r="CY418" s="43">
        <f t="shared" si="2052"/>
        <v>0</v>
      </c>
      <c r="CZ418" s="129"/>
      <c r="DA418" s="129"/>
      <c r="DB418" s="6"/>
      <c r="DD418" s="43">
        <f t="shared" si="2010"/>
        <v>357863.08333333337</v>
      </c>
      <c r="DE418" s="43">
        <f>AVERAGE(DE96:DE107)</f>
        <v>177644.75</v>
      </c>
      <c r="DF418" s="43">
        <f>AVERAGE(DF96:DF107)</f>
        <v>535507.83333333337</v>
      </c>
      <c r="DK418" s="43">
        <f t="shared" ref="DK418:DP418" si="2053">AVERAGE(DK96:DK107)</f>
        <v>60911.333333333336</v>
      </c>
      <c r="DL418" s="43">
        <f t="shared" si="2053"/>
        <v>90462</v>
      </c>
      <c r="DM418" s="43">
        <f t="shared" si="2053"/>
        <v>13492.166666666666</v>
      </c>
      <c r="DN418" s="43">
        <f t="shared" si="2053"/>
        <v>12779.25</v>
      </c>
      <c r="DO418" s="43">
        <f t="shared" si="2053"/>
        <v>277159.66666666669</v>
      </c>
      <c r="DP418" s="43">
        <f t="shared" si="2053"/>
        <v>60286.666666666664</v>
      </c>
      <c r="DQ418" s="43"/>
      <c r="DR418" s="43">
        <f>AVERAGE(DR96:DR107)</f>
        <v>12617.333333333334</v>
      </c>
      <c r="DS418" s="43">
        <f>AVERAGE(DS96:DS107)</f>
        <v>0</v>
      </c>
      <c r="DT418" s="43">
        <f>AVERAGE(DT96:DT107)</f>
        <v>7799.416666666667</v>
      </c>
      <c r="DU418" s="43"/>
      <c r="DV418" s="43"/>
      <c r="DW418" s="43">
        <f>AVERAGE(DW96:DW107)</f>
        <v>535507.83333333337</v>
      </c>
      <c r="DZ418" s="43">
        <f>AVERAGE(DZ96:DZ107)</f>
        <v>0</v>
      </c>
      <c r="EB418" s="43">
        <f>AVERAGE(EB96:EB107)</f>
        <v>535507.83333333337</v>
      </c>
      <c r="EC418" s="43">
        <f t="shared" si="2012"/>
        <v>177644.75</v>
      </c>
      <c r="ED418" s="43">
        <f t="shared" si="2013"/>
        <v>357863.08333333337</v>
      </c>
      <c r="EI418" s="37"/>
      <c r="EJ418" s="6"/>
      <c r="EK418" s="6"/>
    </row>
    <row r="419" spans="2:141" ht="15">
      <c r="B419" s="44" t="s">
        <v>214</v>
      </c>
      <c r="C419" s="128"/>
      <c r="D419" s="128"/>
      <c r="E419" s="128"/>
      <c r="F419" s="129"/>
      <c r="G419" s="129"/>
      <c r="H419" s="43">
        <f>AVERAGE(H108:H119)</f>
        <v>0</v>
      </c>
      <c r="I419" s="43">
        <f>AVERAGE(I108:I119)</f>
        <v>0</v>
      </c>
      <c r="J419" s="43">
        <f>AVERAGE(J108:J119)</f>
        <v>0</v>
      </c>
      <c r="K419" s="43">
        <f>AVERAGE(K108:K119)</f>
        <v>0</v>
      </c>
      <c r="L419" s="43"/>
      <c r="M419" s="43">
        <f t="shared" ref="M419:T419" si="2054">AVERAGE(M108:M119)</f>
        <v>34258.583333333336</v>
      </c>
      <c r="N419" s="43">
        <f t="shared" si="2054"/>
        <v>3254.5</v>
      </c>
      <c r="O419" s="43" t="e">
        <f t="shared" si="2054"/>
        <v>#DIV/0!</v>
      </c>
      <c r="P419" s="43">
        <f t="shared" si="2054"/>
        <v>4827.416666666667</v>
      </c>
      <c r="Q419" s="43">
        <f t="shared" si="2054"/>
        <v>4825</v>
      </c>
      <c r="R419" s="43">
        <f t="shared" si="2054"/>
        <v>1799</v>
      </c>
      <c r="S419" s="43">
        <f t="shared" si="2054"/>
        <v>7785.916666666667</v>
      </c>
      <c r="T419" s="43">
        <f t="shared" si="2054"/>
        <v>13826.5</v>
      </c>
      <c r="U419" s="43"/>
      <c r="V419" s="43"/>
      <c r="W419" s="43">
        <f>AVERAGE(W108:W119)</f>
        <v>3893.1666666666665</v>
      </c>
      <c r="X419" s="43">
        <f>AVERAGE(X108:X119)</f>
        <v>0</v>
      </c>
      <c r="Y419" s="43">
        <f>AVERAGE(Y108:Y119)</f>
        <v>788.75</v>
      </c>
      <c r="Z419" s="43">
        <f>AVERAGE(Z108:Z119)</f>
        <v>34.25</v>
      </c>
      <c r="AA419" s="161"/>
      <c r="AB419" s="43">
        <f t="shared" ref="AB419:AG419" si="2055">AVERAGE(AB108:AB119)</f>
        <v>25.666666666666668</v>
      </c>
      <c r="AC419" s="43">
        <f t="shared" si="2055"/>
        <v>0</v>
      </c>
      <c r="AD419" s="43">
        <f t="shared" si="2055"/>
        <v>14.916666666666666</v>
      </c>
      <c r="AE419" s="43">
        <f t="shared" si="2055"/>
        <v>30.75</v>
      </c>
      <c r="AF419" s="43">
        <f t="shared" si="2055"/>
        <v>27.333333333333332</v>
      </c>
      <c r="AG419" s="43">
        <f t="shared" si="2055"/>
        <v>58.25</v>
      </c>
      <c r="AH419" s="43"/>
      <c r="AI419" s="43"/>
      <c r="AJ419" s="43">
        <f t="shared" ref="AJ419:AX419" si="2056">AVERAGE(AJ108:AJ119)</f>
        <v>20.416666666666668</v>
      </c>
      <c r="AK419" s="43">
        <f t="shared" si="2056"/>
        <v>0</v>
      </c>
      <c r="AL419" s="43">
        <f t="shared" si="2056"/>
        <v>82336.166666666672</v>
      </c>
      <c r="AM419" s="43">
        <f t="shared" si="2056"/>
        <v>3562.5</v>
      </c>
      <c r="AN419" s="43">
        <f t="shared" si="2056"/>
        <v>6394.25</v>
      </c>
      <c r="AO419" s="43">
        <f t="shared" si="2056"/>
        <v>45.583333333333336</v>
      </c>
      <c r="AP419" s="43">
        <f t="shared" si="2056"/>
        <v>5.333333333333333</v>
      </c>
      <c r="AQ419" s="43">
        <f t="shared" si="2056"/>
        <v>0</v>
      </c>
      <c r="AR419" s="43">
        <f t="shared" si="2056"/>
        <v>0</v>
      </c>
      <c r="AS419" s="43">
        <f t="shared" si="2056"/>
        <v>1837.5833333333333</v>
      </c>
      <c r="AT419" s="43" t="e">
        <f t="shared" si="2056"/>
        <v>#DIV/0!</v>
      </c>
      <c r="AU419" s="43">
        <f t="shared" si="2056"/>
        <v>1468.1666666666667</v>
      </c>
      <c r="AV419" s="43">
        <f t="shared" si="2056"/>
        <v>1494.8333333333333</v>
      </c>
      <c r="AW419" s="43">
        <f t="shared" si="2056"/>
        <v>2382.5833333333335</v>
      </c>
      <c r="AX419" s="43">
        <f t="shared" si="2056"/>
        <v>8469.25</v>
      </c>
      <c r="AY419" s="161"/>
      <c r="AZ419" s="161"/>
      <c r="BA419" s="161">
        <f>AVERAGE(BA108:BA119)</f>
        <v>0</v>
      </c>
      <c r="BB419" s="161"/>
      <c r="BC419" s="43">
        <f>AVERAGE(BC108:BC119)</f>
        <v>1034.1666666666667</v>
      </c>
      <c r="BD419" s="43"/>
      <c r="BE419" s="43">
        <f t="shared" ref="BE419:BL419" si="2057">AVERAGE(BE108:BE119)</f>
        <v>42343.833333333336</v>
      </c>
      <c r="BF419" s="43">
        <f t="shared" si="2057"/>
        <v>99220.666666666672</v>
      </c>
      <c r="BG419" s="43">
        <f t="shared" si="2057"/>
        <v>276.75</v>
      </c>
      <c r="BH419" s="43">
        <f t="shared" si="2057"/>
        <v>734.33333333333337</v>
      </c>
      <c r="BI419" s="43">
        <f t="shared" si="2057"/>
        <v>883.33333333333337</v>
      </c>
      <c r="BJ419" s="43">
        <f t="shared" si="2057"/>
        <v>5048.833333333333</v>
      </c>
      <c r="BK419" s="43">
        <f t="shared" si="2057"/>
        <v>73.25</v>
      </c>
      <c r="BL419" s="43">
        <f t="shared" si="2057"/>
        <v>2838.1666666666665</v>
      </c>
      <c r="BM419" s="43"/>
      <c r="BN419" s="43">
        <f t="shared" ref="BN419:BU419" si="2058">AVERAGE(BN108:BN119)</f>
        <v>590.83333333333337</v>
      </c>
      <c r="BO419" s="43">
        <f t="shared" si="2058"/>
        <v>61.916666666666664</v>
      </c>
      <c r="BP419" s="43">
        <f t="shared" si="2058"/>
        <v>0</v>
      </c>
      <c r="BQ419" s="43">
        <f t="shared" si="2058"/>
        <v>10393.916666666666</v>
      </c>
      <c r="BR419" s="43">
        <f t="shared" si="2058"/>
        <v>15306.5</v>
      </c>
      <c r="BS419" s="43">
        <f t="shared" si="2058"/>
        <v>15.083333333333334</v>
      </c>
      <c r="BT419" s="43">
        <f t="shared" si="2058"/>
        <v>195.83333333333334</v>
      </c>
      <c r="BU419" s="43">
        <f t="shared" si="2058"/>
        <v>242.33333333333334</v>
      </c>
      <c r="BV419" s="43"/>
      <c r="BW419" s="43">
        <f>AVERAGE(BW108:BW119)</f>
        <v>7</v>
      </c>
      <c r="BX419" s="43">
        <f>AVERAGE(BX108:BX119)</f>
        <v>228.66666666666666</v>
      </c>
      <c r="BY419" s="43"/>
      <c r="BZ419" s="43">
        <f t="shared" ref="BZ419:CK419" si="2059">AVERAGE(BZ108:BZ119)</f>
        <v>397.5</v>
      </c>
      <c r="CA419" s="43">
        <f t="shared" si="2059"/>
        <v>1</v>
      </c>
      <c r="CB419" s="43">
        <f t="shared" si="2059"/>
        <v>0</v>
      </c>
      <c r="CC419" s="43">
        <f t="shared" si="2059"/>
        <v>12537.833333333334</v>
      </c>
      <c r="CD419" s="43">
        <f t="shared" si="2059"/>
        <v>60861.5</v>
      </c>
      <c r="CE419" s="43">
        <f t="shared" si="2059"/>
        <v>78946.583333333328</v>
      </c>
      <c r="CF419" s="43">
        <f t="shared" si="2059"/>
        <v>14506.333333333334</v>
      </c>
      <c r="CG419" s="43">
        <f t="shared" si="2059"/>
        <v>0</v>
      </c>
      <c r="CH419" s="43">
        <f t="shared" si="2059"/>
        <v>0</v>
      </c>
      <c r="CI419" s="43">
        <f t="shared" si="2059"/>
        <v>33.25</v>
      </c>
      <c r="CJ419" s="43">
        <f t="shared" si="2059"/>
        <v>104.16666666666667</v>
      </c>
      <c r="CK419" s="43">
        <f t="shared" si="2059"/>
        <v>220.58333333333334</v>
      </c>
      <c r="CL419" s="43">
        <v>0</v>
      </c>
      <c r="CM419" s="43">
        <v>0</v>
      </c>
      <c r="CN419" s="43">
        <v>0</v>
      </c>
      <c r="CO419" s="43">
        <v>0</v>
      </c>
      <c r="CP419" s="43">
        <v>0</v>
      </c>
      <c r="CQ419" s="43">
        <v>0</v>
      </c>
      <c r="CR419" s="43"/>
      <c r="CS419" s="43"/>
      <c r="CT419" s="43" t="e">
        <f t="shared" ref="CT419:CY419" si="2060">AVERAGE(CT108:CT119)</f>
        <v>#DIV/0!</v>
      </c>
      <c r="CU419" s="43" t="e">
        <f t="shared" si="2060"/>
        <v>#DIV/0!</v>
      </c>
      <c r="CV419" s="43" t="e">
        <f t="shared" si="2060"/>
        <v>#DIV/0!</v>
      </c>
      <c r="CW419" s="43">
        <f t="shared" si="2060"/>
        <v>0</v>
      </c>
      <c r="CX419" s="43">
        <f t="shared" si="2060"/>
        <v>0</v>
      </c>
      <c r="CY419" s="43">
        <f t="shared" si="2060"/>
        <v>0</v>
      </c>
      <c r="CZ419" s="129"/>
      <c r="DA419" s="129"/>
      <c r="DB419" s="6"/>
      <c r="DD419" s="43">
        <f t="shared" si="2010"/>
        <v>346070</v>
      </c>
      <c r="DE419" s="43">
        <f>AVERAGE(DE108:DE119)</f>
        <v>184500.83333333334</v>
      </c>
      <c r="DF419" s="43">
        <f>AVERAGE(DF108:DF119)</f>
        <v>530570.83333333337</v>
      </c>
      <c r="DK419" s="43">
        <f t="shared" ref="DK419:DP419" si="2061">AVERAGE(DK108:DK119)</f>
        <v>60643.583333333336</v>
      </c>
      <c r="DL419" s="43">
        <f t="shared" si="2061"/>
        <v>95103.666666666672</v>
      </c>
      <c r="DM419" s="43">
        <f t="shared" si="2061"/>
        <v>13826.5</v>
      </c>
      <c r="DN419" s="43">
        <f t="shared" si="2061"/>
        <v>14927.083333333334</v>
      </c>
      <c r="DO419" s="43">
        <f t="shared" si="2061"/>
        <v>270847.75</v>
      </c>
      <c r="DP419" s="43">
        <f t="shared" si="2061"/>
        <v>54258.75</v>
      </c>
      <c r="DQ419" s="43"/>
      <c r="DR419" s="43">
        <f>AVERAGE(DR108:DR119)</f>
        <v>12571.083333333334</v>
      </c>
      <c r="DS419" s="43">
        <f>AVERAGE(DS108:DS119)</f>
        <v>0</v>
      </c>
      <c r="DT419" s="43">
        <f>AVERAGE(DT108:DT119)</f>
        <v>8392.4166666666661</v>
      </c>
      <c r="DU419" s="43"/>
      <c r="DV419" s="43"/>
      <c r="DW419" s="43">
        <f>AVERAGE(DW108:DW119)</f>
        <v>530570.83333333337</v>
      </c>
      <c r="DZ419" s="43">
        <f>AVERAGE(DZ108:DZ119)</f>
        <v>0</v>
      </c>
      <c r="EB419" s="43">
        <f>AVERAGE(EB108:EB119)</f>
        <v>530570.83333333337</v>
      </c>
      <c r="EC419" s="43">
        <f t="shared" si="2012"/>
        <v>184500.83333333334</v>
      </c>
      <c r="ED419" s="43">
        <f t="shared" si="2013"/>
        <v>346070</v>
      </c>
      <c r="EI419" s="37"/>
      <c r="EJ419" s="6"/>
      <c r="EK419" s="6"/>
    </row>
    <row r="420" spans="2:141" ht="15">
      <c r="B420" s="44" t="s">
        <v>215</v>
      </c>
      <c r="C420" s="128"/>
      <c r="D420" s="128"/>
      <c r="E420" s="128"/>
      <c r="F420" s="129"/>
      <c r="G420" s="129"/>
      <c r="H420" s="43">
        <f>AVERAGE(H120:H131)</f>
        <v>0</v>
      </c>
      <c r="I420" s="43">
        <f>AVERAGE(I120:I131)</f>
        <v>0</v>
      </c>
      <c r="J420" s="43">
        <f>AVERAGE(J120:J131)</f>
        <v>0</v>
      </c>
      <c r="K420" s="43">
        <f>AVERAGE(K120:K131)</f>
        <v>0</v>
      </c>
      <c r="L420" s="43"/>
      <c r="M420" s="43">
        <f t="shared" ref="M420:T420" si="2062">AVERAGE(M120:M131)</f>
        <v>33270.416666666664</v>
      </c>
      <c r="N420" s="43">
        <f t="shared" si="2062"/>
        <v>3172.6666666666665</v>
      </c>
      <c r="O420" s="43" t="e">
        <f t="shared" si="2062"/>
        <v>#DIV/0!</v>
      </c>
      <c r="P420" s="43">
        <f t="shared" si="2062"/>
        <v>3851.25</v>
      </c>
      <c r="Q420" s="43">
        <f t="shared" si="2062"/>
        <v>5814.166666666667</v>
      </c>
      <c r="R420" s="43">
        <f t="shared" si="2062"/>
        <v>1358.4166666666667</v>
      </c>
      <c r="S420" s="43">
        <f t="shared" si="2062"/>
        <v>9049.5</v>
      </c>
      <c r="T420" s="43">
        <f t="shared" si="2062"/>
        <v>13768</v>
      </c>
      <c r="U420" s="43"/>
      <c r="V420" s="43"/>
      <c r="W420" s="43">
        <f>AVERAGE(W120:W131)</f>
        <v>2666.75</v>
      </c>
      <c r="X420" s="43">
        <f>AVERAGE(X120:X131)</f>
        <v>0</v>
      </c>
      <c r="Y420" s="43">
        <f>AVERAGE(Y120:Y131)</f>
        <v>730.83333333333337</v>
      </c>
      <c r="Z420" s="43">
        <f>AVERAGE(Z120:Z131)</f>
        <v>33.083333333333336</v>
      </c>
      <c r="AA420" s="161"/>
      <c r="AB420" s="43">
        <f t="shared" ref="AB420:AG420" si="2063">AVERAGE(AB120:AB131)</f>
        <v>25.833333333333332</v>
      </c>
      <c r="AC420" s="43">
        <f t="shared" si="2063"/>
        <v>0</v>
      </c>
      <c r="AD420" s="43">
        <f t="shared" si="2063"/>
        <v>13.083333333333334</v>
      </c>
      <c r="AE420" s="43">
        <f t="shared" si="2063"/>
        <v>29</v>
      </c>
      <c r="AF420" s="43">
        <f t="shared" si="2063"/>
        <v>34.25</v>
      </c>
      <c r="AG420" s="43">
        <f t="shared" si="2063"/>
        <v>61.583333333333336</v>
      </c>
      <c r="AH420" s="43"/>
      <c r="AI420" s="43"/>
      <c r="AJ420" s="43">
        <f t="shared" ref="AJ420:AX420" si="2064">AVERAGE(AJ120:AJ131)</f>
        <v>14.75</v>
      </c>
      <c r="AK420" s="43">
        <f t="shared" si="2064"/>
        <v>0</v>
      </c>
      <c r="AL420" s="43">
        <f t="shared" si="2064"/>
        <v>81670.833333333328</v>
      </c>
      <c r="AM420" s="43">
        <f t="shared" si="2064"/>
        <v>3494.0833333333335</v>
      </c>
      <c r="AN420" s="43">
        <f t="shared" si="2064"/>
        <v>7311.666666666667</v>
      </c>
      <c r="AO420" s="43">
        <f t="shared" si="2064"/>
        <v>31.083333333333332</v>
      </c>
      <c r="AP420" s="43">
        <f t="shared" si="2064"/>
        <v>6</v>
      </c>
      <c r="AQ420" s="43">
        <f t="shared" si="2064"/>
        <v>0.83333333333333337</v>
      </c>
      <c r="AR420" s="43">
        <f t="shared" si="2064"/>
        <v>0.83333333333333337</v>
      </c>
      <c r="AS420" s="43">
        <f t="shared" si="2064"/>
        <v>1716.1666666666667</v>
      </c>
      <c r="AT420" s="43" t="e">
        <f t="shared" si="2064"/>
        <v>#DIV/0!</v>
      </c>
      <c r="AU420" s="43">
        <f t="shared" si="2064"/>
        <v>1655.4166666666667</v>
      </c>
      <c r="AV420" s="43">
        <f t="shared" si="2064"/>
        <v>1512.1666666666667</v>
      </c>
      <c r="AW420" s="43">
        <f t="shared" si="2064"/>
        <v>2570.8333333333335</v>
      </c>
      <c r="AX420" s="43">
        <f t="shared" si="2064"/>
        <v>8866.4166666666661</v>
      </c>
      <c r="AY420" s="161"/>
      <c r="AZ420" s="161"/>
      <c r="BA420" s="161">
        <f>AVERAGE(BA120:BA131)</f>
        <v>0</v>
      </c>
      <c r="BB420" s="161"/>
      <c r="BC420" s="43">
        <f>AVERAGE(BC120:BC131)</f>
        <v>849.83333333333337</v>
      </c>
      <c r="BD420" s="43"/>
      <c r="BE420" s="43">
        <f t="shared" ref="BE420:BL420" si="2065">AVERAGE(BE120:BE131)</f>
        <v>33486.916666666664</v>
      </c>
      <c r="BF420" s="43">
        <f t="shared" si="2065"/>
        <v>80074.833333333328</v>
      </c>
      <c r="BG420" s="43">
        <f t="shared" si="2065"/>
        <v>288.41666666666669</v>
      </c>
      <c r="BH420" s="43">
        <f t="shared" si="2065"/>
        <v>959.33333333333337</v>
      </c>
      <c r="BI420" s="43">
        <f t="shared" si="2065"/>
        <v>1140.9166666666667</v>
      </c>
      <c r="BJ420" s="43">
        <f t="shared" si="2065"/>
        <v>5407.916666666667</v>
      </c>
      <c r="BK420" s="43">
        <f t="shared" si="2065"/>
        <v>66</v>
      </c>
      <c r="BL420" s="43">
        <f t="shared" si="2065"/>
        <v>2927.75</v>
      </c>
      <c r="BM420" s="43"/>
      <c r="BN420" s="43">
        <f t="shared" ref="BN420:BU420" si="2066">AVERAGE(BN120:BN131)</f>
        <v>408</v>
      </c>
      <c r="BO420" s="43">
        <f t="shared" si="2066"/>
        <v>48</v>
      </c>
      <c r="BP420" s="43">
        <f t="shared" si="2066"/>
        <v>0</v>
      </c>
      <c r="BQ420" s="43">
        <f t="shared" si="2066"/>
        <v>11848.583333333334</v>
      </c>
      <c r="BR420" s="43">
        <f t="shared" si="2066"/>
        <v>15537.083333333334</v>
      </c>
      <c r="BS420" s="43">
        <f t="shared" si="2066"/>
        <v>21.75</v>
      </c>
      <c r="BT420" s="43">
        <f t="shared" si="2066"/>
        <v>410.25</v>
      </c>
      <c r="BU420" s="43">
        <f t="shared" si="2066"/>
        <v>415.5</v>
      </c>
      <c r="BV420" s="43"/>
      <c r="BW420" s="43">
        <f>AVERAGE(BW120:BW131)</f>
        <v>7.25</v>
      </c>
      <c r="BX420" s="43">
        <f>AVERAGE(BX120:BX131)</f>
        <v>216.25</v>
      </c>
      <c r="BY420" s="43"/>
      <c r="BZ420" s="43">
        <f t="shared" ref="BZ420:CK420" si="2067">AVERAGE(BZ120:BZ131)</f>
        <v>251.58333333333334</v>
      </c>
      <c r="CA420" s="43">
        <f t="shared" si="2067"/>
        <v>2.25</v>
      </c>
      <c r="CB420" s="43">
        <f t="shared" si="2067"/>
        <v>0</v>
      </c>
      <c r="CC420" s="43">
        <f t="shared" si="2067"/>
        <v>12393.666666666666</v>
      </c>
      <c r="CD420" s="43">
        <f t="shared" si="2067"/>
        <v>58863.75</v>
      </c>
      <c r="CE420" s="43">
        <f t="shared" si="2067"/>
        <v>82461.583333333328</v>
      </c>
      <c r="CF420" s="43">
        <f t="shared" si="2067"/>
        <v>14620.083333333334</v>
      </c>
      <c r="CG420" s="43">
        <f t="shared" si="2067"/>
        <v>0</v>
      </c>
      <c r="CH420" s="43">
        <f t="shared" si="2067"/>
        <v>0</v>
      </c>
      <c r="CI420" s="43">
        <f t="shared" si="2067"/>
        <v>55</v>
      </c>
      <c r="CJ420" s="43">
        <f t="shared" si="2067"/>
        <v>92.75</v>
      </c>
      <c r="CK420" s="43">
        <f t="shared" si="2067"/>
        <v>226.5</v>
      </c>
      <c r="CL420" s="43">
        <v>0</v>
      </c>
      <c r="CM420" s="43">
        <v>0</v>
      </c>
      <c r="CN420" s="43">
        <v>0</v>
      </c>
      <c r="CO420" s="43">
        <v>0</v>
      </c>
      <c r="CP420" s="43">
        <v>0</v>
      </c>
      <c r="CQ420" s="43">
        <v>0</v>
      </c>
      <c r="CR420" s="43"/>
      <c r="CS420" s="43"/>
      <c r="CT420" s="43" t="e">
        <f t="shared" ref="CT420:CY420" si="2068">AVERAGE(CT120:CT131)</f>
        <v>#DIV/0!</v>
      </c>
      <c r="CU420" s="43" t="e">
        <f t="shared" si="2068"/>
        <v>#DIV/0!</v>
      </c>
      <c r="CV420" s="43" t="e">
        <f t="shared" si="2068"/>
        <v>#DIV/0!</v>
      </c>
      <c r="CW420" s="43">
        <f t="shared" si="2068"/>
        <v>0</v>
      </c>
      <c r="CX420" s="43">
        <f t="shared" si="2068"/>
        <v>0</v>
      </c>
      <c r="CY420" s="43">
        <f t="shared" si="2068"/>
        <v>0</v>
      </c>
      <c r="CZ420" s="129"/>
      <c r="DA420" s="129"/>
      <c r="DB420" s="6"/>
      <c r="DD420" s="43">
        <f t="shared" si="2010"/>
        <v>322231.91666666669</v>
      </c>
      <c r="DE420" s="43">
        <f>AVERAGE(DE120:DE131)</f>
        <v>183579.75</v>
      </c>
      <c r="DF420" s="43">
        <f>AVERAGE(DF120:DF131)</f>
        <v>505811.66666666669</v>
      </c>
      <c r="DK420" s="43">
        <f t="shared" ref="DK420:DP420" si="2069">AVERAGE(DK120:DK131)</f>
        <v>59183.166666666664</v>
      </c>
      <c r="DL420" s="43">
        <f t="shared" si="2069"/>
        <v>94381.25</v>
      </c>
      <c r="DM420" s="43">
        <f t="shared" si="2069"/>
        <v>13768</v>
      </c>
      <c r="DN420" s="43">
        <f t="shared" si="2069"/>
        <v>16247.333333333334</v>
      </c>
      <c r="DO420" s="43">
        <f t="shared" si="2069"/>
        <v>253829.83333333334</v>
      </c>
      <c r="DP420" s="43">
        <f t="shared" si="2069"/>
        <v>47113.083333333336</v>
      </c>
      <c r="DQ420" s="43"/>
      <c r="DR420" s="43">
        <f>AVERAGE(DR120:DR131)</f>
        <v>12448.666666666666</v>
      </c>
      <c r="DS420" s="43">
        <f>AVERAGE(DS120:DS131)</f>
        <v>0</v>
      </c>
      <c r="DT420" s="43">
        <f>AVERAGE(DT120:DT131)</f>
        <v>8840.3333333333339</v>
      </c>
      <c r="DU420" s="43"/>
      <c r="DV420" s="43"/>
      <c r="DW420" s="43">
        <f>AVERAGE(DW120:DW131)</f>
        <v>505811.66666666669</v>
      </c>
      <c r="DZ420" s="43">
        <f>AVERAGE(DZ120:DZ131)</f>
        <v>0</v>
      </c>
      <c r="EB420" s="43">
        <f>AVERAGE(EB120:EB131)</f>
        <v>505811.66666666669</v>
      </c>
      <c r="EC420" s="43">
        <f t="shared" si="2012"/>
        <v>183579.75</v>
      </c>
      <c r="ED420" s="43">
        <f t="shared" si="2013"/>
        <v>322231.91666666669</v>
      </c>
      <c r="EI420" s="37"/>
      <c r="EJ420" s="6"/>
      <c r="EK420" s="6"/>
    </row>
    <row r="421" spans="2:141" ht="15">
      <c r="B421" s="44" t="s">
        <v>216</v>
      </c>
      <c r="C421" s="128"/>
      <c r="D421" s="128"/>
      <c r="E421" s="128"/>
      <c r="F421" s="129"/>
      <c r="G421" s="129"/>
      <c r="H421" s="43">
        <f>AVERAGE(H132:H143)</f>
        <v>0</v>
      </c>
      <c r="I421" s="43">
        <f>AVERAGE(I132:I143)</f>
        <v>0</v>
      </c>
      <c r="J421" s="43">
        <f>AVERAGE(J132:J143)</f>
        <v>0</v>
      </c>
      <c r="K421" s="43">
        <f>AVERAGE(K132:K143)</f>
        <v>3007.8333333333335</v>
      </c>
      <c r="L421" s="43"/>
      <c r="M421" s="43">
        <f t="shared" ref="M421:T421" si="2070">AVERAGE(M132:M143)</f>
        <v>32587.916666666668</v>
      </c>
      <c r="N421" s="43">
        <f t="shared" si="2070"/>
        <v>3180.0833333333335</v>
      </c>
      <c r="O421" s="43" t="e">
        <f t="shared" si="2070"/>
        <v>#DIV/0!</v>
      </c>
      <c r="P421" s="43">
        <f t="shared" si="2070"/>
        <v>3355</v>
      </c>
      <c r="Q421" s="43">
        <f t="shared" si="2070"/>
        <v>6521.416666666667</v>
      </c>
      <c r="R421" s="43">
        <f t="shared" si="2070"/>
        <v>1126.9166666666667</v>
      </c>
      <c r="S421" s="43">
        <f t="shared" si="2070"/>
        <v>9579.1666666666661</v>
      </c>
      <c r="T421" s="43">
        <f t="shared" si="2070"/>
        <v>13633.416666666666</v>
      </c>
      <c r="U421" s="43"/>
      <c r="V421" s="43"/>
      <c r="W421" s="43">
        <f>AVERAGE(W132:W143)</f>
        <v>2020.0833333333333</v>
      </c>
      <c r="X421" s="43">
        <f>AVERAGE(X132:X143)</f>
        <v>0</v>
      </c>
      <c r="Y421" s="43">
        <f>AVERAGE(Y132:Y143)</f>
        <v>664.75</v>
      </c>
      <c r="Z421" s="43">
        <f>AVERAGE(Z132:Z143)</f>
        <v>34.166666666666664</v>
      </c>
      <c r="AA421" s="161"/>
      <c r="AB421" s="43">
        <f t="shared" ref="AB421:AG421" si="2071">AVERAGE(AB132:AB143)</f>
        <v>22.75</v>
      </c>
      <c r="AC421" s="43">
        <f t="shared" si="2071"/>
        <v>0</v>
      </c>
      <c r="AD421" s="43">
        <f t="shared" si="2071"/>
        <v>13.666666666666666</v>
      </c>
      <c r="AE421" s="43">
        <f t="shared" si="2071"/>
        <v>25.833333333333332</v>
      </c>
      <c r="AF421" s="43">
        <f t="shared" si="2071"/>
        <v>33.5</v>
      </c>
      <c r="AG421" s="43">
        <f t="shared" si="2071"/>
        <v>60.25</v>
      </c>
      <c r="AH421" s="43"/>
      <c r="AI421" s="43"/>
      <c r="AJ421" s="43">
        <f t="shared" ref="AJ421:AX421" si="2072">AVERAGE(AJ132:AJ143)</f>
        <v>14.416666666666666</v>
      </c>
      <c r="AK421" s="43">
        <f t="shared" si="2072"/>
        <v>0</v>
      </c>
      <c r="AL421" s="43">
        <f t="shared" si="2072"/>
        <v>81555.416666666672</v>
      </c>
      <c r="AM421" s="43">
        <f t="shared" si="2072"/>
        <v>3498.8333333333335</v>
      </c>
      <c r="AN421" s="43">
        <f t="shared" si="2072"/>
        <v>8114.083333333333</v>
      </c>
      <c r="AO421" s="43">
        <f t="shared" si="2072"/>
        <v>26.25</v>
      </c>
      <c r="AP421" s="43">
        <f t="shared" si="2072"/>
        <v>8.1666666666666661</v>
      </c>
      <c r="AQ421" s="43">
        <f t="shared" si="2072"/>
        <v>572.91666666666663</v>
      </c>
      <c r="AR421" s="43">
        <f t="shared" si="2072"/>
        <v>324.83333333333331</v>
      </c>
      <c r="AS421" s="43">
        <f t="shared" si="2072"/>
        <v>1762.9166666666667</v>
      </c>
      <c r="AT421" s="43" t="e">
        <f t="shared" si="2072"/>
        <v>#DIV/0!</v>
      </c>
      <c r="AU421" s="43">
        <f t="shared" si="2072"/>
        <v>1844.75</v>
      </c>
      <c r="AV421" s="43">
        <f t="shared" si="2072"/>
        <v>1625</v>
      </c>
      <c r="AW421" s="43">
        <f t="shared" si="2072"/>
        <v>2769.75</v>
      </c>
      <c r="AX421" s="43">
        <f t="shared" si="2072"/>
        <v>9240.6666666666661</v>
      </c>
      <c r="AY421" s="161"/>
      <c r="AZ421" s="161"/>
      <c r="BA421" s="161">
        <f>AVERAGE(BA132:BA143)</f>
        <v>0</v>
      </c>
      <c r="BB421" s="161"/>
      <c r="BC421" s="43">
        <f>AVERAGE(BC132:BC143)</f>
        <v>818.83333333333337</v>
      </c>
      <c r="BD421" s="43"/>
      <c r="BE421" s="43">
        <f t="shared" ref="BE421:BL421" si="2073">AVERAGE(BE132:BE143)</f>
        <v>27954.416666666668</v>
      </c>
      <c r="BF421" s="43">
        <f t="shared" si="2073"/>
        <v>67083.333333333328</v>
      </c>
      <c r="BG421" s="43">
        <f t="shared" si="2073"/>
        <v>309.5</v>
      </c>
      <c r="BH421" s="43">
        <f t="shared" si="2073"/>
        <v>965.33333333333337</v>
      </c>
      <c r="BI421" s="43">
        <f t="shared" si="2073"/>
        <v>1118.5833333333333</v>
      </c>
      <c r="BJ421" s="43">
        <f t="shared" si="2073"/>
        <v>5818.916666666667</v>
      </c>
      <c r="BK421" s="43">
        <f t="shared" si="2073"/>
        <v>55.333333333333336</v>
      </c>
      <c r="BL421" s="43">
        <f t="shared" si="2073"/>
        <v>3065.4166666666665</v>
      </c>
      <c r="BM421" s="43"/>
      <c r="BN421" s="43">
        <f t="shared" ref="BN421:BU421" si="2074">AVERAGE(BN132:BN143)</f>
        <v>522.25</v>
      </c>
      <c r="BO421" s="43">
        <f t="shared" si="2074"/>
        <v>30.583333333333332</v>
      </c>
      <c r="BP421" s="43">
        <f t="shared" si="2074"/>
        <v>0</v>
      </c>
      <c r="BQ421" s="43">
        <f t="shared" si="2074"/>
        <v>12908.75</v>
      </c>
      <c r="BR421" s="43">
        <f t="shared" si="2074"/>
        <v>15727.083333333334</v>
      </c>
      <c r="BS421" s="43">
        <f t="shared" si="2074"/>
        <v>20.416666666666668</v>
      </c>
      <c r="BT421" s="43">
        <f t="shared" si="2074"/>
        <v>466.33333333333331</v>
      </c>
      <c r="BU421" s="43">
        <f t="shared" si="2074"/>
        <v>434</v>
      </c>
      <c r="BV421" s="43"/>
      <c r="BW421" s="43">
        <f>AVERAGE(BW132:BW143)</f>
        <v>8.5</v>
      </c>
      <c r="BX421" s="43">
        <f>AVERAGE(BX132:BX143)</f>
        <v>218.5</v>
      </c>
      <c r="BY421" s="43"/>
      <c r="BZ421" s="43">
        <f t="shared" ref="BZ421:CK421" si="2075">AVERAGE(BZ132:BZ143)</f>
        <v>185.83333333333334</v>
      </c>
      <c r="CA421" s="43">
        <f t="shared" si="2075"/>
        <v>0</v>
      </c>
      <c r="CB421" s="43">
        <f t="shared" si="2075"/>
        <v>0</v>
      </c>
      <c r="CC421" s="43">
        <f t="shared" si="2075"/>
        <v>12435.833333333334</v>
      </c>
      <c r="CD421" s="43">
        <f t="shared" si="2075"/>
        <v>58090.166666666664</v>
      </c>
      <c r="CE421" s="43">
        <f t="shared" si="2075"/>
        <v>85408.5</v>
      </c>
      <c r="CF421" s="43">
        <f t="shared" si="2075"/>
        <v>14387.833333333334</v>
      </c>
      <c r="CG421" s="43">
        <f t="shared" si="2075"/>
        <v>0</v>
      </c>
      <c r="CH421" s="43">
        <f t="shared" si="2075"/>
        <v>0</v>
      </c>
      <c r="CI421" s="43">
        <f t="shared" si="2075"/>
        <v>69.083333333333329</v>
      </c>
      <c r="CJ421" s="43">
        <f t="shared" si="2075"/>
        <v>82.583333333333329</v>
      </c>
      <c r="CK421" s="43">
        <f t="shared" si="2075"/>
        <v>177.5</v>
      </c>
      <c r="CL421" s="43">
        <v>0</v>
      </c>
      <c r="CM421" s="43">
        <v>0</v>
      </c>
      <c r="CN421" s="43">
        <v>0</v>
      </c>
      <c r="CO421" s="43">
        <v>0</v>
      </c>
      <c r="CP421" s="43">
        <v>0</v>
      </c>
      <c r="CQ421" s="43">
        <v>0</v>
      </c>
      <c r="CR421" s="43"/>
      <c r="CS421" s="43"/>
      <c r="CT421" s="43" t="e">
        <f t="shared" ref="CT421:CY421" si="2076">AVERAGE(CT132:CT143)</f>
        <v>#DIV/0!</v>
      </c>
      <c r="CU421" s="43" t="e">
        <f t="shared" si="2076"/>
        <v>#DIV/0!</v>
      </c>
      <c r="CV421" s="43" t="e">
        <f t="shared" si="2076"/>
        <v>#DIV/0!</v>
      </c>
      <c r="CW421" s="43">
        <f t="shared" si="2076"/>
        <v>0</v>
      </c>
      <c r="CX421" s="43">
        <f t="shared" si="2076"/>
        <v>0</v>
      </c>
      <c r="CY421" s="43">
        <f t="shared" si="2076"/>
        <v>0</v>
      </c>
      <c r="CZ421" s="129"/>
      <c r="DA421" s="129"/>
      <c r="DB421" s="6"/>
      <c r="DD421" s="43">
        <f t="shared" si="2010"/>
        <v>307544.58333333331</v>
      </c>
      <c r="DE421" s="43">
        <f>AVERAGE(DE132:DE143)</f>
        <v>185035.75</v>
      </c>
      <c r="DF421" s="43">
        <f>AVERAGE(DF132:DF143)</f>
        <v>492580.33333333331</v>
      </c>
      <c r="DK421" s="43">
        <f t="shared" ref="DK421:DP421" si="2077">AVERAGE(DK132:DK143)</f>
        <v>58370.583333333336</v>
      </c>
      <c r="DL421" s="43">
        <f t="shared" si="2077"/>
        <v>94710.833333333328</v>
      </c>
      <c r="DM421" s="43">
        <f t="shared" si="2077"/>
        <v>13633.416666666666</v>
      </c>
      <c r="DN421" s="43">
        <f t="shared" si="2077"/>
        <v>18320.916666666668</v>
      </c>
      <c r="DO421" s="43">
        <f t="shared" si="2077"/>
        <v>242810.25</v>
      </c>
      <c r="DP421" s="43">
        <f t="shared" si="2077"/>
        <v>42817.083333333336</v>
      </c>
      <c r="DQ421" s="43"/>
      <c r="DR421" s="43">
        <f>AVERAGE(DR132:DR143)</f>
        <v>12504.916666666666</v>
      </c>
      <c r="DS421" s="43">
        <f>AVERAGE(DS132:DS143)</f>
        <v>0</v>
      </c>
      <c r="DT421" s="43">
        <f>AVERAGE(DT132:DT143)</f>
        <v>9412.3333333333339</v>
      </c>
      <c r="DU421" s="43"/>
      <c r="DV421" s="43"/>
      <c r="DW421" s="43">
        <f>AVERAGE(DW132:DW143)</f>
        <v>492580.33333333331</v>
      </c>
      <c r="DZ421" s="43">
        <f>AVERAGE(DZ132:DZ143)</f>
        <v>3007.8333333333335</v>
      </c>
      <c r="EB421" s="43">
        <f>AVERAGE(EB132:EB143)</f>
        <v>495588.16666666669</v>
      </c>
      <c r="EC421" s="43">
        <f t="shared" si="2012"/>
        <v>185035.75</v>
      </c>
      <c r="ED421" s="43">
        <f t="shared" si="2013"/>
        <v>310552.41666666669</v>
      </c>
      <c r="EI421" s="37"/>
      <c r="EJ421" s="6"/>
      <c r="EK421" s="6"/>
    </row>
    <row r="422" spans="2:141">
      <c r="B422" s="44" t="s">
        <v>137</v>
      </c>
      <c r="C422" s="46"/>
      <c r="D422" s="46"/>
      <c r="E422" s="46"/>
      <c r="F422" s="47"/>
      <c r="G422" s="47"/>
      <c r="H422" s="43">
        <f>AVERAGE(H144:H155)</f>
        <v>0</v>
      </c>
      <c r="I422" s="43">
        <f>AVERAGE(I144:I155)</f>
        <v>0</v>
      </c>
      <c r="J422" s="43">
        <f>AVERAGE(J144:J155)</f>
        <v>0</v>
      </c>
      <c r="K422" s="43">
        <f>AVERAGE(K144:K155)</f>
        <v>18127.75</v>
      </c>
      <c r="L422" s="43"/>
      <c r="M422" s="43">
        <f t="shared" ref="M422:T422" si="2078">AVERAGE(M144:M155)</f>
        <v>32386.083333333332</v>
      </c>
      <c r="N422" s="43">
        <f t="shared" si="2078"/>
        <v>3202.5833333333335</v>
      </c>
      <c r="O422" s="43" t="e">
        <f t="shared" si="2078"/>
        <v>#DIV/0!</v>
      </c>
      <c r="P422" s="43">
        <f t="shared" si="2078"/>
        <v>2786.9166666666665</v>
      </c>
      <c r="Q422" s="43">
        <f t="shared" si="2078"/>
        <v>7045.833333333333</v>
      </c>
      <c r="R422" s="43">
        <f t="shared" si="2078"/>
        <v>969.83333333333337</v>
      </c>
      <c r="S422" s="43">
        <f t="shared" si="2078"/>
        <v>9748.25</v>
      </c>
      <c r="T422" s="43">
        <f t="shared" si="2078"/>
        <v>13921.833333333334</v>
      </c>
      <c r="U422" s="43"/>
      <c r="V422" s="43"/>
      <c r="W422" s="43">
        <f>AVERAGE(W144:W155)</f>
        <v>1448</v>
      </c>
      <c r="X422" s="43">
        <f>AVERAGE(X144:X155)</f>
        <v>0</v>
      </c>
      <c r="Y422" s="43">
        <f>AVERAGE(Y144:Y155)</f>
        <v>623.33333333333337</v>
      </c>
      <c r="Z422" s="43">
        <f>AVERAGE(Z144:Z155)</f>
        <v>33.083333333333336</v>
      </c>
      <c r="AA422" s="161"/>
      <c r="AB422" s="43">
        <f t="shared" ref="AB422:AG422" si="2079">AVERAGE(AB144:AB155)</f>
        <v>16.666666666666668</v>
      </c>
      <c r="AC422" s="43">
        <f t="shared" si="2079"/>
        <v>0</v>
      </c>
      <c r="AD422" s="43">
        <f t="shared" si="2079"/>
        <v>13.916666666666666</v>
      </c>
      <c r="AE422" s="43">
        <f t="shared" si="2079"/>
        <v>23.75</v>
      </c>
      <c r="AF422" s="43">
        <f t="shared" si="2079"/>
        <v>34.083333333333336</v>
      </c>
      <c r="AG422" s="43">
        <f t="shared" si="2079"/>
        <v>60.916666666666664</v>
      </c>
      <c r="AH422" s="43"/>
      <c r="AI422" s="43"/>
      <c r="AJ422" s="43">
        <f t="shared" ref="AJ422:AX422" si="2080">AVERAGE(AJ144:AJ155)</f>
        <v>11.25</v>
      </c>
      <c r="AK422" s="43">
        <f t="shared" si="2080"/>
        <v>0</v>
      </c>
      <c r="AL422" s="43">
        <f t="shared" si="2080"/>
        <v>82414.583333333328</v>
      </c>
      <c r="AM422" s="43">
        <f t="shared" si="2080"/>
        <v>3497.6666666666665</v>
      </c>
      <c r="AN422" s="43">
        <f t="shared" si="2080"/>
        <v>8808.75</v>
      </c>
      <c r="AO422" s="43">
        <f t="shared" si="2080"/>
        <v>26.75</v>
      </c>
      <c r="AP422" s="43">
        <f t="shared" si="2080"/>
        <v>11.166666666666666</v>
      </c>
      <c r="AQ422" s="43">
        <f t="shared" si="2080"/>
        <v>1307.9166666666667</v>
      </c>
      <c r="AR422" s="43">
        <f t="shared" si="2080"/>
        <v>680.33333333333337</v>
      </c>
      <c r="AS422" s="43">
        <f t="shared" si="2080"/>
        <v>1713.0833333333333</v>
      </c>
      <c r="AT422" s="43" t="e">
        <f t="shared" si="2080"/>
        <v>#DIV/0!</v>
      </c>
      <c r="AU422" s="43">
        <f t="shared" si="2080"/>
        <v>2041</v>
      </c>
      <c r="AV422" s="43">
        <f t="shared" si="2080"/>
        <v>1717.3333333333333</v>
      </c>
      <c r="AW422" s="43">
        <f t="shared" si="2080"/>
        <v>3003.9166666666665</v>
      </c>
      <c r="AX422" s="43">
        <f t="shared" si="2080"/>
        <v>9788.75</v>
      </c>
      <c r="AY422" s="161"/>
      <c r="AZ422" s="161"/>
      <c r="BA422" s="161">
        <f>AVERAGE(BA144:BA155)</f>
        <v>0</v>
      </c>
      <c r="BB422" s="161"/>
      <c r="BC422" s="43">
        <f>AVERAGE(BC144:BC155)</f>
        <v>750</v>
      </c>
      <c r="BD422" s="43"/>
      <c r="BE422" s="43">
        <f t="shared" ref="BE422:BL422" si="2081">AVERAGE(BE144:BE155)</f>
        <v>23219.166666666668</v>
      </c>
      <c r="BF422" s="43">
        <f t="shared" si="2081"/>
        <v>57126.666666666664</v>
      </c>
      <c r="BG422" s="43">
        <f t="shared" si="2081"/>
        <v>364.25</v>
      </c>
      <c r="BH422" s="43">
        <f t="shared" si="2081"/>
        <v>881.16666666666663</v>
      </c>
      <c r="BI422" s="43">
        <f t="shared" si="2081"/>
        <v>964.58333333333337</v>
      </c>
      <c r="BJ422" s="43">
        <f t="shared" si="2081"/>
        <v>6056.666666666667</v>
      </c>
      <c r="BK422" s="43">
        <f t="shared" si="2081"/>
        <v>41.833333333333336</v>
      </c>
      <c r="BL422" s="43">
        <f t="shared" si="2081"/>
        <v>3215.9166666666665</v>
      </c>
      <c r="BM422" s="43"/>
      <c r="BN422" s="43">
        <f t="shared" ref="BN422:BU422" si="2082">AVERAGE(BN144:BN155)</f>
        <v>659.66666666666663</v>
      </c>
      <c r="BO422" s="43">
        <f t="shared" si="2082"/>
        <v>26.166666666666668</v>
      </c>
      <c r="BP422" s="43">
        <f t="shared" si="2082"/>
        <v>0</v>
      </c>
      <c r="BQ422" s="43">
        <f t="shared" si="2082"/>
        <v>14165.75</v>
      </c>
      <c r="BR422" s="43">
        <f t="shared" si="2082"/>
        <v>17079.833333333332</v>
      </c>
      <c r="BS422" s="43">
        <f t="shared" si="2082"/>
        <v>23.25</v>
      </c>
      <c r="BT422" s="43">
        <f t="shared" si="2082"/>
        <v>495</v>
      </c>
      <c r="BU422" s="43">
        <f t="shared" si="2082"/>
        <v>428.66666666666669</v>
      </c>
      <c r="BV422" s="43"/>
      <c r="BW422" s="43">
        <f>AVERAGE(BW144:BW155)</f>
        <v>10.166666666666666</v>
      </c>
      <c r="BX422" s="43">
        <f>AVERAGE(BX144:BX155)</f>
        <v>202.5</v>
      </c>
      <c r="BY422" s="43"/>
      <c r="BZ422" s="43">
        <f t="shared" ref="BZ422:CK422" si="2083">AVERAGE(BZ144:BZ155)</f>
        <v>110.41666666666667</v>
      </c>
      <c r="CA422" s="43">
        <f t="shared" si="2083"/>
        <v>0</v>
      </c>
      <c r="CB422" s="43">
        <f t="shared" si="2083"/>
        <v>2350.3333333333335</v>
      </c>
      <c r="CC422" s="43">
        <f t="shared" si="2083"/>
        <v>12349.416666666666</v>
      </c>
      <c r="CD422" s="43">
        <f t="shared" si="2083"/>
        <v>56911.833333333336</v>
      </c>
      <c r="CE422" s="43">
        <f t="shared" si="2083"/>
        <v>88778.916666666672</v>
      </c>
      <c r="CF422" s="43">
        <f t="shared" si="2083"/>
        <v>14242.916666666666</v>
      </c>
      <c r="CG422" s="43">
        <f t="shared" si="2083"/>
        <v>0</v>
      </c>
      <c r="CH422" s="43">
        <f t="shared" si="2083"/>
        <v>0</v>
      </c>
      <c r="CI422" s="43">
        <f t="shared" si="2083"/>
        <v>48.833333333333336</v>
      </c>
      <c r="CJ422" s="43">
        <f t="shared" si="2083"/>
        <v>60.083333333333336</v>
      </c>
      <c r="CK422" s="43">
        <f t="shared" si="2083"/>
        <v>89.333333333333329</v>
      </c>
      <c r="CL422" s="43">
        <v>0</v>
      </c>
      <c r="CM422" s="43">
        <v>0</v>
      </c>
      <c r="CN422" s="43">
        <v>0</v>
      </c>
      <c r="CO422" s="43">
        <v>0</v>
      </c>
      <c r="CP422" s="43">
        <v>0</v>
      </c>
      <c r="CQ422" s="43">
        <v>0</v>
      </c>
      <c r="CR422" s="43"/>
      <c r="CS422" s="43"/>
      <c r="CT422" s="43" t="e">
        <f t="shared" ref="CT422:CY422" si="2084">AVERAGE(CT144:CT155)</f>
        <v>#DIV/0!</v>
      </c>
      <c r="CU422" s="43" t="e">
        <f t="shared" si="2084"/>
        <v>#DIV/0!</v>
      </c>
      <c r="CV422" s="43" t="e">
        <f t="shared" si="2084"/>
        <v>#DIV/0!</v>
      </c>
      <c r="CW422" s="43">
        <f t="shared" si="2084"/>
        <v>0</v>
      </c>
      <c r="CX422" s="43">
        <f t="shared" si="2084"/>
        <v>0</v>
      </c>
      <c r="CY422" s="43">
        <f t="shared" si="2084"/>
        <v>0</v>
      </c>
      <c r="DB422" s="6"/>
      <c r="DC422" s="6"/>
      <c r="DD422" s="43">
        <f>DF422-DE422</f>
        <v>299903.33333333337</v>
      </c>
      <c r="DE422" s="43">
        <f>AVERAGE(DE144:DE155)</f>
        <v>188087.58333333334</v>
      </c>
      <c r="DF422" s="43">
        <f>AVERAGE(DF144:DF155)</f>
        <v>487990.91666666669</v>
      </c>
      <c r="DK422" s="43">
        <f t="shared" ref="DK422:DP422" si="2085">AVERAGE(DK144:DK155)</f>
        <v>57587.5</v>
      </c>
      <c r="DL422" s="43">
        <f t="shared" si="2085"/>
        <v>95920.416666666672</v>
      </c>
      <c r="DM422" s="43">
        <f t="shared" si="2085"/>
        <v>13921.833333333334</v>
      </c>
      <c r="DN422" s="43">
        <f t="shared" si="2085"/>
        <v>20657.833333333332</v>
      </c>
      <c r="DO422" s="43">
        <f t="shared" si="2085"/>
        <v>238245</v>
      </c>
      <c r="DP422" s="43">
        <f t="shared" si="2085"/>
        <v>39420.75</v>
      </c>
      <c r="DQ422" s="43"/>
      <c r="DR422" s="43">
        <f>AVERAGE(DR144:DR155)</f>
        <v>12398.25</v>
      </c>
      <c r="DS422" s="43">
        <f>AVERAGE(DS144:DS155)</f>
        <v>0</v>
      </c>
      <c r="DT422" s="43">
        <f>AVERAGE(DT144:DT155)</f>
        <v>9839.3333333333339</v>
      </c>
      <c r="DU422" s="43"/>
      <c r="DV422" s="43"/>
      <c r="DW422" s="43">
        <f>AVERAGE(DW144:DW155)</f>
        <v>487990.91666666669</v>
      </c>
      <c r="DY422" s="43">
        <f>AVERAGE(DY144:DY155)</f>
        <v>266212.08333333331</v>
      </c>
      <c r="DZ422" s="43">
        <f>AVERAGE(DZ144:DZ155)</f>
        <v>18127.75</v>
      </c>
      <c r="EB422" s="43">
        <f>AVERAGE(EB144:EB155)</f>
        <v>506118.66666666669</v>
      </c>
      <c r="EC422" s="43">
        <f t="shared" si="2012"/>
        <v>188087.58333333334</v>
      </c>
      <c r="ED422" s="43">
        <f t="shared" si="2013"/>
        <v>318031.08333333337</v>
      </c>
      <c r="EJ422" s="6"/>
      <c r="EK422" s="6"/>
    </row>
    <row r="423" spans="2:141">
      <c r="B423" s="44" t="s">
        <v>138</v>
      </c>
      <c r="C423" s="46"/>
      <c r="D423" s="46"/>
      <c r="E423" s="46"/>
      <c r="F423" s="47"/>
      <c r="G423" s="47"/>
      <c r="H423" s="43">
        <f>AVERAGE(H156:H167)</f>
        <v>3231.6666666666665</v>
      </c>
      <c r="I423" s="43">
        <f>AVERAGE(I156:I167)</f>
        <v>6465.166666666667</v>
      </c>
      <c r="J423" s="43">
        <f>AVERAGE(J156:J167)</f>
        <v>2698.6666666666665</v>
      </c>
      <c r="K423" s="43">
        <f>AVERAGE(K156:K167)</f>
        <v>16155</v>
      </c>
      <c r="L423" s="43"/>
      <c r="M423" s="43">
        <f t="shared" ref="M423:T423" si="2086">AVERAGE(M156:M167)</f>
        <v>32101.333333333332</v>
      </c>
      <c r="N423" s="43">
        <f t="shared" si="2086"/>
        <v>3145.6666666666665</v>
      </c>
      <c r="O423" s="43" t="e">
        <f t="shared" si="2086"/>
        <v>#DIV/0!</v>
      </c>
      <c r="P423" s="43">
        <f t="shared" si="2086"/>
        <v>2442.0833333333335</v>
      </c>
      <c r="Q423" s="43">
        <f t="shared" si="2086"/>
        <v>7640.75</v>
      </c>
      <c r="R423" s="43">
        <f t="shared" si="2086"/>
        <v>863</v>
      </c>
      <c r="S423" s="43">
        <f t="shared" si="2086"/>
        <v>9707.8333333333339</v>
      </c>
      <c r="T423" s="43">
        <f t="shared" si="2086"/>
        <v>13921</v>
      </c>
      <c r="U423" s="43"/>
      <c r="V423" s="43"/>
      <c r="W423" s="43">
        <f>AVERAGE(W156:W167)</f>
        <v>1038.5833333333333</v>
      </c>
      <c r="X423" s="43">
        <f>AVERAGE(X156:X167)</f>
        <v>0</v>
      </c>
      <c r="Y423" s="43">
        <f>AVERAGE(Y156:Y167)</f>
        <v>567.91666666666663</v>
      </c>
      <c r="Z423" s="43">
        <f>AVERAGE(Z156:Z167)</f>
        <v>29.333333333333332</v>
      </c>
      <c r="AA423" s="161"/>
      <c r="AB423" s="43">
        <f t="shared" ref="AB423:AG423" si="2087">AVERAGE(AB156:AB167)</f>
        <v>13.833333333333334</v>
      </c>
      <c r="AC423" s="43">
        <f t="shared" si="2087"/>
        <v>0</v>
      </c>
      <c r="AD423" s="43">
        <f t="shared" si="2087"/>
        <v>13</v>
      </c>
      <c r="AE423" s="43">
        <f t="shared" si="2087"/>
        <v>23.666666666666668</v>
      </c>
      <c r="AF423" s="43">
        <f t="shared" si="2087"/>
        <v>35.416666666666664</v>
      </c>
      <c r="AG423" s="43">
        <f t="shared" si="2087"/>
        <v>59.083333333333336</v>
      </c>
      <c r="AH423" s="43"/>
      <c r="AI423" s="43"/>
      <c r="AJ423" s="43">
        <f t="shared" ref="AJ423:AX423" si="2088">AVERAGE(AJ156:AJ167)</f>
        <v>7.75</v>
      </c>
      <c r="AK423" s="43">
        <f t="shared" si="2088"/>
        <v>0</v>
      </c>
      <c r="AL423" s="43">
        <f t="shared" si="2088"/>
        <v>82284.083333333328</v>
      </c>
      <c r="AM423" s="43">
        <f t="shared" si="2088"/>
        <v>3548.5</v>
      </c>
      <c r="AN423" s="43">
        <f t="shared" si="2088"/>
        <v>9479.75</v>
      </c>
      <c r="AO423" s="43">
        <f t="shared" si="2088"/>
        <v>29.166666666666668</v>
      </c>
      <c r="AP423" s="43">
        <f t="shared" si="2088"/>
        <v>15.083333333333334</v>
      </c>
      <c r="AQ423" s="43">
        <f t="shared" si="2088"/>
        <v>1676.4166666666667</v>
      </c>
      <c r="AR423" s="43">
        <f t="shared" si="2088"/>
        <v>775.08333333333337</v>
      </c>
      <c r="AS423" s="43">
        <f t="shared" si="2088"/>
        <v>1569.25</v>
      </c>
      <c r="AT423" s="43" t="e">
        <f t="shared" si="2088"/>
        <v>#DIV/0!</v>
      </c>
      <c r="AU423" s="43">
        <f t="shared" si="2088"/>
        <v>2331.8333333333335</v>
      </c>
      <c r="AV423" s="43">
        <f t="shared" si="2088"/>
        <v>1830.25</v>
      </c>
      <c r="AW423" s="43">
        <f t="shared" si="2088"/>
        <v>3225.1666666666665</v>
      </c>
      <c r="AX423" s="43">
        <f t="shared" si="2088"/>
        <v>10056.75</v>
      </c>
      <c r="AY423" s="161"/>
      <c r="AZ423" s="161"/>
      <c r="BA423" s="161">
        <f>AVERAGE(BA156:BA167)</f>
        <v>0</v>
      </c>
      <c r="BB423" s="161"/>
      <c r="BC423" s="43">
        <f>AVERAGE(BC156:BC167)</f>
        <v>658</v>
      </c>
      <c r="BD423" s="43"/>
      <c r="BE423" s="43">
        <f t="shared" ref="BE423:BL423" si="2089">AVERAGE(BE156:BE167)</f>
        <v>7842.166666666667</v>
      </c>
      <c r="BF423" s="43">
        <f t="shared" si="2089"/>
        <v>20661.666666666668</v>
      </c>
      <c r="BG423" s="43">
        <f t="shared" si="2089"/>
        <v>417.33333333333331</v>
      </c>
      <c r="BH423" s="43">
        <f t="shared" si="2089"/>
        <v>254</v>
      </c>
      <c r="BI423" s="43">
        <f t="shared" si="2089"/>
        <v>280.58333333333331</v>
      </c>
      <c r="BJ423" s="43">
        <f t="shared" si="2089"/>
        <v>6272.333333333333</v>
      </c>
      <c r="BK423" s="43">
        <f t="shared" si="2089"/>
        <v>40.333333333333336</v>
      </c>
      <c r="BL423" s="43">
        <f t="shared" si="2089"/>
        <v>3430.75</v>
      </c>
      <c r="BM423" s="43"/>
      <c r="BN423" s="43">
        <f t="shared" ref="BN423:BU423" si="2090">AVERAGE(BN156:BN167)</f>
        <v>701.33333333333337</v>
      </c>
      <c r="BO423" s="43">
        <f t="shared" si="2090"/>
        <v>42.166666666666664</v>
      </c>
      <c r="BP423" s="43">
        <f t="shared" si="2090"/>
        <v>0</v>
      </c>
      <c r="BQ423" s="43">
        <f t="shared" si="2090"/>
        <v>24812.75</v>
      </c>
      <c r="BR423" s="43">
        <f t="shared" si="2090"/>
        <v>17399.75</v>
      </c>
      <c r="BS423" s="43">
        <f t="shared" si="2090"/>
        <v>33.833333333333336</v>
      </c>
      <c r="BT423" s="43">
        <f t="shared" si="2090"/>
        <v>1092.8333333333333</v>
      </c>
      <c r="BU423" s="43">
        <f t="shared" si="2090"/>
        <v>506.33333333333331</v>
      </c>
      <c r="BV423" s="43"/>
      <c r="BW423" s="43">
        <f>AVERAGE(BW156:BW167)</f>
        <v>8.3333333333333339</v>
      </c>
      <c r="BX423" s="43">
        <f>AVERAGE(BX156:BX167)</f>
        <v>176.08333333333334</v>
      </c>
      <c r="BY423" s="43"/>
      <c r="BZ423" s="43">
        <f t="shared" ref="BZ423:CK423" si="2091">AVERAGE(BZ156:BZ167)</f>
        <v>87</v>
      </c>
      <c r="CA423" s="43">
        <f t="shared" si="2091"/>
        <v>0</v>
      </c>
      <c r="CB423" s="43">
        <f t="shared" si="2091"/>
        <v>4594.75</v>
      </c>
      <c r="CC423" s="43">
        <f t="shared" si="2091"/>
        <v>12487.083333333334</v>
      </c>
      <c r="CD423" s="43">
        <f t="shared" si="2091"/>
        <v>64947.583333333336</v>
      </c>
      <c r="CE423" s="43">
        <f t="shared" si="2091"/>
        <v>107303.66666666667</v>
      </c>
      <c r="CF423" s="43">
        <f t="shared" si="2091"/>
        <v>15178.916666666666</v>
      </c>
      <c r="CG423" s="43">
        <f t="shared" si="2091"/>
        <v>0</v>
      </c>
      <c r="CH423" s="43">
        <f t="shared" si="2091"/>
        <v>0</v>
      </c>
      <c r="CI423" s="43">
        <f t="shared" si="2091"/>
        <v>19.333333333333332</v>
      </c>
      <c r="CJ423" s="43">
        <f t="shared" si="2091"/>
        <v>47.666666666666664</v>
      </c>
      <c r="CK423" s="43">
        <f t="shared" si="2091"/>
        <v>93.833333333333329</v>
      </c>
      <c r="CL423" s="43">
        <v>0</v>
      </c>
      <c r="CM423" s="43">
        <v>0</v>
      </c>
      <c r="CN423" s="43">
        <v>0</v>
      </c>
      <c r="CO423" s="43">
        <v>0</v>
      </c>
      <c r="CP423" s="43">
        <v>0</v>
      </c>
      <c r="CQ423" s="43">
        <v>0</v>
      </c>
      <c r="CR423" s="43"/>
      <c r="CS423" s="43"/>
      <c r="CT423" s="43" t="e">
        <f t="shared" ref="CT423:CY423" si="2092">AVERAGE(CT156:CT167)</f>
        <v>#DIV/0!</v>
      </c>
      <c r="CU423" s="43" t="e">
        <f t="shared" si="2092"/>
        <v>#DIV/0!</v>
      </c>
      <c r="CV423" s="43" t="e">
        <f t="shared" si="2092"/>
        <v>#DIV/0!</v>
      </c>
      <c r="CW423" s="43">
        <f t="shared" si="2092"/>
        <v>0</v>
      </c>
      <c r="CX423" s="43">
        <f t="shared" si="2092"/>
        <v>0</v>
      </c>
      <c r="CY423" s="43">
        <f t="shared" si="2092"/>
        <v>0</v>
      </c>
      <c r="DB423" s="6"/>
      <c r="DC423" s="6"/>
      <c r="DD423" s="43">
        <f t="shared" ref="DD423:DD433" si="2093">DF423-DE423</f>
        <v>288732.41666666663</v>
      </c>
      <c r="DE423" s="43">
        <f>AVERAGE(DE156:DE167)</f>
        <v>189089.58333333334</v>
      </c>
      <c r="DF423" s="43">
        <f>AVERAGE(DF156:DF167)</f>
        <v>477822</v>
      </c>
      <c r="DK423" s="43">
        <f t="shared" ref="DK423:DP423" si="2094">AVERAGE(DK156:DK167)</f>
        <v>56939.25</v>
      </c>
      <c r="DL423" s="43">
        <f t="shared" si="2094"/>
        <v>96167.166666666672</v>
      </c>
      <c r="DM423" s="43">
        <f t="shared" si="2094"/>
        <v>13921</v>
      </c>
      <c r="DN423" s="43">
        <f t="shared" si="2094"/>
        <v>22062.166666666668</v>
      </c>
      <c r="DO423" s="43">
        <f t="shared" si="2094"/>
        <v>231226.41666666666</v>
      </c>
      <c r="DP423" s="43">
        <f t="shared" si="2094"/>
        <v>34703.083333333336</v>
      </c>
      <c r="DQ423" s="43"/>
      <c r="DR423" s="43">
        <f>AVERAGE(DR156:DR167)</f>
        <v>12506.416666666666</v>
      </c>
      <c r="DS423" s="43">
        <f>AVERAGE(DS156:DS167)</f>
        <v>0</v>
      </c>
      <c r="DT423" s="43">
        <f>AVERAGE(DT156:DT167)</f>
        <v>10296.5</v>
      </c>
      <c r="DU423" s="43"/>
      <c r="DV423" s="43"/>
      <c r="DW423" s="43">
        <f>AVERAGE(DW156:DW167)</f>
        <v>477822</v>
      </c>
      <c r="DY423" s="43">
        <f>AVERAGE(DY156:DY167)</f>
        <v>270073.41666666669</v>
      </c>
      <c r="DZ423" s="43">
        <f>AVERAGE(DZ156:DZ167)</f>
        <v>28550.5</v>
      </c>
      <c r="EB423" s="43">
        <f>AVERAGE(EB156:EB167)</f>
        <v>506372.5</v>
      </c>
      <c r="EC423" s="43">
        <f t="shared" ref="EC423:EC432" si="2095">DE423</f>
        <v>189089.58333333334</v>
      </c>
      <c r="ED423" s="43">
        <f t="shared" ref="ED423:ED432" si="2096">EB423-EC423</f>
        <v>317282.91666666663</v>
      </c>
      <c r="EJ423" s="6"/>
      <c r="EK423" s="6"/>
    </row>
    <row r="424" spans="2:141">
      <c r="B424" s="44" t="s">
        <v>129</v>
      </c>
      <c r="C424" s="46"/>
      <c r="D424" s="46"/>
      <c r="E424" s="46"/>
      <c r="F424" s="47"/>
      <c r="G424" s="47"/>
      <c r="H424" s="43">
        <f>AVERAGE(H168:H179)</f>
        <v>4467.666666666667</v>
      </c>
      <c r="I424" s="43">
        <f>AVERAGE(I168:I179)</f>
        <v>9297.5833333333339</v>
      </c>
      <c r="J424" s="43">
        <f>AVERAGE(J168:J179)</f>
        <v>3296.0833333333335</v>
      </c>
      <c r="K424" s="43">
        <f>AVERAGE(K168:K179)</f>
        <v>19945.166666666668</v>
      </c>
      <c r="L424" s="43"/>
      <c r="M424" s="43">
        <f t="shared" ref="M424:T424" si="2097">AVERAGE(M168:M179)</f>
        <v>31815.666666666668</v>
      </c>
      <c r="N424" s="43">
        <f t="shared" si="2097"/>
        <v>3048.4166666666665</v>
      </c>
      <c r="O424" s="43" t="e">
        <f t="shared" si="2097"/>
        <v>#DIV/0!</v>
      </c>
      <c r="P424" s="43">
        <f t="shared" si="2097"/>
        <v>2221.5833333333335</v>
      </c>
      <c r="Q424" s="43">
        <f t="shared" si="2097"/>
        <v>8053.916666666667</v>
      </c>
      <c r="R424" s="43">
        <f t="shared" si="2097"/>
        <v>742.25</v>
      </c>
      <c r="S424" s="43">
        <f t="shared" si="2097"/>
        <v>8973.75</v>
      </c>
      <c r="T424" s="43">
        <f t="shared" si="2097"/>
        <v>11458.333333333334</v>
      </c>
      <c r="U424" s="43"/>
      <c r="V424" s="43"/>
      <c r="W424" s="43">
        <f>AVERAGE(W168:W179)</f>
        <v>683.08333333333337</v>
      </c>
      <c r="X424" s="43">
        <f>AVERAGE(X168:X179)</f>
        <v>3353.25</v>
      </c>
      <c r="Y424" s="43">
        <f>AVERAGE(Y168:Y179)</f>
        <v>530</v>
      </c>
      <c r="Z424" s="43">
        <f>AVERAGE(Z168:Z179)</f>
        <v>26.75</v>
      </c>
      <c r="AA424" s="161"/>
      <c r="AB424" s="43">
        <f t="shared" ref="AB424:AG424" si="2098">AVERAGE(AB168:AB179)</f>
        <v>8.5833333333333339</v>
      </c>
      <c r="AC424" s="43">
        <f t="shared" si="2098"/>
        <v>23.666666666666668</v>
      </c>
      <c r="AD424" s="43">
        <f t="shared" si="2098"/>
        <v>17.333333333333332</v>
      </c>
      <c r="AE424" s="43">
        <f t="shared" si="2098"/>
        <v>29.333333333333332</v>
      </c>
      <c r="AF424" s="43">
        <f t="shared" si="2098"/>
        <v>30.083333333333332</v>
      </c>
      <c r="AG424" s="43">
        <f t="shared" si="2098"/>
        <v>49.916666666666664</v>
      </c>
      <c r="AH424" s="43"/>
      <c r="AI424" s="43"/>
      <c r="AJ424" s="43">
        <f t="shared" ref="AJ424:AX424" si="2099">AVERAGE(AJ168:AJ179)</f>
        <v>5.583333333333333</v>
      </c>
      <c r="AK424" s="43">
        <f t="shared" si="2099"/>
        <v>2727.75</v>
      </c>
      <c r="AL424" s="43">
        <f t="shared" si="2099"/>
        <v>83313.25</v>
      </c>
      <c r="AM424" s="43">
        <f t="shared" si="2099"/>
        <v>3479.4166666666665</v>
      </c>
      <c r="AN424" s="43">
        <f t="shared" si="2099"/>
        <v>10117.166666666666</v>
      </c>
      <c r="AO424" s="43">
        <f t="shared" si="2099"/>
        <v>30.083333333333332</v>
      </c>
      <c r="AP424" s="43">
        <f t="shared" si="2099"/>
        <v>12.583333333333334</v>
      </c>
      <c r="AQ424" s="43">
        <f t="shared" si="2099"/>
        <v>2066.4166666666665</v>
      </c>
      <c r="AR424" s="43">
        <f t="shared" si="2099"/>
        <v>974</v>
      </c>
      <c r="AS424" s="43">
        <f t="shared" si="2099"/>
        <v>1368.4166666666667</v>
      </c>
      <c r="AT424" s="43" t="e">
        <f t="shared" si="2099"/>
        <v>#DIV/0!</v>
      </c>
      <c r="AU424" s="43">
        <f t="shared" si="2099"/>
        <v>2602.5833333333335</v>
      </c>
      <c r="AV424" s="43">
        <f t="shared" si="2099"/>
        <v>1969.4166666666667</v>
      </c>
      <c r="AW424" s="43">
        <f t="shared" si="2099"/>
        <v>3125.4166666666665</v>
      </c>
      <c r="AX424" s="43">
        <f t="shared" si="2099"/>
        <v>8601.5</v>
      </c>
      <c r="AY424" s="161"/>
      <c r="AZ424" s="161"/>
      <c r="BA424" s="161">
        <f>AVERAGE(BA168:BA179)</f>
        <v>40.25</v>
      </c>
      <c r="BB424" s="161"/>
      <c r="BC424" s="43">
        <f>AVERAGE(BC168:BC179)</f>
        <v>510.33333333333331</v>
      </c>
      <c r="BD424" s="43"/>
      <c r="BE424" s="43">
        <f t="shared" ref="BE424:BL424" si="2100">AVERAGE(BE168:BE179)</f>
        <v>773.5</v>
      </c>
      <c r="BF424" s="43">
        <f t="shared" si="2100"/>
        <v>2267.9166666666665</v>
      </c>
      <c r="BG424" s="43">
        <f t="shared" si="2100"/>
        <v>473.08333333333331</v>
      </c>
      <c r="BH424" s="43">
        <f t="shared" si="2100"/>
        <v>17.416666666666668</v>
      </c>
      <c r="BI424" s="43">
        <f t="shared" si="2100"/>
        <v>23.916666666666668</v>
      </c>
      <c r="BJ424" s="43">
        <f t="shared" si="2100"/>
        <v>6540.833333333333</v>
      </c>
      <c r="BK424" s="43">
        <f t="shared" si="2100"/>
        <v>35.416666666666664</v>
      </c>
      <c r="BL424" s="43">
        <f t="shared" si="2100"/>
        <v>3593.5</v>
      </c>
      <c r="BM424" s="43"/>
      <c r="BN424" s="43">
        <f t="shared" ref="BN424:BU424" si="2101">AVERAGE(BN168:BN179)</f>
        <v>518.58333333333337</v>
      </c>
      <c r="BO424" s="43">
        <f t="shared" si="2101"/>
        <v>62.083333333333336</v>
      </c>
      <c r="BP424" s="43">
        <f t="shared" si="2101"/>
        <v>0</v>
      </c>
      <c r="BQ424" s="43">
        <f t="shared" si="2101"/>
        <v>32487.666666666668</v>
      </c>
      <c r="BR424" s="43">
        <f t="shared" si="2101"/>
        <v>12000</v>
      </c>
      <c r="BS424" s="43">
        <f t="shared" si="2101"/>
        <v>59.416666666666664</v>
      </c>
      <c r="BT424" s="43">
        <f t="shared" si="2101"/>
        <v>1562</v>
      </c>
      <c r="BU424" s="43">
        <f t="shared" si="2101"/>
        <v>346.5</v>
      </c>
      <c r="BV424" s="43"/>
      <c r="BW424" s="43">
        <f>AVERAGE(BW168:BW179)</f>
        <v>6.416666666666667</v>
      </c>
      <c r="BX424" s="43">
        <f>AVERAGE(BX168:BX179)</f>
        <v>129.41666666666666</v>
      </c>
      <c r="BY424" s="43"/>
      <c r="BZ424" s="43">
        <f t="shared" ref="BZ424:CK424" si="2102">AVERAGE(BZ168:BZ179)</f>
        <v>77.75</v>
      </c>
      <c r="CA424" s="43">
        <f t="shared" si="2102"/>
        <v>0.41666666666666669</v>
      </c>
      <c r="CB424" s="43">
        <f t="shared" si="2102"/>
        <v>4648.166666666667</v>
      </c>
      <c r="CC424" s="43">
        <f t="shared" si="2102"/>
        <v>13299.333333333334</v>
      </c>
      <c r="CD424" s="43">
        <f t="shared" si="2102"/>
        <v>77152</v>
      </c>
      <c r="CE424" s="43">
        <f t="shared" si="2102"/>
        <v>126934.25</v>
      </c>
      <c r="CF424" s="43">
        <f t="shared" si="2102"/>
        <v>16032.75</v>
      </c>
      <c r="CG424" s="43">
        <f t="shared" si="2102"/>
        <v>0</v>
      </c>
      <c r="CH424" s="43">
        <f t="shared" si="2102"/>
        <v>0</v>
      </c>
      <c r="CI424" s="43">
        <f t="shared" si="2102"/>
        <v>19.416666666666668</v>
      </c>
      <c r="CJ424" s="43">
        <f t="shared" si="2102"/>
        <v>34.75</v>
      </c>
      <c r="CK424" s="43">
        <f t="shared" si="2102"/>
        <v>109.33333333333333</v>
      </c>
      <c r="CL424" s="43">
        <v>0</v>
      </c>
      <c r="CM424" s="43">
        <v>0</v>
      </c>
      <c r="CN424" s="43">
        <v>0</v>
      </c>
      <c r="CO424" s="43">
        <v>0</v>
      </c>
      <c r="CP424" s="43">
        <v>0</v>
      </c>
      <c r="CQ424" s="43">
        <v>0</v>
      </c>
      <c r="CR424" s="43"/>
      <c r="CS424" s="43"/>
      <c r="CT424" s="43" t="e">
        <f t="shared" ref="CT424:CY424" si="2103">AVERAGE(CT168:CT179)</f>
        <v>#DIV/0!</v>
      </c>
      <c r="CU424" s="43" t="e">
        <f t="shared" si="2103"/>
        <v>#DIV/0!</v>
      </c>
      <c r="CV424" s="43" t="e">
        <f t="shared" si="2103"/>
        <v>#DIV/0!</v>
      </c>
      <c r="CW424" s="43">
        <f t="shared" si="2103"/>
        <v>0</v>
      </c>
      <c r="CX424" s="43">
        <f t="shared" si="2103"/>
        <v>0</v>
      </c>
      <c r="CY424" s="43">
        <f t="shared" si="2103"/>
        <v>0</v>
      </c>
      <c r="DB424" s="6"/>
      <c r="DC424" s="6"/>
      <c r="DD424" s="43">
        <f t="shared" si="2093"/>
        <v>299205.83333333337</v>
      </c>
      <c r="DE424" s="43">
        <f>AVERAGE(DE168:DE179)</f>
        <v>191969.83333333334</v>
      </c>
      <c r="DF424" s="43">
        <f>AVERAGE(DF168:DF179)</f>
        <v>491175.66666666669</v>
      </c>
      <c r="DK424" s="43">
        <f t="shared" ref="DK424:DP424" si="2104">AVERAGE(DK168:DK179)</f>
        <v>58891.916666666664</v>
      </c>
      <c r="DL424" s="43">
        <f t="shared" si="2104"/>
        <v>99838.25</v>
      </c>
      <c r="DM424" s="43">
        <f t="shared" si="2104"/>
        <v>11458.333333333334</v>
      </c>
      <c r="DN424" s="43">
        <f t="shared" si="2104"/>
        <v>21821.583333333332</v>
      </c>
      <c r="DO424" s="43">
        <f t="shared" si="2104"/>
        <v>239791.08333333334</v>
      </c>
      <c r="DP424" s="43">
        <f t="shared" si="2104"/>
        <v>35359.166666666664</v>
      </c>
      <c r="DQ424" s="43"/>
      <c r="DR424" s="43">
        <f>AVERAGE(DR168:DR179)</f>
        <v>13318.75</v>
      </c>
      <c r="DS424" s="43">
        <f>AVERAGE(DS168:DS179)</f>
        <v>0</v>
      </c>
      <c r="DT424" s="43">
        <f>AVERAGE(DT168:DT179)</f>
        <v>10736.833333333334</v>
      </c>
      <c r="DU424" s="43"/>
      <c r="DV424" s="43"/>
      <c r="DW424" s="43">
        <f>AVERAGE(DW168:DW179)</f>
        <v>491215.91666666669</v>
      </c>
      <c r="DY424" s="43">
        <f>AVERAGE(DY168:DY179)</f>
        <v>287534.41666666669</v>
      </c>
      <c r="DZ424" s="43">
        <f>AVERAGE(DZ168:DZ179)</f>
        <v>37006.5</v>
      </c>
      <c r="EB424" s="43">
        <f>AVERAGE(EB168:EB179)</f>
        <v>528182.16666666663</v>
      </c>
      <c r="EC424" s="43">
        <f t="shared" si="2095"/>
        <v>191969.83333333334</v>
      </c>
      <c r="ED424" s="43">
        <f t="shared" si="2096"/>
        <v>336212.33333333326</v>
      </c>
      <c r="EJ424" s="6"/>
      <c r="EK424" s="6"/>
    </row>
    <row r="425" spans="2:141">
      <c r="B425" s="44" t="s">
        <v>130</v>
      </c>
      <c r="C425" s="46"/>
      <c r="D425" s="46"/>
      <c r="E425" s="46"/>
      <c r="F425" s="47"/>
      <c r="G425" s="47"/>
      <c r="H425" s="43">
        <f>AVERAGE(H180:H191)</f>
        <v>6399.333333333333</v>
      </c>
      <c r="I425" s="43">
        <f>AVERAGE(I180:I191)</f>
        <v>12165.333333333334</v>
      </c>
      <c r="J425" s="43">
        <f>AVERAGE(J180:J191)</f>
        <v>3037.0833333333335</v>
      </c>
      <c r="K425" s="43">
        <f>AVERAGE(K180:K191)</f>
        <v>11984.833333333334</v>
      </c>
      <c r="L425" s="43"/>
      <c r="M425" s="43">
        <f t="shared" ref="M425:T425" si="2105">AVERAGE(M180:M191)</f>
        <v>31440.75</v>
      </c>
      <c r="N425" s="43">
        <f t="shared" si="2105"/>
        <v>2939.5</v>
      </c>
      <c r="O425" s="43" t="e">
        <f t="shared" si="2105"/>
        <v>#DIV/0!</v>
      </c>
      <c r="P425" s="43">
        <f t="shared" si="2105"/>
        <v>1910.25</v>
      </c>
      <c r="Q425" s="43">
        <f t="shared" si="2105"/>
        <v>8357.8333333333339</v>
      </c>
      <c r="R425" s="43">
        <f t="shared" si="2105"/>
        <v>604</v>
      </c>
      <c r="S425" s="43">
        <f t="shared" si="2105"/>
        <v>8005.25</v>
      </c>
      <c r="T425" s="43">
        <f t="shared" si="2105"/>
        <v>9768.4166666666661</v>
      </c>
      <c r="U425" s="43"/>
      <c r="V425" s="43"/>
      <c r="W425" s="43">
        <f>AVERAGE(W180:W191)</f>
        <v>466.58333333333331</v>
      </c>
      <c r="X425" s="43">
        <f>AVERAGE(X180:X191)</f>
        <v>7351.666666666667</v>
      </c>
      <c r="Y425" s="43">
        <f>AVERAGE(Y180:Y191)</f>
        <v>483.75</v>
      </c>
      <c r="Z425" s="43">
        <f>AVERAGE(Z180:Z191)</f>
        <v>25.166666666666668</v>
      </c>
      <c r="AA425" s="161"/>
      <c r="AB425" s="43">
        <f t="shared" ref="AB425:AG425" si="2106">AVERAGE(AB180:AB191)</f>
        <v>7</v>
      </c>
      <c r="AC425" s="43">
        <f t="shared" si="2106"/>
        <v>56.5</v>
      </c>
      <c r="AD425" s="43">
        <f t="shared" si="2106"/>
        <v>18.833333333333332</v>
      </c>
      <c r="AE425" s="43">
        <f t="shared" si="2106"/>
        <v>25.916666666666668</v>
      </c>
      <c r="AF425" s="43">
        <f t="shared" si="2106"/>
        <v>30.916666666666668</v>
      </c>
      <c r="AG425" s="43">
        <f t="shared" si="2106"/>
        <v>44.666666666666664</v>
      </c>
      <c r="AH425" s="43"/>
      <c r="AI425" s="43"/>
      <c r="AJ425" s="43">
        <f t="shared" ref="AJ425:AX425" si="2107">AVERAGE(AJ180:AJ191)</f>
        <v>3.4166666666666665</v>
      </c>
      <c r="AK425" s="43">
        <f t="shared" si="2107"/>
        <v>5776.666666666667</v>
      </c>
      <c r="AL425" s="43">
        <f t="shared" si="2107"/>
        <v>83816.166666666672</v>
      </c>
      <c r="AM425" s="43">
        <f t="shared" si="2107"/>
        <v>3365.4166666666665</v>
      </c>
      <c r="AN425" s="43">
        <f t="shared" si="2107"/>
        <v>10959.083333333334</v>
      </c>
      <c r="AO425" s="43">
        <f t="shared" si="2107"/>
        <v>35.833333333333336</v>
      </c>
      <c r="AP425" s="43">
        <f t="shared" si="2107"/>
        <v>9.6666666666666661</v>
      </c>
      <c r="AQ425" s="43">
        <f t="shared" si="2107"/>
        <v>2436.1666666666665</v>
      </c>
      <c r="AR425" s="43">
        <f t="shared" si="2107"/>
        <v>801.16666666666663</v>
      </c>
      <c r="AS425" s="43">
        <f t="shared" si="2107"/>
        <v>1263.9166666666667</v>
      </c>
      <c r="AT425" s="43" t="e">
        <f t="shared" si="2107"/>
        <v>#DIV/0!</v>
      </c>
      <c r="AU425" s="43">
        <f t="shared" si="2107"/>
        <v>2788.75</v>
      </c>
      <c r="AV425" s="43">
        <f t="shared" si="2107"/>
        <v>2049.9166666666665</v>
      </c>
      <c r="AW425" s="43">
        <f t="shared" si="2107"/>
        <v>2991.25</v>
      </c>
      <c r="AX425" s="43">
        <f t="shared" si="2107"/>
        <v>7771.5</v>
      </c>
      <c r="AY425" s="161"/>
      <c r="AZ425" s="161"/>
      <c r="BA425" s="161">
        <f>AVERAGE(BA180:BA191)</f>
        <v>128.91666666666666</v>
      </c>
      <c r="BB425" s="161"/>
      <c r="BC425" s="43">
        <f>AVERAGE(BC180:BC191)</f>
        <v>406.08333333333331</v>
      </c>
      <c r="BD425" s="43"/>
      <c r="BE425" s="43">
        <f t="shared" ref="BE425:BL425" si="2108">AVERAGE(BE180:BE191)</f>
        <v>149.83333333333334</v>
      </c>
      <c r="BF425" s="43">
        <f t="shared" si="2108"/>
        <v>426.83333333333331</v>
      </c>
      <c r="BG425" s="43">
        <f t="shared" si="2108"/>
        <v>499.33333333333331</v>
      </c>
      <c r="BH425" s="43">
        <f t="shared" si="2108"/>
        <v>2.9166666666666665</v>
      </c>
      <c r="BI425" s="43">
        <f t="shared" si="2108"/>
        <v>2.5833333333333335</v>
      </c>
      <c r="BJ425" s="43">
        <f t="shared" si="2108"/>
        <v>7212.5</v>
      </c>
      <c r="BK425" s="43">
        <f t="shared" si="2108"/>
        <v>41.583333333333336</v>
      </c>
      <c r="BL425" s="43">
        <f t="shared" si="2108"/>
        <v>3384.1666666666665</v>
      </c>
      <c r="BM425" s="43"/>
      <c r="BN425" s="43">
        <f t="shared" ref="BN425:BU425" si="2109">AVERAGE(BN180:BN191)</f>
        <v>307.41666666666669</v>
      </c>
      <c r="BO425" s="43">
        <f t="shared" si="2109"/>
        <v>71.916666666666671</v>
      </c>
      <c r="BP425" s="43">
        <f t="shared" si="2109"/>
        <v>133.08333333333334</v>
      </c>
      <c r="BQ425" s="43">
        <f t="shared" si="2109"/>
        <v>35913.333333333336</v>
      </c>
      <c r="BR425" s="43">
        <f t="shared" si="2109"/>
        <v>9209.0833333333339</v>
      </c>
      <c r="BS425" s="43">
        <f t="shared" si="2109"/>
        <v>77.666666666666671</v>
      </c>
      <c r="BT425" s="43">
        <f t="shared" si="2109"/>
        <v>2005</v>
      </c>
      <c r="BU425" s="43">
        <f t="shared" si="2109"/>
        <v>210.83333333333334</v>
      </c>
      <c r="BV425" s="43"/>
      <c r="BW425" s="43">
        <f>AVERAGE(BW180:BW191)</f>
        <v>7.833333333333333</v>
      </c>
      <c r="BX425" s="43">
        <f>AVERAGE(BX180:BX191)</f>
        <v>126.41666666666667</v>
      </c>
      <c r="BY425" s="43"/>
      <c r="BZ425" s="43">
        <f t="shared" ref="BZ425:CK425" si="2110">AVERAGE(BZ180:BZ191)</f>
        <v>47</v>
      </c>
      <c r="CA425" s="43">
        <f t="shared" si="2110"/>
        <v>0</v>
      </c>
      <c r="CB425" s="43">
        <f t="shared" si="2110"/>
        <v>6754.083333333333</v>
      </c>
      <c r="CC425" s="43">
        <f t="shared" si="2110"/>
        <v>13998.166666666666</v>
      </c>
      <c r="CD425" s="43">
        <f t="shared" si="2110"/>
        <v>87099</v>
      </c>
      <c r="CE425" s="43">
        <f t="shared" si="2110"/>
        <v>139417.75</v>
      </c>
      <c r="CF425" s="43">
        <f t="shared" si="2110"/>
        <v>16368.916666666666</v>
      </c>
      <c r="CG425" s="43">
        <f t="shared" si="2110"/>
        <v>12941.333333333334</v>
      </c>
      <c r="CH425" s="43">
        <f t="shared" si="2110"/>
        <v>0</v>
      </c>
      <c r="CI425" s="43">
        <f t="shared" si="2110"/>
        <v>11.25</v>
      </c>
      <c r="CJ425" s="43">
        <f t="shared" si="2110"/>
        <v>23.833333333333332</v>
      </c>
      <c r="CK425" s="43">
        <f t="shared" si="2110"/>
        <v>91.333333333333329</v>
      </c>
      <c r="CL425" s="43">
        <v>0</v>
      </c>
      <c r="CM425" s="43">
        <v>0</v>
      </c>
      <c r="CN425" s="43">
        <v>0</v>
      </c>
      <c r="CO425" s="43">
        <v>0</v>
      </c>
      <c r="CP425" s="43">
        <v>0</v>
      </c>
      <c r="CQ425" s="43">
        <v>0</v>
      </c>
      <c r="CR425" s="43"/>
      <c r="CS425" s="43"/>
      <c r="CT425" s="43" t="e">
        <f t="shared" ref="CT425:CY425" si="2111">AVERAGE(CT180:CT191)</f>
        <v>#DIV/0!</v>
      </c>
      <c r="CU425" s="43" t="e">
        <f t="shared" si="2111"/>
        <v>#DIV/0!</v>
      </c>
      <c r="CV425" s="43" t="e">
        <f t="shared" si="2111"/>
        <v>#DIV/0!</v>
      </c>
      <c r="CW425" s="43">
        <f t="shared" si="2111"/>
        <v>0</v>
      </c>
      <c r="CX425" s="43">
        <f t="shared" si="2111"/>
        <v>0</v>
      </c>
      <c r="CY425" s="43">
        <f t="shared" si="2111"/>
        <v>0</v>
      </c>
      <c r="DB425" s="6"/>
      <c r="DC425" s="6"/>
      <c r="DD425" s="43">
        <f t="shared" si="2093"/>
        <v>336535</v>
      </c>
      <c r="DE425" s="43">
        <f>AVERAGE(DE180:DE191)</f>
        <v>196012</v>
      </c>
      <c r="DF425" s="43">
        <f>AVERAGE(DF180:DF191)</f>
        <v>532547</v>
      </c>
      <c r="DK425" s="43">
        <f t="shared" ref="DK425:DP425" si="2112">AVERAGE(DK180:DK191)</f>
        <v>61075.833333333336</v>
      </c>
      <c r="DL425" s="43">
        <f t="shared" si="2112"/>
        <v>103274.41666666667</v>
      </c>
      <c r="DM425" s="43">
        <f t="shared" si="2112"/>
        <v>9768.4166666666661</v>
      </c>
      <c r="DN425" s="43">
        <f t="shared" si="2112"/>
        <v>22022.25</v>
      </c>
      <c r="DO425" s="43">
        <f t="shared" si="2112"/>
        <v>259850.25</v>
      </c>
      <c r="DP425" s="43">
        <f t="shared" si="2112"/>
        <v>38378.5</v>
      </c>
      <c r="DQ425" s="43"/>
      <c r="DR425" s="43">
        <f>AVERAGE(DR180:DR191)</f>
        <v>14009.416666666666</v>
      </c>
      <c r="DS425" s="43">
        <f>AVERAGE(DS180:DS191)</f>
        <v>133.08333333333334</v>
      </c>
      <c r="DT425" s="43">
        <f>AVERAGE(DT180:DT191)</f>
        <v>11222.416666666666</v>
      </c>
      <c r="DU425" s="43"/>
      <c r="DV425" s="43"/>
      <c r="DW425" s="43">
        <f>AVERAGE(DW180:DW191)</f>
        <v>519734.58333333331</v>
      </c>
      <c r="DY425" s="43">
        <f>AVERAGE(DY180:DY191)</f>
        <v>317600.58333333331</v>
      </c>
      <c r="DZ425" s="43">
        <f>AVERAGE(DZ180:DZ191)</f>
        <v>33586.583333333336</v>
      </c>
      <c r="EB425" s="43">
        <f>AVERAGE(EB180:EB191)</f>
        <v>566133.58333333337</v>
      </c>
      <c r="EC425" s="43">
        <f t="shared" si="2095"/>
        <v>196012</v>
      </c>
      <c r="ED425" s="43">
        <f t="shared" si="2096"/>
        <v>370121.58333333337</v>
      </c>
      <c r="EJ425" s="6"/>
      <c r="EK425" s="6"/>
    </row>
    <row r="426" spans="2:141">
      <c r="B426" s="44" t="s">
        <v>114</v>
      </c>
      <c r="G426" s="43"/>
      <c r="H426" s="43">
        <f>AVERAGE(H192:H203)</f>
        <v>8413</v>
      </c>
      <c r="I426" s="43">
        <f>AVERAGE(I192:I203)</f>
        <v>14749.833333333334</v>
      </c>
      <c r="J426" s="43">
        <f>AVERAGE(J192:J203)</f>
        <v>3044.5833333333335</v>
      </c>
      <c r="K426" s="43">
        <f>AVERAGE(K192:K203)</f>
        <v>7946.25</v>
      </c>
      <c r="L426" s="43"/>
      <c r="M426" s="43">
        <f t="shared" ref="M426:T426" si="2113">AVERAGE(M192:M203)</f>
        <v>31479.666666666668</v>
      </c>
      <c r="N426" s="43">
        <f t="shared" si="2113"/>
        <v>2817.7083333333335</v>
      </c>
      <c r="O426" s="43" t="e">
        <f t="shared" si="2113"/>
        <v>#DIV/0!</v>
      </c>
      <c r="P426" s="43">
        <f t="shared" si="2113"/>
        <v>1855.8333333333333</v>
      </c>
      <c r="Q426" s="43">
        <f t="shared" si="2113"/>
        <v>8655.4583333333339</v>
      </c>
      <c r="R426" s="43">
        <f t="shared" si="2113"/>
        <v>585.79166666666663</v>
      </c>
      <c r="S426" s="43">
        <f t="shared" si="2113"/>
        <v>8220.6666666666661</v>
      </c>
      <c r="T426" s="43">
        <f t="shared" si="2113"/>
        <v>9752.9166666666661</v>
      </c>
      <c r="U426" s="43"/>
      <c r="V426" s="43"/>
      <c r="W426" s="43">
        <f>AVERAGE(W192:W203)</f>
        <v>431.66666666666669</v>
      </c>
      <c r="X426" s="43">
        <f>AVERAGE(X192:X203)</f>
        <v>8011.583333333333</v>
      </c>
      <c r="Y426" s="43">
        <f>AVERAGE(Y192:Y203)</f>
        <v>457.5</v>
      </c>
      <c r="Z426" s="43">
        <f>AVERAGE(Z192:Z203)</f>
        <v>20.833333333333332</v>
      </c>
      <c r="AA426" s="161"/>
      <c r="AB426" s="43">
        <f t="shared" ref="AB426:AG426" si="2114">AVERAGE(AB192:AB203)</f>
        <v>9.3333333333333339</v>
      </c>
      <c r="AC426" s="43">
        <f t="shared" si="2114"/>
        <v>52.916666666666664</v>
      </c>
      <c r="AD426" s="43">
        <f t="shared" si="2114"/>
        <v>13.416666666666666</v>
      </c>
      <c r="AE426" s="43">
        <f t="shared" si="2114"/>
        <v>27.5</v>
      </c>
      <c r="AF426" s="43">
        <f t="shared" si="2114"/>
        <v>32.625</v>
      </c>
      <c r="AG426" s="43">
        <f t="shared" si="2114"/>
        <v>53.583333333333336</v>
      </c>
      <c r="AH426" s="43"/>
      <c r="AI426" s="43"/>
      <c r="AJ426" s="43">
        <f t="shared" ref="AJ426:AX426" si="2115">AVERAGE(AJ192:AJ203)</f>
        <v>5.833333333333333</v>
      </c>
      <c r="AK426" s="43">
        <f t="shared" si="2115"/>
        <v>6927</v>
      </c>
      <c r="AL426" s="43">
        <f t="shared" si="2115"/>
        <v>85316.083333333328</v>
      </c>
      <c r="AM426" s="43">
        <f t="shared" si="2115"/>
        <v>3320.9583333333335</v>
      </c>
      <c r="AN426" s="43">
        <f t="shared" si="2115"/>
        <v>11605.416666666666</v>
      </c>
      <c r="AO426" s="43">
        <f t="shared" si="2115"/>
        <v>42.791666666666664</v>
      </c>
      <c r="AP426" s="43">
        <f t="shared" si="2115"/>
        <v>8.5</v>
      </c>
      <c r="AQ426" s="43">
        <f t="shared" si="2115"/>
        <v>2743.8333333333335</v>
      </c>
      <c r="AR426" s="43">
        <f t="shared" si="2115"/>
        <v>0</v>
      </c>
      <c r="AS426" s="43">
        <f t="shared" si="2115"/>
        <v>1369.5</v>
      </c>
      <c r="AT426" s="43" t="e">
        <f t="shared" si="2115"/>
        <v>#DIV/0!</v>
      </c>
      <c r="AU426" s="43">
        <f t="shared" si="2115"/>
        <v>3026.3333333333335</v>
      </c>
      <c r="AV426" s="43">
        <f t="shared" si="2115"/>
        <v>2010.4166666666667</v>
      </c>
      <c r="AW426" s="43">
        <f t="shared" si="2115"/>
        <v>3072.75</v>
      </c>
      <c r="AX426" s="43">
        <f t="shared" si="2115"/>
        <v>8097.166666666667</v>
      </c>
      <c r="AY426" s="161"/>
      <c r="AZ426" s="161"/>
      <c r="BA426" s="161">
        <f>AVERAGE(BA192:BA203)</f>
        <v>195.04166666666666</v>
      </c>
      <c r="BB426" s="161"/>
      <c r="BC426" s="43">
        <f>AVERAGE(BC192:BC203)</f>
        <v>450.66666666666669</v>
      </c>
      <c r="BD426" s="43"/>
      <c r="BE426" s="43">
        <f t="shared" ref="BE426:BL426" si="2116">AVERAGE(BE192:BE203)</f>
        <v>18.75</v>
      </c>
      <c r="BF426" s="43">
        <f t="shared" si="2116"/>
        <v>78.416666666666671</v>
      </c>
      <c r="BG426" s="43">
        <f t="shared" si="2116"/>
        <v>528.70833333333337</v>
      </c>
      <c r="BH426" s="43">
        <f t="shared" si="2116"/>
        <v>3.1666666666666665</v>
      </c>
      <c r="BI426" s="43">
        <f t="shared" si="2116"/>
        <v>1.5</v>
      </c>
      <c r="BJ426" s="43">
        <f t="shared" si="2116"/>
        <v>7653.791666666667</v>
      </c>
      <c r="BK426" s="43">
        <f t="shared" si="2116"/>
        <v>36.625</v>
      </c>
      <c r="BL426" s="43">
        <f t="shared" si="2116"/>
        <v>3259.75</v>
      </c>
      <c r="BM426" s="43"/>
      <c r="BN426" s="43">
        <f t="shared" ref="BN426:BU426" si="2117">AVERAGE(BN192:BN203)</f>
        <v>362.79166666666669</v>
      </c>
      <c r="BO426" s="43">
        <f t="shared" si="2117"/>
        <v>68.708333333333329</v>
      </c>
      <c r="BP426" s="43">
        <f t="shared" si="2117"/>
        <v>1539.6666666666667</v>
      </c>
      <c r="BQ426" s="43">
        <f t="shared" si="2117"/>
        <v>38479.5</v>
      </c>
      <c r="BR426" s="43">
        <f t="shared" si="2117"/>
        <v>4525.25</v>
      </c>
      <c r="BS426" s="43">
        <f t="shared" si="2117"/>
        <v>97.291666666666671</v>
      </c>
      <c r="BT426" s="43">
        <f t="shared" si="2117"/>
        <v>3214.2916666666665</v>
      </c>
      <c r="BU426" s="43">
        <f t="shared" si="2117"/>
        <v>88.333333333333329</v>
      </c>
      <c r="BV426" s="43"/>
      <c r="BW426" s="43">
        <f>AVERAGE(BW192:BW203)</f>
        <v>8.1666666666666661</v>
      </c>
      <c r="BX426" s="43">
        <f>AVERAGE(BX192:BX203)</f>
        <v>115.08333333333333</v>
      </c>
      <c r="BY426" s="43"/>
      <c r="BZ426" s="43">
        <f t="shared" ref="BZ426:CK426" si="2118">AVERAGE(BZ192:BZ203)</f>
        <v>46.833333333333336</v>
      </c>
      <c r="CA426" s="43">
        <f t="shared" si="2118"/>
        <v>0</v>
      </c>
      <c r="CB426" s="43">
        <f t="shared" si="2118"/>
        <v>12328.333333333334</v>
      </c>
      <c r="CC426" s="43">
        <f t="shared" si="2118"/>
        <v>14998.25</v>
      </c>
      <c r="CD426" s="43">
        <f t="shared" si="2118"/>
        <v>101712.16666666667</v>
      </c>
      <c r="CE426" s="43">
        <f t="shared" si="2118"/>
        <v>160637.75</v>
      </c>
      <c r="CF426" s="43">
        <f t="shared" si="2118"/>
        <v>16913.583333333332</v>
      </c>
      <c r="CG426" s="43">
        <f t="shared" si="2118"/>
        <v>20939.916666666668</v>
      </c>
      <c r="CH426" s="43">
        <f t="shared" si="2118"/>
        <v>0</v>
      </c>
      <c r="CI426" s="43">
        <f t="shared" si="2118"/>
        <v>23</v>
      </c>
      <c r="CJ426" s="43">
        <f t="shared" si="2118"/>
        <v>19.333333333333332</v>
      </c>
      <c r="CK426" s="43">
        <f t="shared" si="2118"/>
        <v>75.416666666666671</v>
      </c>
      <c r="CL426" s="43">
        <v>0</v>
      </c>
      <c r="CM426" s="43">
        <v>0</v>
      </c>
      <c r="CN426" s="43">
        <v>0</v>
      </c>
      <c r="CO426" s="43">
        <v>0</v>
      </c>
      <c r="CP426" s="43">
        <v>0</v>
      </c>
      <c r="CQ426" s="43">
        <v>0</v>
      </c>
      <c r="CR426" s="43"/>
      <c r="CS426" s="43"/>
      <c r="CT426" s="43" t="e">
        <f t="shared" ref="CT426:CY426" si="2119">AVERAGE(CT192:CT203)</f>
        <v>#DIV/0!</v>
      </c>
      <c r="CU426" s="43" t="e">
        <f t="shared" si="2119"/>
        <v>#DIV/0!</v>
      </c>
      <c r="CV426" s="43" t="e">
        <f t="shared" si="2119"/>
        <v>#DIV/0!</v>
      </c>
      <c r="CW426" s="43">
        <f t="shared" si="2119"/>
        <v>33.5</v>
      </c>
      <c r="CX426" s="43">
        <f t="shared" si="2119"/>
        <v>0</v>
      </c>
      <c r="CY426" s="43">
        <f t="shared" si="2119"/>
        <v>44.666666666666664</v>
      </c>
      <c r="DB426" s="6"/>
      <c r="DC426" s="6"/>
      <c r="DD426" s="43">
        <f t="shared" si="2093"/>
        <v>387774.375</v>
      </c>
      <c r="DE426" s="43">
        <f>AVERAGE(DE192:DE203)</f>
        <v>200476.25</v>
      </c>
      <c r="DF426" s="43">
        <f>AVERAGE(DF192:DF203)</f>
        <v>588250.625</v>
      </c>
      <c r="DK426" s="43">
        <f t="shared" ref="DK426:DP426" si="2120">AVERAGE(DK192:DK203)</f>
        <v>62058.375</v>
      </c>
      <c r="DL426" s="43">
        <f t="shared" si="2120"/>
        <v>106351.5</v>
      </c>
      <c r="DM426" s="43">
        <f t="shared" si="2120"/>
        <v>9752.9166666666661</v>
      </c>
      <c r="DN426" s="43">
        <f t="shared" si="2120"/>
        <v>22508.5</v>
      </c>
      <c r="DO426" s="43">
        <f t="shared" si="2120"/>
        <v>296637.70833333331</v>
      </c>
      <c r="DP426" s="43">
        <f t="shared" si="2120"/>
        <v>42078.5</v>
      </c>
      <c r="DQ426" s="43"/>
      <c r="DR426" s="43">
        <f>AVERAGE(DR192:DR203)</f>
        <v>15021.25</v>
      </c>
      <c r="DS426" s="43">
        <f>AVERAGE(DS192:DS203)</f>
        <v>1539.6666666666667</v>
      </c>
      <c r="DT426" s="43">
        <f>AVERAGE(DT192:DT203)</f>
        <v>11557.333333333334</v>
      </c>
      <c r="DU426" s="43"/>
      <c r="DV426" s="43"/>
      <c r="DW426" s="43">
        <f>AVERAGE(DW192:DW203)</f>
        <v>567505.75</v>
      </c>
      <c r="DY426" s="43">
        <f>AVERAGE(DY192:DY203)</f>
        <v>363288.625</v>
      </c>
      <c r="DZ426" s="43">
        <f>AVERAGE(DZ192:DZ203)</f>
        <v>34153.666666666664</v>
      </c>
      <c r="EB426" s="43">
        <f>AVERAGE(EB192:EB203)</f>
        <v>622404.29166666663</v>
      </c>
      <c r="EC426" s="43">
        <f t="shared" si="2095"/>
        <v>200476.25</v>
      </c>
      <c r="ED426" s="43">
        <f t="shared" si="2096"/>
        <v>421928.04166666663</v>
      </c>
      <c r="EF426" s="43"/>
      <c r="EG426" s="43"/>
      <c r="EH426" s="43"/>
      <c r="EJ426" s="6"/>
      <c r="EK426" s="6"/>
    </row>
    <row r="427" spans="2:141">
      <c r="B427" s="44" t="s">
        <v>115</v>
      </c>
      <c r="G427" s="43"/>
      <c r="H427" s="43">
        <f>AVERAGE(H204:H215)</f>
        <v>10522.166666666666</v>
      </c>
      <c r="I427" s="43">
        <f>AVERAGE(I204:I215)</f>
        <v>18643.75</v>
      </c>
      <c r="J427" s="43">
        <f>AVERAGE(J204:J215)</f>
        <v>2986.9166666666665</v>
      </c>
      <c r="K427" s="43">
        <f>AVERAGE(K204:K215)</f>
        <v>7521.25</v>
      </c>
      <c r="L427" s="43"/>
      <c r="M427" s="43">
        <f t="shared" ref="M427:T427" si="2121">AVERAGE(M204:M215)</f>
        <v>30961.416666666668</v>
      </c>
      <c r="N427" s="43">
        <f t="shared" si="2121"/>
        <v>2667.1666666666665</v>
      </c>
      <c r="O427" s="43" t="e">
        <f t="shared" si="2121"/>
        <v>#DIV/0!</v>
      </c>
      <c r="P427" s="43">
        <f t="shared" si="2121"/>
        <v>1993.5833333333333</v>
      </c>
      <c r="Q427" s="43">
        <f t="shared" si="2121"/>
        <v>8938.8333333333339</v>
      </c>
      <c r="R427" s="43">
        <f t="shared" si="2121"/>
        <v>546.08333333333337</v>
      </c>
      <c r="S427" s="43">
        <f t="shared" si="2121"/>
        <v>9157.5833333333339</v>
      </c>
      <c r="T427" s="43">
        <f t="shared" si="2121"/>
        <v>9864.25</v>
      </c>
      <c r="U427" s="43"/>
      <c r="V427" s="43"/>
      <c r="W427" s="43">
        <f>AVERAGE(W204:W215)</f>
        <v>461.66666666666669</v>
      </c>
      <c r="X427" s="43">
        <f>AVERAGE(X204:X215)</f>
        <v>7800.416666666667</v>
      </c>
      <c r="Y427" s="43">
        <f>AVERAGE(Y204:Y215)</f>
        <v>432.66666666666669</v>
      </c>
      <c r="Z427" s="43">
        <f>AVERAGE(Z204:Z215)</f>
        <v>14.166666666666666</v>
      </c>
      <c r="AA427" s="161"/>
      <c r="AB427" s="43">
        <f t="shared" ref="AB427:AG427" si="2122">AVERAGE(AB204:AB215)</f>
        <v>6.833333333333333</v>
      </c>
      <c r="AC427" s="43">
        <f t="shared" si="2122"/>
        <v>50.916666666666664</v>
      </c>
      <c r="AD427" s="43">
        <f t="shared" si="2122"/>
        <v>13.083333333333334</v>
      </c>
      <c r="AE427" s="43">
        <f t="shared" si="2122"/>
        <v>26.166666666666668</v>
      </c>
      <c r="AF427" s="43">
        <f t="shared" si="2122"/>
        <v>38.75</v>
      </c>
      <c r="AG427" s="43">
        <f t="shared" si="2122"/>
        <v>52.333333333333336</v>
      </c>
      <c r="AH427" s="43"/>
      <c r="AI427" s="43"/>
      <c r="AJ427" s="43">
        <f t="shared" ref="AJ427:AX427" si="2123">AVERAGE(AJ204:AJ215)</f>
        <v>6.75</v>
      </c>
      <c r="AK427" s="43">
        <f t="shared" si="2123"/>
        <v>7984.333333333333</v>
      </c>
      <c r="AL427" s="43">
        <f t="shared" si="2123"/>
        <v>87852.916666666672</v>
      </c>
      <c r="AM427" s="43">
        <f t="shared" si="2123"/>
        <v>3266.6666666666665</v>
      </c>
      <c r="AN427" s="43">
        <f t="shared" si="2123"/>
        <v>12416.25</v>
      </c>
      <c r="AO427" s="43">
        <f t="shared" si="2123"/>
        <v>55.166666666666664</v>
      </c>
      <c r="AP427" s="43">
        <f t="shared" si="2123"/>
        <v>19.416666666666668</v>
      </c>
      <c r="AQ427" s="43">
        <f t="shared" si="2123"/>
        <v>3238.9166666666665</v>
      </c>
      <c r="AR427" s="43">
        <f t="shared" si="2123"/>
        <v>0</v>
      </c>
      <c r="AS427" s="43">
        <f t="shared" si="2123"/>
        <v>1679.25</v>
      </c>
      <c r="AT427" s="43" t="e">
        <f t="shared" si="2123"/>
        <v>#DIV/0!</v>
      </c>
      <c r="AU427" s="43">
        <f t="shared" si="2123"/>
        <v>3401.9166666666665</v>
      </c>
      <c r="AV427" s="43">
        <f t="shared" si="2123"/>
        <v>2052.3333333333335</v>
      </c>
      <c r="AW427" s="43">
        <f t="shared" si="2123"/>
        <v>3406.8333333333335</v>
      </c>
      <c r="AX427" s="43">
        <f t="shared" si="2123"/>
        <v>8605.8333333333339</v>
      </c>
      <c r="AY427" s="161"/>
      <c r="AZ427" s="161"/>
      <c r="BA427" s="161">
        <f>AVERAGE(BA204:BA215)</f>
        <v>267.33333333333331</v>
      </c>
      <c r="BB427" s="161"/>
      <c r="BC427" s="43">
        <f>AVERAGE(BC204:BC215)</f>
        <v>495.75</v>
      </c>
      <c r="BD427" s="43"/>
      <c r="BE427" s="43">
        <f t="shared" ref="BE427:BL427" si="2124">AVERAGE(BE204:BE215)</f>
        <v>4.583333333333333</v>
      </c>
      <c r="BF427" s="43">
        <f t="shared" si="2124"/>
        <v>1.1666666666666667</v>
      </c>
      <c r="BG427" s="43">
        <f t="shared" si="2124"/>
        <v>761</v>
      </c>
      <c r="BH427" s="43">
        <f t="shared" si="2124"/>
        <v>0.66666666666666663</v>
      </c>
      <c r="BI427" s="43">
        <f t="shared" si="2124"/>
        <v>0</v>
      </c>
      <c r="BJ427" s="43">
        <f t="shared" si="2124"/>
        <v>7894.666666666667</v>
      </c>
      <c r="BK427" s="43">
        <f t="shared" si="2124"/>
        <v>31.583333333333332</v>
      </c>
      <c r="BL427" s="43">
        <f t="shared" si="2124"/>
        <v>3471.75</v>
      </c>
      <c r="BM427" s="43"/>
      <c r="BN427" s="43">
        <f t="shared" ref="BN427:BU427" si="2125">AVERAGE(BN204:BN215)</f>
        <v>395.58333333333331</v>
      </c>
      <c r="BO427" s="43">
        <f t="shared" si="2125"/>
        <v>54.25</v>
      </c>
      <c r="BP427" s="43">
        <f t="shared" si="2125"/>
        <v>8055.416666666667</v>
      </c>
      <c r="BQ427" s="43">
        <f t="shared" si="2125"/>
        <v>46990.416666666664</v>
      </c>
      <c r="BR427" s="43">
        <f t="shared" si="2125"/>
        <v>1347.4166666666667</v>
      </c>
      <c r="BS427" s="43">
        <f t="shared" si="2125"/>
        <v>121.25</v>
      </c>
      <c r="BT427" s="43">
        <f t="shared" si="2125"/>
        <v>5046.583333333333</v>
      </c>
      <c r="BU427" s="43">
        <f t="shared" si="2125"/>
        <v>60.083333333333336</v>
      </c>
      <c r="BV427" s="43"/>
      <c r="BW427" s="43">
        <f>AVERAGE(BW204:BW215)</f>
        <v>4.416666666666667</v>
      </c>
      <c r="BX427" s="43">
        <f>AVERAGE(BX204:BX215)</f>
        <v>120.08333333333333</v>
      </c>
      <c r="BY427" s="43"/>
      <c r="BZ427" s="43">
        <f t="shared" ref="BZ427:CK427" si="2126">AVERAGE(BZ204:BZ215)</f>
        <v>13.75</v>
      </c>
      <c r="CA427" s="43">
        <f t="shared" si="2126"/>
        <v>0</v>
      </c>
      <c r="CB427" s="43">
        <f t="shared" si="2126"/>
        <v>16550.75</v>
      </c>
      <c r="CC427" s="43">
        <f t="shared" si="2126"/>
        <v>15370.75</v>
      </c>
      <c r="CD427" s="43">
        <f t="shared" si="2126"/>
        <v>109680.08333333333</v>
      </c>
      <c r="CE427" s="43">
        <f t="shared" si="2126"/>
        <v>174880.58333333334</v>
      </c>
      <c r="CF427" s="43">
        <f t="shared" si="2126"/>
        <v>18657.916666666668</v>
      </c>
      <c r="CG427" s="43">
        <f t="shared" si="2126"/>
        <v>27112.5</v>
      </c>
      <c r="CH427" s="43">
        <f t="shared" si="2126"/>
        <v>0</v>
      </c>
      <c r="CI427" s="43">
        <f t="shared" si="2126"/>
        <v>25.333333333333332</v>
      </c>
      <c r="CJ427" s="43">
        <f t="shared" si="2126"/>
        <v>10.083333333333334</v>
      </c>
      <c r="CK427" s="43">
        <f t="shared" si="2126"/>
        <v>45.75</v>
      </c>
      <c r="CL427" s="43">
        <v>0</v>
      </c>
      <c r="CM427" s="43">
        <v>0</v>
      </c>
      <c r="CN427" s="43">
        <v>0</v>
      </c>
      <c r="CO427" s="43">
        <v>0</v>
      </c>
      <c r="CP427" s="43">
        <v>0</v>
      </c>
      <c r="CQ427" s="43">
        <v>0</v>
      </c>
      <c r="CR427" s="43"/>
      <c r="CS427" s="43"/>
      <c r="CT427" s="43" t="e">
        <f t="shared" ref="CT427:CY427" si="2127">AVERAGE(CT204:CT215)</f>
        <v>#DIV/0!</v>
      </c>
      <c r="CU427" s="43" t="e">
        <f t="shared" si="2127"/>
        <v>#DIV/0!</v>
      </c>
      <c r="CV427" s="43" t="e">
        <f t="shared" si="2127"/>
        <v>#DIV/0!</v>
      </c>
      <c r="CW427" s="43">
        <f t="shared" si="2127"/>
        <v>33.833333333333336</v>
      </c>
      <c r="CX427" s="43">
        <f t="shared" si="2127"/>
        <v>0</v>
      </c>
      <c r="CY427" s="43">
        <f t="shared" si="2127"/>
        <v>50.333333333333336</v>
      </c>
      <c r="DB427" s="6"/>
      <c r="DC427" s="6"/>
      <c r="DD427" s="43">
        <f t="shared" si="2093"/>
        <v>436708.41666666663</v>
      </c>
      <c r="DE427" s="43">
        <f>AVERAGE(DE204:DE215)</f>
        <v>207508.25</v>
      </c>
      <c r="DF427" s="43">
        <f>AVERAGE(DF204:DF215)</f>
        <v>644216.66666666663</v>
      </c>
      <c r="DK427" s="43">
        <f t="shared" ref="DK427:DP427" si="2128">AVERAGE(DK204:DK215)</f>
        <v>62526.75</v>
      </c>
      <c r="DL427" s="43">
        <f t="shared" si="2128"/>
        <v>111051.83333333333</v>
      </c>
      <c r="DM427" s="43">
        <f t="shared" si="2128"/>
        <v>9864.25</v>
      </c>
      <c r="DN427" s="43">
        <f t="shared" si="2128"/>
        <v>24332.75</v>
      </c>
      <c r="DO427" s="43">
        <f t="shared" si="2128"/>
        <v>321459.08333333331</v>
      </c>
      <c r="DP427" s="43">
        <f t="shared" si="2128"/>
        <v>52437.833333333336</v>
      </c>
      <c r="DQ427" s="43"/>
      <c r="DR427" s="43">
        <f>AVERAGE(DR204:DR215)</f>
        <v>15396.083333333334</v>
      </c>
      <c r="DS427" s="43">
        <f>AVERAGE(DS204:DS215)</f>
        <v>8055.416666666667</v>
      </c>
      <c r="DT427" s="43">
        <f>AVERAGE(DT204:DT215)</f>
        <v>12247.5</v>
      </c>
      <c r="DU427" s="43"/>
      <c r="DV427" s="43"/>
      <c r="DW427" s="43">
        <f>AVERAGE(DW204:DW215)</f>
        <v>617371.5</v>
      </c>
      <c r="DY427" s="43">
        <f>AVERAGE(DY204:DY215)</f>
        <v>400493.16666666669</v>
      </c>
      <c r="DZ427" s="43">
        <f>AVERAGE(DZ204:DZ215)</f>
        <v>39674.083333333336</v>
      </c>
      <c r="EB427" s="43">
        <f>AVERAGE(EB204:EB215)</f>
        <v>683890.75</v>
      </c>
      <c r="EC427" s="43">
        <f t="shared" si="2095"/>
        <v>207508.25</v>
      </c>
      <c r="ED427" s="43">
        <f t="shared" si="2096"/>
        <v>476382.5</v>
      </c>
      <c r="EF427" s="43"/>
      <c r="EG427" s="43"/>
      <c r="EH427" s="43"/>
      <c r="EJ427" s="6"/>
      <c r="EK427" s="6"/>
    </row>
    <row r="428" spans="2:141">
      <c r="B428" s="44" t="s">
        <v>90</v>
      </c>
      <c r="G428" s="43">
        <f>AVERAGE(G216:G227)</f>
        <v>205.9</v>
      </c>
      <c r="H428" s="43">
        <f>AVERAGE(H216:H227)</f>
        <v>11582.25</v>
      </c>
      <c r="I428" s="43">
        <f>AVERAGE(I216:I227)</f>
        <v>20784.666666666668</v>
      </c>
      <c r="J428" s="43">
        <f>AVERAGE(J216:J227)</f>
        <v>3023.3333333333335</v>
      </c>
      <c r="K428" s="43">
        <f>AVERAGE(K216:K227)</f>
        <v>6820.666666666667</v>
      </c>
      <c r="L428" s="43"/>
      <c r="M428" s="43">
        <f t="shared" ref="M428:T428" si="2129">AVERAGE(M216:M227)</f>
        <v>30591.75</v>
      </c>
      <c r="N428" s="43">
        <f t="shared" si="2129"/>
        <v>2516.6666666666665</v>
      </c>
      <c r="O428" s="43" t="e">
        <f t="shared" si="2129"/>
        <v>#DIV/0!</v>
      </c>
      <c r="P428" s="43">
        <f t="shared" si="2129"/>
        <v>1742.6666666666667</v>
      </c>
      <c r="Q428" s="43">
        <f t="shared" si="2129"/>
        <v>9076.5833333333339</v>
      </c>
      <c r="R428" s="43">
        <f t="shared" si="2129"/>
        <v>506.5</v>
      </c>
      <c r="S428" s="43">
        <f t="shared" si="2129"/>
        <v>9102</v>
      </c>
      <c r="T428" s="43">
        <f t="shared" si="2129"/>
        <v>10140.333333333334</v>
      </c>
      <c r="U428" s="43"/>
      <c r="V428" s="43"/>
      <c r="W428" s="43">
        <f>AVERAGE(W216:W227)</f>
        <v>625.75</v>
      </c>
      <c r="X428" s="43">
        <f>AVERAGE(X216:X227)</f>
        <v>8234.5</v>
      </c>
      <c r="Y428" s="43">
        <f>AVERAGE(Y216:Y227)</f>
        <v>400.16666666666669</v>
      </c>
      <c r="Z428" s="43">
        <f>AVERAGE(Z216:Z227)</f>
        <v>10.833333333333334</v>
      </c>
      <c r="AA428" s="161"/>
      <c r="AB428" s="43">
        <f t="shared" ref="AB428:AG428" si="2130">AVERAGE(AB216:AB227)</f>
        <v>6.416666666666667</v>
      </c>
      <c r="AC428" s="43">
        <f t="shared" si="2130"/>
        <v>45.25</v>
      </c>
      <c r="AD428" s="43">
        <f t="shared" si="2130"/>
        <v>13.333333333333334</v>
      </c>
      <c r="AE428" s="43">
        <f t="shared" si="2130"/>
        <v>24.583333333333332</v>
      </c>
      <c r="AF428" s="43">
        <f t="shared" si="2130"/>
        <v>40.666666666666664</v>
      </c>
      <c r="AG428" s="43">
        <f t="shared" si="2130"/>
        <v>52.166666666666664</v>
      </c>
      <c r="AH428" s="43"/>
      <c r="AI428" s="43"/>
      <c r="AJ428" s="43">
        <f t="shared" ref="AJ428:AX428" si="2131">AVERAGE(AJ216:AJ227)</f>
        <v>6.666666666666667</v>
      </c>
      <c r="AK428" s="43">
        <f t="shared" si="2131"/>
        <v>9026.1666666666661</v>
      </c>
      <c r="AL428" s="43">
        <f t="shared" si="2131"/>
        <v>92284.583333333328</v>
      </c>
      <c r="AM428" s="43">
        <f t="shared" si="2131"/>
        <v>3264.1666666666665</v>
      </c>
      <c r="AN428" s="43">
        <f t="shared" si="2131"/>
        <v>13499.416666666666</v>
      </c>
      <c r="AO428" s="43">
        <f t="shared" si="2131"/>
        <v>48.333333333333336</v>
      </c>
      <c r="AP428" s="43">
        <f t="shared" si="2131"/>
        <v>16.583333333333332</v>
      </c>
      <c r="AQ428" s="43">
        <f t="shared" si="2131"/>
        <v>4220.166666666667</v>
      </c>
      <c r="AR428" s="43">
        <f t="shared" si="2131"/>
        <v>0</v>
      </c>
      <c r="AS428" s="43">
        <f t="shared" si="2131"/>
        <v>1930.6666666666667</v>
      </c>
      <c r="AT428" s="43">
        <f t="shared" si="2131"/>
        <v>1</v>
      </c>
      <c r="AU428" s="43">
        <f t="shared" si="2131"/>
        <v>3675.75</v>
      </c>
      <c r="AV428" s="43">
        <f t="shared" si="2131"/>
        <v>2098.4166666666665</v>
      </c>
      <c r="AW428" s="43">
        <f t="shared" si="2131"/>
        <v>3575.6666666666665</v>
      </c>
      <c r="AX428" s="43">
        <f t="shared" si="2131"/>
        <v>9257.9166666666661</v>
      </c>
      <c r="AY428" s="161"/>
      <c r="AZ428" s="161"/>
      <c r="BA428" s="161">
        <f>AVERAGE(BA216:BA227)</f>
        <v>307.33333333333331</v>
      </c>
      <c r="BB428" s="161"/>
      <c r="BC428" s="43">
        <f>AVERAGE(BC216:BC227)</f>
        <v>462.66666666666669</v>
      </c>
      <c r="BD428" s="43"/>
      <c r="BE428" s="43">
        <f t="shared" ref="BE428:BL428" si="2132">AVERAGE(BE216:BE227)</f>
        <v>0</v>
      </c>
      <c r="BF428" s="43">
        <f t="shared" si="2132"/>
        <v>0</v>
      </c>
      <c r="BG428" s="43">
        <f t="shared" si="2132"/>
        <v>966.08333333333337</v>
      </c>
      <c r="BH428" s="43">
        <f t="shared" si="2132"/>
        <v>0</v>
      </c>
      <c r="BI428" s="43">
        <f t="shared" si="2132"/>
        <v>0</v>
      </c>
      <c r="BJ428" s="43">
        <f t="shared" si="2132"/>
        <v>7929.583333333333</v>
      </c>
      <c r="BK428" s="43">
        <f t="shared" si="2132"/>
        <v>33.333333333333336</v>
      </c>
      <c r="BL428" s="43">
        <f t="shared" si="2132"/>
        <v>3800.6666666666665</v>
      </c>
      <c r="BM428" s="43"/>
      <c r="BN428" s="43">
        <f t="shared" ref="BN428:BU428" si="2133">AVERAGE(BN216:BN227)</f>
        <v>326.5</v>
      </c>
      <c r="BO428" s="43">
        <f t="shared" si="2133"/>
        <v>37.916666666666664</v>
      </c>
      <c r="BP428" s="43">
        <f t="shared" si="2133"/>
        <v>11851.583333333334</v>
      </c>
      <c r="BQ428" s="43">
        <f t="shared" si="2133"/>
        <v>52255.833333333336</v>
      </c>
      <c r="BR428" s="43">
        <f t="shared" si="2133"/>
        <v>686</v>
      </c>
      <c r="BS428" s="43">
        <f t="shared" si="2133"/>
        <v>137.41666666666666</v>
      </c>
      <c r="BT428" s="43">
        <f t="shared" si="2133"/>
        <v>5502.666666666667</v>
      </c>
      <c r="BU428" s="43">
        <f t="shared" si="2133"/>
        <v>42.666666666666664</v>
      </c>
      <c r="BV428" s="43"/>
      <c r="BW428" s="43">
        <f>AVERAGE(BW216:BW227)</f>
        <v>7.5</v>
      </c>
      <c r="BX428" s="43">
        <f>AVERAGE(BX216:BX227)</f>
        <v>110.83333333333333</v>
      </c>
      <c r="BY428" s="43"/>
      <c r="BZ428" s="43">
        <f t="shared" ref="BZ428:CK428" si="2134">AVERAGE(BZ216:BZ227)</f>
        <v>8.9166666666666661</v>
      </c>
      <c r="CA428" s="43">
        <f t="shared" si="2134"/>
        <v>0</v>
      </c>
      <c r="CB428" s="43">
        <f t="shared" si="2134"/>
        <v>19339</v>
      </c>
      <c r="CC428" s="43">
        <f t="shared" si="2134"/>
        <v>16871.75</v>
      </c>
      <c r="CD428" s="43">
        <f t="shared" si="2134"/>
        <v>112682.08333333333</v>
      </c>
      <c r="CE428" s="43">
        <f t="shared" si="2134"/>
        <v>181432.08333333334</v>
      </c>
      <c r="CF428" s="43">
        <f t="shared" si="2134"/>
        <v>22472</v>
      </c>
      <c r="CG428" s="43">
        <f t="shared" si="2134"/>
        <v>33289.333333333336</v>
      </c>
      <c r="CH428" s="43">
        <f t="shared" si="2134"/>
        <v>0</v>
      </c>
      <c r="CI428" s="43">
        <f t="shared" si="2134"/>
        <v>29.416666666666668</v>
      </c>
      <c r="CJ428" s="43">
        <f t="shared" si="2134"/>
        <v>5.583333333333333</v>
      </c>
      <c r="CK428" s="43">
        <f t="shared" si="2134"/>
        <v>42.833333333333336</v>
      </c>
      <c r="CL428" s="43">
        <v>0</v>
      </c>
      <c r="CM428" s="43">
        <v>0</v>
      </c>
      <c r="CN428" s="43">
        <v>0</v>
      </c>
      <c r="CO428" s="43">
        <v>0</v>
      </c>
      <c r="CP428" s="43">
        <v>0</v>
      </c>
      <c r="CQ428" s="43">
        <v>0</v>
      </c>
      <c r="CR428" s="43"/>
      <c r="CS428" s="43"/>
      <c r="CT428" s="43">
        <f t="shared" ref="CT428:CY428" si="2135">AVERAGE(CT216:CT227)</f>
        <v>1</v>
      </c>
      <c r="CU428" s="43">
        <f t="shared" si="2135"/>
        <v>0</v>
      </c>
      <c r="CV428" s="43">
        <f t="shared" si="2135"/>
        <v>0.14285714285714285</v>
      </c>
      <c r="CW428" s="43">
        <f t="shared" si="2135"/>
        <v>30.5</v>
      </c>
      <c r="CX428" s="43">
        <f t="shared" si="2135"/>
        <v>1313.3333333333333</v>
      </c>
      <c r="CY428" s="43">
        <f t="shared" si="2135"/>
        <v>55.333333333333336</v>
      </c>
      <c r="DB428" s="6"/>
      <c r="DC428" s="6"/>
      <c r="DD428" s="43">
        <f t="shared" si="2093"/>
        <v>469861.58333333337</v>
      </c>
      <c r="DE428" s="43">
        <f>AVERAGE(DE216:DE227)</f>
        <v>216497.41666666666</v>
      </c>
      <c r="DF428" s="43">
        <f>AVERAGE(DF216:DF227)</f>
        <v>686359</v>
      </c>
      <c r="DK428" s="43">
        <f t="shared" ref="DK428:DP428" si="2136">AVERAGE(DK216:DK227)</f>
        <v>62396.416666666664</v>
      </c>
      <c r="DL428" s="43">
        <f t="shared" si="2136"/>
        <v>117221.75</v>
      </c>
      <c r="DM428" s="43">
        <f t="shared" si="2136"/>
        <v>10140.333333333334</v>
      </c>
      <c r="DN428" s="43">
        <f t="shared" si="2136"/>
        <v>27046.25</v>
      </c>
      <c r="DO428" s="43">
        <f t="shared" si="2136"/>
        <v>336927.33333333331</v>
      </c>
      <c r="DP428" s="43">
        <f t="shared" si="2136"/>
        <v>58085</v>
      </c>
      <c r="DQ428" s="43"/>
      <c r="DR428" s="43">
        <f>AVERAGE(DR216:DR227)</f>
        <v>16901.166666666668</v>
      </c>
      <c r="DS428" s="43">
        <f>AVERAGE(DS216:DS227)</f>
        <v>11851.583333333334</v>
      </c>
      <c r="DT428" s="43">
        <f>AVERAGE(DT216:DT227)</f>
        <v>12807.166666666666</v>
      </c>
      <c r="DU428" s="43"/>
      <c r="DV428" s="43"/>
      <c r="DW428" s="43">
        <f>AVERAGE(DW216:DW227)</f>
        <v>653377</v>
      </c>
      <c r="DY428" s="43">
        <f>AVERAGE(DY216:DY227)</f>
        <v>425234.75</v>
      </c>
      <c r="DZ428" s="43">
        <f>AVERAGE(DZ216:DZ227)</f>
        <v>42382.5</v>
      </c>
      <c r="EB428" s="43">
        <f>AVERAGE(EB216:EB227)</f>
        <v>728741.5</v>
      </c>
      <c r="EC428" s="43">
        <f t="shared" si="2095"/>
        <v>216497.41666666666</v>
      </c>
      <c r="ED428" s="43">
        <f t="shared" si="2096"/>
        <v>512244.08333333337</v>
      </c>
      <c r="EF428" s="43">
        <f>AVERAGE(EF216:EF227)</f>
        <v>424720.66666666669</v>
      </c>
      <c r="EG428" s="43">
        <f>AVERAGE(EG216:EG227)</f>
        <v>212584.58333333334</v>
      </c>
      <c r="EH428" s="43">
        <f>AVERAGE(EH216:EH227)</f>
        <v>637305.25</v>
      </c>
      <c r="EJ428" s="6"/>
      <c r="EK428" s="6"/>
    </row>
    <row r="429" spans="2:141">
      <c r="B429" s="44" t="s">
        <v>85</v>
      </c>
      <c r="G429" s="43">
        <f>AVERAGE(G228:G239)</f>
        <v>567.33333333333337</v>
      </c>
      <c r="H429" s="43">
        <f>AVERAGE(H228:H239)</f>
        <v>12579.416666666666</v>
      </c>
      <c r="I429" s="43">
        <f>AVERAGE(I228:I239)</f>
        <v>22220.083333333332</v>
      </c>
      <c r="J429" s="43">
        <f>AVERAGE(J228:J239)</f>
        <v>3614.75</v>
      </c>
      <c r="K429" s="43">
        <f>AVERAGE(K228:K239)</f>
        <v>6684.166666666667</v>
      </c>
      <c r="L429" s="43"/>
      <c r="M429" s="43">
        <f t="shared" ref="M429:T429" si="2137">AVERAGE(M228:M239)</f>
        <v>30100.5</v>
      </c>
      <c r="N429" s="43">
        <f t="shared" si="2137"/>
        <v>2347.3333333333335</v>
      </c>
      <c r="O429" s="43" t="e">
        <f t="shared" si="2137"/>
        <v>#DIV/0!</v>
      </c>
      <c r="P429" s="43">
        <f t="shared" si="2137"/>
        <v>1670.0833333333333</v>
      </c>
      <c r="Q429" s="43">
        <f t="shared" si="2137"/>
        <v>9281.8333333333339</v>
      </c>
      <c r="R429" s="43">
        <f t="shared" si="2137"/>
        <v>468.41666666666669</v>
      </c>
      <c r="S429" s="43">
        <f t="shared" si="2137"/>
        <v>8765.4166666666661</v>
      </c>
      <c r="T429" s="43">
        <f t="shared" si="2137"/>
        <v>10590.166666666666</v>
      </c>
      <c r="U429" s="43"/>
      <c r="V429" s="43"/>
      <c r="W429" s="43">
        <f>AVERAGE(W228:W239)</f>
        <v>582.66666666666663</v>
      </c>
      <c r="X429" s="43">
        <f>AVERAGE(X228:X239)</f>
        <v>7858.583333333333</v>
      </c>
      <c r="Y429" s="43">
        <f>AVERAGE(Y228:Y239)</f>
        <v>365.41666666666669</v>
      </c>
      <c r="Z429" s="43">
        <f>AVERAGE(Z228:Z239)</f>
        <v>7.333333333333333</v>
      </c>
      <c r="AA429" s="161"/>
      <c r="AB429" s="43">
        <f t="shared" ref="AB429:AG429" si="2138">AVERAGE(AB228:AB239)</f>
        <v>6.833333333333333</v>
      </c>
      <c r="AC429" s="43">
        <f t="shared" si="2138"/>
        <v>42.666666666666664</v>
      </c>
      <c r="AD429" s="43">
        <f t="shared" si="2138"/>
        <v>12.75</v>
      </c>
      <c r="AE429" s="43">
        <f t="shared" si="2138"/>
        <v>24.166666666666668</v>
      </c>
      <c r="AF429" s="43">
        <f t="shared" si="2138"/>
        <v>41</v>
      </c>
      <c r="AG429" s="43">
        <f t="shared" si="2138"/>
        <v>55.5</v>
      </c>
      <c r="AH429" s="43"/>
      <c r="AI429" s="43"/>
      <c r="AJ429" s="43">
        <f t="shared" ref="AJ429:AX429" si="2139">AVERAGE(AJ228:AJ239)</f>
        <v>4.083333333333333</v>
      </c>
      <c r="AK429" s="43">
        <f t="shared" si="2139"/>
        <v>8641.9166666666661</v>
      </c>
      <c r="AL429" s="43">
        <f t="shared" si="2139"/>
        <v>94946.833333333328</v>
      </c>
      <c r="AM429" s="43">
        <f t="shared" si="2139"/>
        <v>3210.25</v>
      </c>
      <c r="AN429" s="43">
        <f t="shared" si="2139"/>
        <v>14968.583333333334</v>
      </c>
      <c r="AO429" s="43">
        <f t="shared" si="2139"/>
        <v>40.75</v>
      </c>
      <c r="AP429" s="43">
        <f t="shared" si="2139"/>
        <v>25.916666666666668</v>
      </c>
      <c r="AQ429" s="43">
        <f t="shared" si="2139"/>
        <v>5064.25</v>
      </c>
      <c r="AR429" s="43">
        <f t="shared" si="2139"/>
        <v>0</v>
      </c>
      <c r="AS429" s="43">
        <f t="shared" si="2139"/>
        <v>1908.1666666666667</v>
      </c>
      <c r="AT429" s="43">
        <f t="shared" si="2139"/>
        <v>0.25</v>
      </c>
      <c r="AU429" s="43">
        <f t="shared" si="2139"/>
        <v>3981.0833333333335</v>
      </c>
      <c r="AV429" s="43">
        <f t="shared" si="2139"/>
        <v>2099.3333333333335</v>
      </c>
      <c r="AW429" s="43">
        <f t="shared" si="2139"/>
        <v>3636.25</v>
      </c>
      <c r="AX429" s="43">
        <f t="shared" si="2139"/>
        <v>10131.083333333334</v>
      </c>
      <c r="AY429" s="161"/>
      <c r="AZ429" s="161"/>
      <c r="BA429" s="161">
        <f>AVERAGE(BA228:BA239)</f>
        <v>385.08333333333331</v>
      </c>
      <c r="BB429" s="161"/>
      <c r="BC429" s="43">
        <f>AVERAGE(BC228:BC239)</f>
        <v>408.66666666666669</v>
      </c>
      <c r="BD429" s="43"/>
      <c r="BE429" s="43">
        <f t="shared" ref="BE429:BL429" si="2140">AVERAGE(BE228:BE239)</f>
        <v>0</v>
      </c>
      <c r="BF429" s="43">
        <f t="shared" si="2140"/>
        <v>0</v>
      </c>
      <c r="BG429" s="43">
        <f t="shared" si="2140"/>
        <v>1027.1666666666667</v>
      </c>
      <c r="BH429" s="43">
        <f t="shared" si="2140"/>
        <v>0</v>
      </c>
      <c r="BI429" s="43">
        <f t="shared" si="2140"/>
        <v>0</v>
      </c>
      <c r="BJ429" s="43">
        <f t="shared" si="2140"/>
        <v>8081.416666666667</v>
      </c>
      <c r="BK429" s="43">
        <f t="shared" si="2140"/>
        <v>37.666666666666664</v>
      </c>
      <c r="BL429" s="43">
        <f t="shared" si="2140"/>
        <v>4082.3333333333335</v>
      </c>
      <c r="BM429" s="43"/>
      <c r="BN429" s="43">
        <f t="shared" ref="BN429:BU429" si="2141">AVERAGE(BN228:BN239)</f>
        <v>282.16666666666669</v>
      </c>
      <c r="BO429" s="43">
        <f t="shared" si="2141"/>
        <v>34.333333333333336</v>
      </c>
      <c r="BP429" s="43">
        <f t="shared" si="2141"/>
        <v>11750.666666666666</v>
      </c>
      <c r="BQ429" s="43">
        <f t="shared" si="2141"/>
        <v>51182.5</v>
      </c>
      <c r="BR429" s="43">
        <f t="shared" si="2141"/>
        <v>724.83333333333337</v>
      </c>
      <c r="BS429" s="43">
        <f t="shared" si="2141"/>
        <v>132</v>
      </c>
      <c r="BT429" s="43">
        <f t="shared" si="2141"/>
        <v>5100.75</v>
      </c>
      <c r="BU429" s="43">
        <f t="shared" si="2141"/>
        <v>69</v>
      </c>
      <c r="BV429" s="43"/>
      <c r="BW429" s="43">
        <f>AVERAGE(BW228:BW239)</f>
        <v>1.5833333333333333</v>
      </c>
      <c r="BX429" s="43">
        <f>AVERAGE(BX228:BX239)</f>
        <v>108.91666666666667</v>
      </c>
      <c r="BY429" s="43"/>
      <c r="BZ429" s="43">
        <f t="shared" ref="BZ429:CK429" si="2142">AVERAGE(BZ228:BZ239)</f>
        <v>5.916666666666667</v>
      </c>
      <c r="CA429" s="43">
        <f t="shared" si="2142"/>
        <v>0</v>
      </c>
      <c r="CB429" s="43">
        <f t="shared" si="2142"/>
        <v>19800.5</v>
      </c>
      <c r="CC429" s="43">
        <f t="shared" si="2142"/>
        <v>16862.833333333332</v>
      </c>
      <c r="CD429" s="43">
        <f t="shared" si="2142"/>
        <v>109903.41666666667</v>
      </c>
      <c r="CE429" s="43">
        <f t="shared" si="2142"/>
        <v>175723.91666666666</v>
      </c>
      <c r="CF429" s="43">
        <f t="shared" si="2142"/>
        <v>23253.916666666668</v>
      </c>
      <c r="CG429" s="43">
        <f t="shared" si="2142"/>
        <v>34925.083333333336</v>
      </c>
      <c r="CH429" s="43">
        <f t="shared" si="2142"/>
        <v>0</v>
      </c>
      <c r="CI429" s="43">
        <f t="shared" si="2142"/>
        <v>21.583333333333332</v>
      </c>
      <c r="CJ429" s="43">
        <f t="shared" si="2142"/>
        <v>3.5833333333333335</v>
      </c>
      <c r="CK429" s="43">
        <f t="shared" si="2142"/>
        <v>38.666666666666664</v>
      </c>
      <c r="CL429" s="43">
        <v>0</v>
      </c>
      <c r="CM429" s="43">
        <v>0</v>
      </c>
      <c r="CN429" s="43">
        <v>0</v>
      </c>
      <c r="CO429" s="43">
        <v>0</v>
      </c>
      <c r="CP429" s="43">
        <v>0</v>
      </c>
      <c r="CQ429" s="43">
        <v>0</v>
      </c>
      <c r="CR429" s="43"/>
      <c r="CS429" s="43"/>
      <c r="CT429" s="43">
        <f t="shared" ref="CT429:CY429" si="2143">AVERAGE(CT228:CT239)</f>
        <v>0.66666666666666663</v>
      </c>
      <c r="CU429" s="43">
        <f t="shared" si="2143"/>
        <v>0</v>
      </c>
      <c r="CV429" s="43">
        <f t="shared" si="2143"/>
        <v>0</v>
      </c>
      <c r="CW429" s="43">
        <f t="shared" si="2143"/>
        <v>26.833333333333332</v>
      </c>
      <c r="CX429" s="43">
        <f t="shared" si="2143"/>
        <v>0</v>
      </c>
      <c r="CY429" s="43">
        <f t="shared" si="2143"/>
        <v>60.833333333333336</v>
      </c>
      <c r="DB429" s="6"/>
      <c r="DC429" s="6"/>
      <c r="DD429" s="43">
        <f t="shared" si="2093"/>
        <v>463154.75</v>
      </c>
      <c r="DE429" s="43">
        <f>AVERAGE(DE228:DE239)</f>
        <v>221288.08333333334</v>
      </c>
      <c r="DF429" s="43">
        <f>AVERAGE(DF228:DF239)</f>
        <v>684442.83333333337</v>
      </c>
      <c r="DK429" s="43">
        <f t="shared" ref="DK429:DP429" si="2144">AVERAGE(DK228:DK239)</f>
        <v>61074.833333333336</v>
      </c>
      <c r="DL429" s="43">
        <f t="shared" si="2144"/>
        <v>119762.83333333333</v>
      </c>
      <c r="DM429" s="43">
        <f t="shared" si="2144"/>
        <v>10590.166666666666</v>
      </c>
      <c r="DN429" s="43">
        <f t="shared" si="2144"/>
        <v>30245.333333333332</v>
      </c>
      <c r="DO429" s="43">
        <f t="shared" si="2144"/>
        <v>329729.33333333331</v>
      </c>
      <c r="DP429" s="43">
        <f t="shared" si="2144"/>
        <v>56565.416666666664</v>
      </c>
      <c r="DQ429" s="43"/>
      <c r="DR429" s="43">
        <f>AVERAGE(DR228:DR239)</f>
        <v>16884.416666666668</v>
      </c>
      <c r="DS429" s="43">
        <f>AVERAGE(DS228:DS239)</f>
        <v>11750.666666666666</v>
      </c>
      <c r="DT429" s="43">
        <f>AVERAGE(DT228:DT239)</f>
        <v>13299.833333333334</v>
      </c>
      <c r="DU429" s="43"/>
      <c r="DV429" s="43"/>
      <c r="DW429" s="43">
        <f>AVERAGE(DW228:DW239)</f>
        <v>649902.83333333337</v>
      </c>
      <c r="DY429" s="43">
        <f>AVERAGE(DY228:DY239)</f>
        <v>423052.66666666669</v>
      </c>
      <c r="DZ429" s="43">
        <f>AVERAGE(DZ228:DZ239)</f>
        <v>45665.75</v>
      </c>
      <c r="EB429" s="43">
        <f>AVERAGE(EB228:EB239)</f>
        <v>730108.58333333337</v>
      </c>
      <c r="EC429" s="43">
        <f t="shared" si="2095"/>
        <v>221288.08333333334</v>
      </c>
      <c r="ED429" s="43">
        <f t="shared" si="2096"/>
        <v>508820.5</v>
      </c>
      <c r="EF429" s="43">
        <f>AVERAGE(EF228:EF239)</f>
        <v>416479</v>
      </c>
      <c r="EG429" s="43">
        <f>AVERAGE(EG228:EG239)</f>
        <v>216608.91666666666</v>
      </c>
      <c r="EH429" s="43">
        <f>AVERAGE(EH228:EH239)</f>
        <v>633087.91666666663</v>
      </c>
      <c r="EJ429" s="6"/>
      <c r="EK429" s="6"/>
    </row>
    <row r="430" spans="2:141">
      <c r="B430" s="44" t="s">
        <v>86</v>
      </c>
      <c r="G430" s="43">
        <f>AVERAGE(G240:G251)</f>
        <v>973.58333333333337</v>
      </c>
      <c r="H430" s="43">
        <f>AVERAGE(H240:H251)</f>
        <v>13830.583333333334</v>
      </c>
      <c r="I430" s="43">
        <f>AVERAGE(I240:I251)</f>
        <v>23923.916666666668</v>
      </c>
      <c r="J430" s="43">
        <f>AVERAGE(J240:J251)</f>
        <v>4274.083333333333</v>
      </c>
      <c r="K430" s="43">
        <f>AVERAGE(K240:K251)</f>
        <v>7844.75</v>
      </c>
      <c r="L430" s="43"/>
      <c r="M430" s="43">
        <f t="shared" ref="M430:T430" si="2145">AVERAGE(M240:M251)</f>
        <v>29352.5</v>
      </c>
      <c r="N430" s="43">
        <f t="shared" si="2145"/>
        <v>2178.5833333333335</v>
      </c>
      <c r="O430" s="43" t="e">
        <f t="shared" si="2145"/>
        <v>#DIV/0!</v>
      </c>
      <c r="P430" s="43">
        <f t="shared" si="2145"/>
        <v>1576.9166666666667</v>
      </c>
      <c r="Q430" s="43">
        <f t="shared" si="2145"/>
        <v>9581.8333333333339</v>
      </c>
      <c r="R430" s="43">
        <f t="shared" si="2145"/>
        <v>434.33333333333331</v>
      </c>
      <c r="S430" s="43">
        <f t="shared" si="2145"/>
        <v>8596.5</v>
      </c>
      <c r="T430" s="43">
        <f t="shared" si="2145"/>
        <v>10825.916666666666</v>
      </c>
      <c r="U430" s="43"/>
      <c r="V430" s="43"/>
      <c r="W430" s="43">
        <f>AVERAGE(W240:W251)</f>
        <v>503.25</v>
      </c>
      <c r="X430" s="43">
        <f>AVERAGE(X240:X251)</f>
        <v>7918.333333333333</v>
      </c>
      <c r="Y430" s="43">
        <f>AVERAGE(Y240:Y251)</f>
        <v>343.5</v>
      </c>
      <c r="Z430" s="43">
        <f>AVERAGE(Z240:Z251)</f>
        <v>7.416666666666667</v>
      </c>
      <c r="AA430" s="161"/>
      <c r="AB430" s="43">
        <f t="shared" ref="AB430:AG430" si="2146">AVERAGE(AB240:AB251)</f>
        <v>4.416666666666667</v>
      </c>
      <c r="AC430" s="43">
        <f t="shared" si="2146"/>
        <v>63.333333333333336</v>
      </c>
      <c r="AD430" s="43">
        <f t="shared" si="2146"/>
        <v>15.166666666666666</v>
      </c>
      <c r="AE430" s="43">
        <f t="shared" si="2146"/>
        <v>27.25</v>
      </c>
      <c r="AF430" s="43">
        <f t="shared" si="2146"/>
        <v>40.833333333333336</v>
      </c>
      <c r="AG430" s="43">
        <f t="shared" si="2146"/>
        <v>58.916666666666664</v>
      </c>
      <c r="AH430" s="43"/>
      <c r="AI430" s="43"/>
      <c r="AJ430" s="43">
        <f t="shared" ref="AJ430:AX430" si="2147">AVERAGE(AJ240:AJ251)</f>
        <v>4.833333333333333</v>
      </c>
      <c r="AK430" s="43">
        <f t="shared" si="2147"/>
        <v>8901.1666666666661</v>
      </c>
      <c r="AL430" s="43">
        <f t="shared" si="2147"/>
        <v>97366.583333333328</v>
      </c>
      <c r="AM430" s="43">
        <f t="shared" si="2147"/>
        <v>3118.75</v>
      </c>
      <c r="AN430" s="43">
        <f t="shared" si="2147"/>
        <v>15891.916666666666</v>
      </c>
      <c r="AO430" s="43">
        <f t="shared" si="2147"/>
        <v>32.25</v>
      </c>
      <c r="AP430" s="43">
        <f t="shared" si="2147"/>
        <v>27.5</v>
      </c>
      <c r="AQ430" s="43">
        <f t="shared" si="2147"/>
        <v>5145.166666666667</v>
      </c>
      <c r="AR430" s="43">
        <f t="shared" si="2147"/>
        <v>0</v>
      </c>
      <c r="AS430" s="43">
        <f t="shared" si="2147"/>
        <v>1775.3333333333333</v>
      </c>
      <c r="AT430" s="43">
        <f t="shared" si="2147"/>
        <v>11.333333333333334</v>
      </c>
      <c r="AU430" s="43">
        <f t="shared" si="2147"/>
        <v>4484.75</v>
      </c>
      <c r="AV430" s="43">
        <f t="shared" si="2147"/>
        <v>2183.5</v>
      </c>
      <c r="AW430" s="43">
        <f t="shared" si="2147"/>
        <v>3781.9166666666665</v>
      </c>
      <c r="AX430" s="43">
        <f t="shared" si="2147"/>
        <v>10963.5</v>
      </c>
      <c r="AY430" s="161"/>
      <c r="AZ430" s="161"/>
      <c r="BA430" s="161">
        <f>AVERAGE(BA240:BA251)</f>
        <v>505.16666666666669</v>
      </c>
      <c r="BB430" s="161"/>
      <c r="BC430" s="43">
        <f>AVERAGE(BC240:BC251)</f>
        <v>360</v>
      </c>
      <c r="BD430" s="43"/>
      <c r="BE430" s="43">
        <f t="shared" ref="BE430:BL430" si="2148">AVERAGE(BE240:BE251)</f>
        <v>0</v>
      </c>
      <c r="BF430" s="43">
        <f t="shared" si="2148"/>
        <v>0</v>
      </c>
      <c r="BG430" s="43">
        <f t="shared" si="2148"/>
        <v>988.33333333333337</v>
      </c>
      <c r="BH430" s="43">
        <f t="shared" si="2148"/>
        <v>0</v>
      </c>
      <c r="BI430" s="43">
        <f t="shared" si="2148"/>
        <v>0</v>
      </c>
      <c r="BJ430" s="43">
        <f t="shared" si="2148"/>
        <v>8467.5833333333339</v>
      </c>
      <c r="BK430" s="43">
        <f t="shared" si="2148"/>
        <v>35.5</v>
      </c>
      <c r="BL430" s="43">
        <f t="shared" si="2148"/>
        <v>3745.75</v>
      </c>
      <c r="BM430" s="43"/>
      <c r="BN430" s="43">
        <f t="shared" ref="BN430:BU430" si="2149">AVERAGE(BN240:BN251)</f>
        <v>273.16666666666669</v>
      </c>
      <c r="BO430" s="43">
        <f t="shared" si="2149"/>
        <v>29.666666666666668</v>
      </c>
      <c r="BP430" s="43">
        <f t="shared" si="2149"/>
        <v>9063.75</v>
      </c>
      <c r="BQ430" s="43">
        <f t="shared" si="2149"/>
        <v>54756.5</v>
      </c>
      <c r="BR430" s="43">
        <f t="shared" si="2149"/>
        <v>712.91666666666663</v>
      </c>
      <c r="BS430" s="43">
        <f t="shared" si="2149"/>
        <v>151.83333333333334</v>
      </c>
      <c r="BT430" s="43">
        <f t="shared" si="2149"/>
        <v>4541.333333333333</v>
      </c>
      <c r="BU430" s="43">
        <f t="shared" si="2149"/>
        <v>74.916666666666671</v>
      </c>
      <c r="BV430" s="43"/>
      <c r="BW430" s="43">
        <f>AVERAGE(BW240:BW251)</f>
        <v>3.5833333333333335</v>
      </c>
      <c r="BX430" s="43">
        <f>AVERAGE(BX240:BX251)</f>
        <v>99.5</v>
      </c>
      <c r="BY430" s="43"/>
      <c r="BZ430" s="43">
        <f t="shared" ref="BZ430:CK430" si="2150">AVERAGE(BZ240:BZ251)</f>
        <v>6.25</v>
      </c>
      <c r="CA430" s="43">
        <f t="shared" si="2150"/>
        <v>0</v>
      </c>
      <c r="CB430" s="43">
        <f t="shared" si="2150"/>
        <v>20455.583333333332</v>
      </c>
      <c r="CC430" s="43">
        <f t="shared" si="2150"/>
        <v>16423.333333333332</v>
      </c>
      <c r="CD430" s="43">
        <f t="shared" si="2150"/>
        <v>114450.5</v>
      </c>
      <c r="CE430" s="43">
        <f t="shared" si="2150"/>
        <v>176785.66666666666</v>
      </c>
      <c r="CF430" s="43">
        <f t="shared" si="2150"/>
        <v>22772.916666666668</v>
      </c>
      <c r="CG430" s="43">
        <f t="shared" si="2150"/>
        <v>36123.333333333336</v>
      </c>
      <c r="CH430" s="43">
        <f t="shared" si="2150"/>
        <v>0</v>
      </c>
      <c r="CI430" s="43">
        <f t="shared" si="2150"/>
        <v>19</v>
      </c>
      <c r="CJ430" s="43">
        <f t="shared" si="2150"/>
        <v>3.9166666666666665</v>
      </c>
      <c r="CK430" s="43">
        <f t="shared" si="2150"/>
        <v>24.416666666666668</v>
      </c>
      <c r="CL430" s="43">
        <v>0</v>
      </c>
      <c r="CM430" s="43">
        <v>0</v>
      </c>
      <c r="CN430" s="43">
        <v>0</v>
      </c>
      <c r="CO430" s="43">
        <v>0</v>
      </c>
      <c r="CP430" s="43">
        <v>0</v>
      </c>
      <c r="CQ430" s="43">
        <v>0</v>
      </c>
      <c r="CR430" s="43"/>
      <c r="CS430" s="43"/>
      <c r="CT430" s="43">
        <f t="shared" ref="CT430:CY430" si="2151">AVERAGE(CT240:CT251)</f>
        <v>0</v>
      </c>
      <c r="CU430" s="43">
        <f t="shared" si="2151"/>
        <v>0</v>
      </c>
      <c r="CV430" s="43">
        <f t="shared" si="2151"/>
        <v>0</v>
      </c>
      <c r="CW430" s="43">
        <f t="shared" si="2151"/>
        <v>24.25</v>
      </c>
      <c r="CX430" s="43">
        <f t="shared" si="2151"/>
        <v>0</v>
      </c>
      <c r="CY430" s="43">
        <f t="shared" si="2151"/>
        <v>63.583333333333336</v>
      </c>
      <c r="DB430" s="6"/>
      <c r="DC430" s="6"/>
      <c r="DD430" s="43">
        <f t="shared" si="2093"/>
        <v>470009.25</v>
      </c>
      <c r="DE430" s="43">
        <f>AVERAGE(DE240:DE251)</f>
        <v>225577.5</v>
      </c>
      <c r="DF430" s="43">
        <f>AVERAGE(DF240:DF251)</f>
        <v>695586.75</v>
      </c>
      <c r="DK430" s="43">
        <f t="shared" ref="DK430:DP430" si="2152">AVERAGE(DK240:DK251)</f>
        <v>60142.25</v>
      </c>
      <c r="DL430" s="43">
        <f t="shared" si="2152"/>
        <v>123027.5</v>
      </c>
      <c r="DM430" s="43">
        <f t="shared" si="2152"/>
        <v>10825.916666666666</v>
      </c>
      <c r="DN430" s="43">
        <f t="shared" si="2152"/>
        <v>32087</v>
      </c>
      <c r="DO430" s="43">
        <f t="shared" si="2152"/>
        <v>335507.66666666669</v>
      </c>
      <c r="DP430" s="43">
        <f t="shared" si="2152"/>
        <v>59571</v>
      </c>
      <c r="DQ430" s="43"/>
      <c r="DR430" s="43">
        <f>AVERAGE(DR240:DR251)</f>
        <v>16442.333333333332</v>
      </c>
      <c r="DS430" s="43">
        <f>AVERAGE(DS240:DS251)</f>
        <v>9063.75</v>
      </c>
      <c r="DT430" s="43">
        <f>AVERAGE(DT240:DT251)</f>
        <v>13301.166666666666</v>
      </c>
      <c r="DU430" s="43"/>
      <c r="DV430" s="43"/>
      <c r="DW430" s="43">
        <f>AVERAGE(DW240:DW251)</f>
        <v>659968.58333333337</v>
      </c>
      <c r="DY430" s="43">
        <f>AVERAGE(DY240:DY251)</f>
        <v>434805.5</v>
      </c>
      <c r="DZ430" s="43">
        <f>AVERAGE(DZ240:DZ251)</f>
        <v>50846.916666666664</v>
      </c>
      <c r="EB430" s="43">
        <f>AVERAGE(EB240:EB251)</f>
        <v>746433.66666666663</v>
      </c>
      <c r="EC430" s="43">
        <f t="shared" si="2095"/>
        <v>225577.5</v>
      </c>
      <c r="ED430" s="43">
        <f t="shared" si="2096"/>
        <v>520856.16666666663</v>
      </c>
      <c r="EF430" s="43">
        <f>AVERAGE(EF240:EF251)</f>
        <v>424822.16666666669</v>
      </c>
      <c r="EG430" s="43">
        <f>AVERAGE(EG240:EG251)</f>
        <v>220937.5</v>
      </c>
      <c r="EH430" s="43">
        <f>AVERAGE(EH240:EH251)</f>
        <v>645759.66666666663</v>
      </c>
      <c r="EJ430" s="6"/>
      <c r="EK430" s="6"/>
    </row>
    <row r="431" spans="2:141">
      <c r="B431" s="44" t="s">
        <v>87</v>
      </c>
      <c r="G431" s="43">
        <f>AVERAGE(G252:G263)</f>
        <v>1140</v>
      </c>
      <c r="H431" s="43">
        <f>AVERAGE(H252:H263)</f>
        <v>15152.083333333334</v>
      </c>
      <c r="I431" s="43">
        <f>AVERAGE(I252:I263)</f>
        <v>27417.416666666668</v>
      </c>
      <c r="J431" s="43">
        <f>AVERAGE(J252:J263)</f>
        <v>4924.666666666667</v>
      </c>
      <c r="K431" s="43">
        <f>AVERAGE(K252:K263)</f>
        <v>8919.6666666666661</v>
      </c>
      <c r="L431" s="43"/>
      <c r="M431" s="43">
        <f t="shared" ref="M431:T431" si="2153">AVERAGE(M252:M263)</f>
        <v>28724</v>
      </c>
      <c r="N431" s="43">
        <f t="shared" si="2153"/>
        <v>2079.8333333333335</v>
      </c>
      <c r="O431" s="43" t="e">
        <f t="shared" si="2153"/>
        <v>#DIV/0!</v>
      </c>
      <c r="P431" s="43">
        <f t="shared" si="2153"/>
        <v>1562.5833333333333</v>
      </c>
      <c r="Q431" s="43">
        <f t="shared" si="2153"/>
        <v>10132.083333333334</v>
      </c>
      <c r="R431" s="43">
        <f t="shared" si="2153"/>
        <v>410.08333333333331</v>
      </c>
      <c r="S431" s="43">
        <f t="shared" si="2153"/>
        <v>8678.0833333333339</v>
      </c>
      <c r="T431" s="43">
        <f t="shared" si="2153"/>
        <v>10942</v>
      </c>
      <c r="U431" s="43"/>
      <c r="V431" s="43"/>
      <c r="W431" s="43">
        <f>AVERAGE(W252:W263)</f>
        <v>482.41666666666669</v>
      </c>
      <c r="X431" s="43">
        <f>AVERAGE(X252:X263)</f>
        <v>8006.833333333333</v>
      </c>
      <c r="Y431" s="43">
        <f>AVERAGE(Y252:Y263)</f>
        <v>348.58333333333331</v>
      </c>
      <c r="Z431" s="43">
        <f>AVERAGE(Z252:Z263)</f>
        <v>9.1666666666666661</v>
      </c>
      <c r="AA431" s="161"/>
      <c r="AB431" s="43">
        <f t="shared" ref="AB431:AG431" si="2154">AVERAGE(AB252:AB263)</f>
        <v>5.583333333333333</v>
      </c>
      <c r="AC431" s="43">
        <f t="shared" si="2154"/>
        <v>102.41666666666667</v>
      </c>
      <c r="AD431" s="43">
        <f t="shared" si="2154"/>
        <v>18.916666666666668</v>
      </c>
      <c r="AE431" s="43">
        <f t="shared" si="2154"/>
        <v>29.5</v>
      </c>
      <c r="AF431" s="43">
        <f t="shared" si="2154"/>
        <v>39.583333333333336</v>
      </c>
      <c r="AG431" s="43">
        <f t="shared" si="2154"/>
        <v>65.083333333333329</v>
      </c>
      <c r="AH431" s="43"/>
      <c r="AI431" s="43"/>
      <c r="AJ431" s="43">
        <f t="shared" ref="AJ431:AX431" si="2155">AVERAGE(AJ252:AJ263)</f>
        <v>4.833333333333333</v>
      </c>
      <c r="AK431" s="43">
        <f t="shared" si="2155"/>
        <v>9243.25</v>
      </c>
      <c r="AL431" s="43">
        <f t="shared" si="2155"/>
        <v>99672.333333333328</v>
      </c>
      <c r="AM431" s="43">
        <f t="shared" si="2155"/>
        <v>3059.8333333333335</v>
      </c>
      <c r="AN431" s="43">
        <f t="shared" si="2155"/>
        <v>16835.166666666668</v>
      </c>
      <c r="AO431" s="43">
        <f t="shared" si="2155"/>
        <v>36.166666666666664</v>
      </c>
      <c r="AP431" s="43">
        <f t="shared" si="2155"/>
        <v>30.666666666666668</v>
      </c>
      <c r="AQ431" s="43">
        <f t="shared" si="2155"/>
        <v>5504.083333333333</v>
      </c>
      <c r="AR431" s="43">
        <f t="shared" si="2155"/>
        <v>0</v>
      </c>
      <c r="AS431" s="43">
        <f t="shared" si="2155"/>
        <v>1978.5833333333333</v>
      </c>
      <c r="AT431" s="43">
        <f t="shared" si="2155"/>
        <v>19.75</v>
      </c>
      <c r="AU431" s="43">
        <f t="shared" si="2155"/>
        <v>5002.75</v>
      </c>
      <c r="AV431" s="43">
        <f t="shared" si="2155"/>
        <v>2255.75</v>
      </c>
      <c r="AW431" s="43">
        <f t="shared" si="2155"/>
        <v>3960.8333333333335</v>
      </c>
      <c r="AX431" s="43">
        <f t="shared" si="2155"/>
        <v>11574.25</v>
      </c>
      <c r="AY431" s="161"/>
      <c r="AZ431" s="161"/>
      <c r="BA431" s="161">
        <f>AVERAGE(BA252:BA263)</f>
        <v>553.91666666666663</v>
      </c>
      <c r="BB431" s="161"/>
      <c r="BC431" s="43">
        <f>AVERAGE(BC252:BC263)</f>
        <v>326.91666666666669</v>
      </c>
      <c r="BD431" s="43"/>
      <c r="BE431" s="43">
        <f t="shared" ref="BE431:BL431" si="2156">AVERAGE(BE252:BE263)</f>
        <v>0</v>
      </c>
      <c r="BF431" s="43">
        <f t="shared" si="2156"/>
        <v>0</v>
      </c>
      <c r="BG431" s="43">
        <f t="shared" si="2156"/>
        <v>1040.3333333333333</v>
      </c>
      <c r="BH431" s="43">
        <f t="shared" si="2156"/>
        <v>0</v>
      </c>
      <c r="BI431" s="43">
        <f t="shared" si="2156"/>
        <v>0</v>
      </c>
      <c r="BJ431" s="43">
        <f t="shared" si="2156"/>
        <v>8313.9166666666661</v>
      </c>
      <c r="BK431" s="43">
        <f t="shared" si="2156"/>
        <v>26.833333333333332</v>
      </c>
      <c r="BL431" s="43">
        <f t="shared" si="2156"/>
        <v>3309.3333333333335</v>
      </c>
      <c r="BM431" s="43"/>
      <c r="BN431" s="43">
        <f t="shared" ref="BN431:BU431" si="2157">AVERAGE(BN252:BN263)</f>
        <v>398.5</v>
      </c>
      <c r="BO431" s="43">
        <f t="shared" si="2157"/>
        <v>30.166666666666668</v>
      </c>
      <c r="BP431" s="43">
        <f t="shared" si="2157"/>
        <v>4615.666666666667</v>
      </c>
      <c r="BQ431" s="43">
        <f t="shared" si="2157"/>
        <v>61473.333333333336</v>
      </c>
      <c r="BR431" s="43">
        <f t="shared" si="2157"/>
        <v>579.75</v>
      </c>
      <c r="BS431" s="43">
        <f t="shared" si="2157"/>
        <v>173.83333333333334</v>
      </c>
      <c r="BT431" s="43">
        <f t="shared" si="2157"/>
        <v>5009.583333333333</v>
      </c>
      <c r="BU431" s="43">
        <f t="shared" si="2157"/>
        <v>63.833333333333336</v>
      </c>
      <c r="BV431" s="43"/>
      <c r="BW431" s="43">
        <f>AVERAGE(BW252:BW263)</f>
        <v>5.75</v>
      </c>
      <c r="BX431" s="43">
        <f>AVERAGE(BX252:BX263)</f>
        <v>131.75</v>
      </c>
      <c r="BY431" s="43"/>
      <c r="BZ431" s="43">
        <f t="shared" ref="BZ431:CK431" si="2158">AVERAGE(BZ252:BZ263)</f>
        <v>2.6666666666666665</v>
      </c>
      <c r="CA431" s="43">
        <f t="shared" si="2158"/>
        <v>0</v>
      </c>
      <c r="CB431" s="43">
        <f t="shared" si="2158"/>
        <v>20896.5</v>
      </c>
      <c r="CC431" s="43">
        <f t="shared" si="2158"/>
        <v>16098.25</v>
      </c>
      <c r="CD431" s="43">
        <f t="shared" si="2158"/>
        <v>125284</v>
      </c>
      <c r="CE431" s="43">
        <f t="shared" si="2158"/>
        <v>191157.75</v>
      </c>
      <c r="CF431" s="43">
        <f t="shared" si="2158"/>
        <v>23926.75</v>
      </c>
      <c r="CG431" s="43">
        <f t="shared" si="2158"/>
        <v>38122</v>
      </c>
      <c r="CH431" s="43">
        <f t="shared" si="2158"/>
        <v>0</v>
      </c>
      <c r="CI431" s="43">
        <f t="shared" si="2158"/>
        <v>11.666666666666666</v>
      </c>
      <c r="CJ431" s="43">
        <f t="shared" si="2158"/>
        <v>5.75</v>
      </c>
      <c r="CK431" s="43">
        <f t="shared" si="2158"/>
        <v>24.166666666666668</v>
      </c>
      <c r="CL431" s="43">
        <v>0</v>
      </c>
      <c r="CM431" s="43">
        <v>0</v>
      </c>
      <c r="CN431" s="43">
        <v>0</v>
      </c>
      <c r="CO431" s="43">
        <v>0</v>
      </c>
      <c r="CP431" s="43">
        <v>0</v>
      </c>
      <c r="CQ431" s="43">
        <v>0</v>
      </c>
      <c r="CR431" s="43"/>
      <c r="CS431" s="43"/>
      <c r="CT431" s="43">
        <f t="shared" ref="CT431:CY431" si="2159">AVERAGE(CT252:CT263)</f>
        <v>0</v>
      </c>
      <c r="CU431" s="43">
        <f t="shared" si="2159"/>
        <v>0</v>
      </c>
      <c r="CV431" s="43">
        <f t="shared" si="2159"/>
        <v>0</v>
      </c>
      <c r="CW431" s="43">
        <f t="shared" si="2159"/>
        <v>22.583333333333332</v>
      </c>
      <c r="CX431" s="43">
        <f t="shared" si="2159"/>
        <v>0</v>
      </c>
      <c r="CY431" s="43">
        <f t="shared" si="2159"/>
        <v>58.75</v>
      </c>
      <c r="DB431" s="6"/>
      <c r="DC431" s="6"/>
      <c r="DD431" s="43">
        <f t="shared" si="2093"/>
        <v>500702.08333333337</v>
      </c>
      <c r="DE431" s="43">
        <f>AVERAGE(DE252:DE263)</f>
        <v>231141.91666666666</v>
      </c>
      <c r="DF431" s="43">
        <f>AVERAGE(DF252:DF263)</f>
        <v>731844</v>
      </c>
      <c r="DK431" s="43">
        <f t="shared" ref="DK431:DP431" si="2160">AVERAGE(DK252:DK263)</f>
        <v>60075.916666666664</v>
      </c>
      <c r="DL431" s="43">
        <f t="shared" si="2160"/>
        <v>126668.66666666667</v>
      </c>
      <c r="DM431" s="43">
        <f t="shared" si="2160"/>
        <v>10942</v>
      </c>
      <c r="DN431" s="43">
        <f t="shared" si="2160"/>
        <v>34009.25</v>
      </c>
      <c r="DO431" s="43">
        <f t="shared" si="2160"/>
        <v>362177.75</v>
      </c>
      <c r="DP431" s="43">
        <f t="shared" si="2160"/>
        <v>66881.416666666672</v>
      </c>
      <c r="DQ431" s="43"/>
      <c r="DR431" s="43">
        <f>AVERAGE(DR252:DR263)</f>
        <v>16109.916666666666</v>
      </c>
      <c r="DS431" s="43">
        <f>AVERAGE(DS252:DS263)</f>
        <v>4615.666666666667</v>
      </c>
      <c r="DT431" s="43">
        <f>AVERAGE(DT252:DT263)</f>
        <v>12795.333333333334</v>
      </c>
      <c r="DU431" s="43"/>
      <c r="DV431" s="43"/>
      <c r="DW431" s="43">
        <f>AVERAGE(DW252:DW263)</f>
        <v>694275.91666666663</v>
      </c>
      <c r="DY431" s="43">
        <f>AVERAGE(DY252:DY263)</f>
        <v>469508.91666666669</v>
      </c>
      <c r="DZ431" s="43">
        <f>AVERAGE(DZ252:DZ263)</f>
        <v>57553.833333333336</v>
      </c>
      <c r="EB431" s="43">
        <f>AVERAGE(EB252:EB263)</f>
        <v>789397.83333333337</v>
      </c>
      <c r="EC431" s="43">
        <f t="shared" si="2095"/>
        <v>231141.91666666666</v>
      </c>
      <c r="ED431" s="43">
        <f t="shared" si="2096"/>
        <v>558255.91666666674</v>
      </c>
      <c r="EF431" s="43">
        <f>AVERAGE(EF252:EF263)</f>
        <v>457964.41666666669</v>
      </c>
      <c r="EG431" s="43">
        <f>AVERAGE(EG252:EG263)</f>
        <v>226191.75</v>
      </c>
      <c r="EH431" s="43">
        <f>AVERAGE(EH252:EH263)</f>
        <v>684156.16666666663</v>
      </c>
      <c r="EJ431" s="6"/>
      <c r="EK431" s="6"/>
    </row>
    <row r="432" spans="2:141">
      <c r="B432" s="44" t="s">
        <v>89</v>
      </c>
      <c r="G432" s="43">
        <f>AVERAGE(G264:G275)</f>
        <v>1174.75</v>
      </c>
      <c r="H432" s="43">
        <f>AVERAGE(H264:H275)</f>
        <v>14232.833333333334</v>
      </c>
      <c r="I432" s="43">
        <f>AVERAGE(I264:I275)</f>
        <v>27696</v>
      </c>
      <c r="J432" s="43">
        <f>AVERAGE(J264:J275)</f>
        <v>4646.833333333333</v>
      </c>
      <c r="K432" s="43">
        <f>AVERAGE(K264:K275)</f>
        <v>8908.9166666666661</v>
      </c>
      <c r="L432" s="43"/>
      <c r="M432" s="43">
        <f t="shared" ref="M432:T432" si="2161">AVERAGE(M264:M275)</f>
        <v>27913.833333333332</v>
      </c>
      <c r="N432" s="43">
        <f t="shared" si="2161"/>
        <v>1990.25</v>
      </c>
      <c r="O432" s="43" t="e">
        <f t="shared" si="2161"/>
        <v>#DIV/0!</v>
      </c>
      <c r="P432" s="43">
        <f t="shared" si="2161"/>
        <v>1564.3333333333333</v>
      </c>
      <c r="Q432" s="43">
        <f t="shared" si="2161"/>
        <v>10863</v>
      </c>
      <c r="R432" s="43">
        <f t="shared" si="2161"/>
        <v>382.33333333333331</v>
      </c>
      <c r="S432" s="43">
        <f t="shared" si="2161"/>
        <v>8642.75</v>
      </c>
      <c r="T432" s="43">
        <f t="shared" si="2161"/>
        <v>10988.166666666666</v>
      </c>
      <c r="U432" s="43"/>
      <c r="V432" s="43"/>
      <c r="W432" s="43">
        <f>AVERAGE(W264:W275)</f>
        <v>478</v>
      </c>
      <c r="X432" s="43">
        <f>AVERAGE(X264:X275)</f>
        <v>7772.916666666667</v>
      </c>
      <c r="Y432" s="43">
        <f>AVERAGE(Y264:Y275)</f>
        <v>338.83333333333331</v>
      </c>
      <c r="Z432" s="43">
        <f>AVERAGE(Z264:Z275)</f>
        <v>6.583333333333333</v>
      </c>
      <c r="AA432" s="161"/>
      <c r="AB432" s="43">
        <f t="shared" ref="AB432:AG432" si="2162">AVERAGE(AB264:AB275)</f>
        <v>3.75</v>
      </c>
      <c r="AC432" s="43">
        <f t="shared" si="2162"/>
        <v>133.75</v>
      </c>
      <c r="AD432" s="43">
        <f t="shared" si="2162"/>
        <v>21.833333333333332</v>
      </c>
      <c r="AE432" s="43">
        <f t="shared" si="2162"/>
        <v>28.666666666666668</v>
      </c>
      <c r="AF432" s="43">
        <f t="shared" si="2162"/>
        <v>37.583333333333336</v>
      </c>
      <c r="AG432" s="43">
        <f t="shared" si="2162"/>
        <v>86.916666666666671</v>
      </c>
      <c r="AH432" s="43"/>
      <c r="AI432" s="43"/>
      <c r="AJ432" s="43">
        <f t="shared" ref="AJ432:AX432" si="2163">AVERAGE(AJ264:AJ275)</f>
        <v>5.333333333333333</v>
      </c>
      <c r="AK432" s="43">
        <f t="shared" si="2163"/>
        <v>9535.6666666666661</v>
      </c>
      <c r="AL432" s="43">
        <f t="shared" si="2163"/>
        <v>103020.16666666667</v>
      </c>
      <c r="AM432" s="43">
        <f t="shared" si="2163"/>
        <v>3070.25</v>
      </c>
      <c r="AN432" s="43">
        <f t="shared" si="2163"/>
        <v>17907</v>
      </c>
      <c r="AO432" s="43">
        <f t="shared" si="2163"/>
        <v>25.25</v>
      </c>
      <c r="AP432" s="43">
        <f t="shared" si="2163"/>
        <v>5.666666666666667</v>
      </c>
      <c r="AQ432" s="43">
        <f t="shared" si="2163"/>
        <v>6595.166666666667</v>
      </c>
      <c r="AR432" s="43">
        <f t="shared" si="2163"/>
        <v>0</v>
      </c>
      <c r="AS432" s="43">
        <f t="shared" si="2163"/>
        <v>2485.25</v>
      </c>
      <c r="AT432" s="43">
        <f t="shared" si="2163"/>
        <v>23.833333333333332</v>
      </c>
      <c r="AU432" s="43">
        <f t="shared" si="2163"/>
        <v>5589.916666666667</v>
      </c>
      <c r="AV432" s="43">
        <f t="shared" si="2163"/>
        <v>2322.1666666666665</v>
      </c>
      <c r="AW432" s="43">
        <f t="shared" si="2163"/>
        <v>4176.333333333333</v>
      </c>
      <c r="AX432" s="43">
        <f t="shared" si="2163"/>
        <v>12689.083333333334</v>
      </c>
      <c r="AY432" s="161"/>
      <c r="AZ432" s="161"/>
      <c r="BA432" s="161">
        <f>AVERAGE(BA264:BA275)</f>
        <v>651.33333333333337</v>
      </c>
      <c r="BB432" s="161"/>
      <c r="BC432" s="43">
        <f>AVERAGE(BC264:BC275)</f>
        <v>340.75</v>
      </c>
      <c r="BD432" s="43"/>
      <c r="BE432" s="43">
        <f t="shared" ref="BE432:BL432" si="2164">AVERAGE(BE264:BE275)</f>
        <v>0</v>
      </c>
      <c r="BF432" s="43">
        <f t="shared" si="2164"/>
        <v>0</v>
      </c>
      <c r="BG432" s="43">
        <f t="shared" si="2164"/>
        <v>1134.9166666666667</v>
      </c>
      <c r="BH432" s="43">
        <f t="shared" si="2164"/>
        <v>0</v>
      </c>
      <c r="BI432" s="43">
        <f t="shared" si="2164"/>
        <v>0</v>
      </c>
      <c r="BJ432" s="43">
        <f t="shared" si="2164"/>
        <v>8078.166666666667</v>
      </c>
      <c r="BK432" s="43">
        <f t="shared" si="2164"/>
        <v>32.666666666666664</v>
      </c>
      <c r="BL432" s="43">
        <f t="shared" si="2164"/>
        <v>2961.1666666666665</v>
      </c>
      <c r="BM432" s="43"/>
      <c r="BN432" s="43">
        <f t="shared" ref="BN432:BU432" si="2165">AVERAGE(BN264:BN275)</f>
        <v>501.5</v>
      </c>
      <c r="BO432" s="43">
        <f t="shared" si="2165"/>
        <v>42.416666666666664</v>
      </c>
      <c r="BP432" s="43">
        <f t="shared" si="2165"/>
        <v>4554.833333333333</v>
      </c>
      <c r="BQ432" s="43">
        <f t="shared" si="2165"/>
        <v>70372.916666666672</v>
      </c>
      <c r="BR432" s="43">
        <f t="shared" si="2165"/>
        <v>487.66666666666669</v>
      </c>
      <c r="BS432" s="43">
        <f t="shared" si="2165"/>
        <v>163.41666666666666</v>
      </c>
      <c r="BT432" s="43">
        <f t="shared" si="2165"/>
        <v>6640.916666666667</v>
      </c>
      <c r="BU432" s="43">
        <f t="shared" si="2165"/>
        <v>79.5</v>
      </c>
      <c r="BV432" s="43"/>
      <c r="BW432" s="43">
        <f>AVERAGE(BW264:BW275)</f>
        <v>5.833333333333333</v>
      </c>
      <c r="BX432" s="43">
        <f>AVERAGE(BX264:BX275)</f>
        <v>112.16666666666667</v>
      </c>
      <c r="BY432" s="43"/>
      <c r="BZ432" s="43">
        <f t="shared" ref="BZ432:CK432" si="2166">AVERAGE(BZ264:BZ275)</f>
        <v>3.5</v>
      </c>
      <c r="CA432" s="43">
        <f t="shared" si="2166"/>
        <v>0</v>
      </c>
      <c r="CB432" s="43">
        <f t="shared" si="2166"/>
        <v>22879.25</v>
      </c>
      <c r="CC432" s="43">
        <f t="shared" si="2166"/>
        <v>15055.75</v>
      </c>
      <c r="CD432" s="43">
        <f t="shared" si="2166"/>
        <v>144792.5</v>
      </c>
      <c r="CE432" s="43">
        <f t="shared" si="2166"/>
        <v>221254.5</v>
      </c>
      <c r="CF432" s="43">
        <f t="shared" si="2166"/>
        <v>24861.666666666668</v>
      </c>
      <c r="CG432" s="43">
        <f t="shared" si="2166"/>
        <v>43267.583333333336</v>
      </c>
      <c r="CH432" s="43">
        <f t="shared" si="2166"/>
        <v>0</v>
      </c>
      <c r="CI432" s="43">
        <f t="shared" si="2166"/>
        <v>0.33333333333333331</v>
      </c>
      <c r="CJ432" s="43">
        <f t="shared" si="2166"/>
        <v>6.583333333333333</v>
      </c>
      <c r="CK432" s="43">
        <f t="shared" si="2166"/>
        <v>26.083333333333332</v>
      </c>
      <c r="CL432" s="43">
        <v>0</v>
      </c>
      <c r="CM432" s="43">
        <v>0</v>
      </c>
      <c r="CN432" s="43">
        <v>0</v>
      </c>
      <c r="CO432" s="43">
        <v>0</v>
      </c>
      <c r="CP432" s="43">
        <v>0</v>
      </c>
      <c r="CQ432" s="43">
        <v>0</v>
      </c>
      <c r="CR432" s="43"/>
      <c r="CS432" s="43"/>
      <c r="CT432" s="43">
        <f t="shared" ref="CT432:CY432" si="2167">AVERAGE(CT264:CT275)</f>
        <v>0</v>
      </c>
      <c r="CU432" s="43">
        <f t="shared" si="2167"/>
        <v>0</v>
      </c>
      <c r="CV432" s="43">
        <f t="shared" si="2167"/>
        <v>0</v>
      </c>
      <c r="CW432" s="43">
        <f t="shared" si="2167"/>
        <v>22</v>
      </c>
      <c r="CX432" s="43">
        <f t="shared" si="2167"/>
        <v>0</v>
      </c>
      <c r="CY432" s="43">
        <f t="shared" si="2167"/>
        <v>54.75</v>
      </c>
      <c r="DB432" s="6"/>
      <c r="DC432" s="6"/>
      <c r="DD432" s="43">
        <f t="shared" si="2093"/>
        <v>567315.83333333326</v>
      </c>
      <c r="DE432" s="43">
        <f>AVERAGE(DE264:DE275)</f>
        <v>239045.33333333334</v>
      </c>
      <c r="DF432" s="43">
        <f>AVERAGE(DF264:DF275)</f>
        <v>806361.16666666663</v>
      </c>
      <c r="DK432" s="43">
        <f t="shared" ref="DK432:DP432" si="2168">AVERAGE(DK264:DK275)</f>
        <v>59607.416666666664</v>
      </c>
      <c r="DL432" s="43">
        <f t="shared" si="2168"/>
        <v>131817.25</v>
      </c>
      <c r="DM432" s="43">
        <f t="shared" si="2168"/>
        <v>10988.166666666666</v>
      </c>
      <c r="DN432" s="43">
        <f t="shared" si="2168"/>
        <v>37283.833333333336</v>
      </c>
      <c r="DO432" s="43">
        <f t="shared" si="2168"/>
        <v>414635.58333333331</v>
      </c>
      <c r="DP432" s="43">
        <f t="shared" si="2168"/>
        <v>77515.333333333328</v>
      </c>
      <c r="DQ432" s="43"/>
      <c r="DR432" s="43">
        <f>AVERAGE(DR264:DR275)</f>
        <v>15056.083333333334</v>
      </c>
      <c r="DS432" s="43">
        <f>AVERAGE(DS264:DS275)</f>
        <v>4554.833333333333</v>
      </c>
      <c r="DT432" s="43">
        <f>AVERAGE(DT264:DT275)</f>
        <v>12286.416666666666</v>
      </c>
      <c r="DU432" s="43"/>
      <c r="DV432" s="43"/>
      <c r="DW432" s="43">
        <f>AVERAGE(DW264:DW275)</f>
        <v>763744.91666666663</v>
      </c>
      <c r="DY432" s="43">
        <f>AVERAGE(DY264:DY275)</f>
        <v>525674.16666666663</v>
      </c>
      <c r="DZ432" s="43">
        <f>AVERAGE(DZ264:DZ275)</f>
        <v>56659.333333333336</v>
      </c>
      <c r="EB432" s="43">
        <f>AVERAGE(EB264:EB275)</f>
        <v>863020.5</v>
      </c>
      <c r="EC432" s="43">
        <f t="shared" si="2095"/>
        <v>239045.33333333334</v>
      </c>
      <c r="ED432" s="43">
        <f t="shared" si="2096"/>
        <v>623975.16666666663</v>
      </c>
      <c r="EF432" s="43">
        <f>AVERAGE(EF264:EF275)</f>
        <v>519493.41666666669</v>
      </c>
      <c r="EG432" s="43">
        <f>AVERAGE(EG264:EG275)</f>
        <v>233101.5</v>
      </c>
      <c r="EH432" s="43">
        <f>AVERAGE(EH264:EH275)</f>
        <v>752594.91666666663</v>
      </c>
      <c r="EJ432" s="6"/>
      <c r="EK432" s="6"/>
    </row>
    <row r="433" spans="2:141">
      <c r="B433" s="44" t="s">
        <v>93</v>
      </c>
      <c r="E433" s="45"/>
      <c r="F433" s="45"/>
      <c r="G433" s="43">
        <f>AVERAGE(G276:G287)</f>
        <v>1251.0833333333333</v>
      </c>
      <c r="H433" s="43">
        <f>AVERAGE(H276:H287)</f>
        <v>15307</v>
      </c>
      <c r="I433" s="43">
        <f>AVERAGE(I276:I287)</f>
        <v>28719.083333333332</v>
      </c>
      <c r="J433" s="43">
        <f>AVERAGE(J276:J287)</f>
        <v>4646.75</v>
      </c>
      <c r="K433" s="43">
        <f>AVERAGE(K276:K287)</f>
        <v>8481.1666666666661</v>
      </c>
      <c r="L433" s="43"/>
      <c r="M433" s="43">
        <f t="shared" ref="M433:T433" si="2169">AVERAGE(M276:M287)</f>
        <v>26969.583333333332</v>
      </c>
      <c r="N433" s="43">
        <f t="shared" si="2169"/>
        <v>1823.9166666666667</v>
      </c>
      <c r="O433" s="43" t="e">
        <f t="shared" si="2169"/>
        <v>#DIV/0!</v>
      </c>
      <c r="P433" s="43">
        <f t="shared" si="2169"/>
        <v>1623.3333333333333</v>
      </c>
      <c r="Q433" s="43">
        <f t="shared" si="2169"/>
        <v>11474.833333333334</v>
      </c>
      <c r="R433" s="43">
        <f t="shared" si="2169"/>
        <v>347.83333333333331</v>
      </c>
      <c r="S433" s="43">
        <f t="shared" si="2169"/>
        <v>8543.5833333333339</v>
      </c>
      <c r="T433" s="43">
        <f t="shared" si="2169"/>
        <v>11146.833333333334</v>
      </c>
      <c r="U433" s="43"/>
      <c r="V433" s="43"/>
      <c r="W433" s="43">
        <f>AVERAGE(W276:W287)</f>
        <v>476</v>
      </c>
      <c r="X433" s="43">
        <f>AVERAGE(X276:X287)</f>
        <v>7906.833333333333</v>
      </c>
      <c r="Y433" s="43">
        <f>AVERAGE(Y276:Y287)</f>
        <v>334.66666666666669</v>
      </c>
      <c r="Z433" s="43">
        <f>AVERAGE(Z276:Z287)</f>
        <v>6.416666666666667</v>
      </c>
      <c r="AA433" s="161"/>
      <c r="AB433" s="43">
        <f t="shared" ref="AB433:AG433" si="2170">AVERAGE(AB276:AB287)</f>
        <v>4.833333333333333</v>
      </c>
      <c r="AC433" s="43">
        <f t="shared" si="2170"/>
        <v>178.16666666666666</v>
      </c>
      <c r="AD433" s="43">
        <f t="shared" si="2170"/>
        <v>27.083333333333332</v>
      </c>
      <c r="AE433" s="43">
        <f t="shared" si="2170"/>
        <v>31.916666666666668</v>
      </c>
      <c r="AF433" s="43">
        <f t="shared" si="2170"/>
        <v>39.25</v>
      </c>
      <c r="AG433" s="43">
        <f t="shared" si="2170"/>
        <v>86.166666666666671</v>
      </c>
      <c r="AH433" s="43"/>
      <c r="AI433" s="43"/>
      <c r="AJ433" s="43">
        <f t="shared" ref="AJ433:AX433" si="2171">AVERAGE(AJ276:AJ287)</f>
        <v>7.666666666666667</v>
      </c>
      <c r="AK433" s="43">
        <f t="shared" si="2171"/>
        <v>10260.75</v>
      </c>
      <c r="AL433" s="43">
        <f t="shared" si="2171"/>
        <v>107150.91666666667</v>
      </c>
      <c r="AM433" s="43">
        <f t="shared" si="2171"/>
        <v>3111.5</v>
      </c>
      <c r="AN433" s="43">
        <f t="shared" si="2171"/>
        <v>19223.416666666668</v>
      </c>
      <c r="AO433" s="43">
        <f t="shared" si="2171"/>
        <v>27.583333333333332</v>
      </c>
      <c r="AP433" s="43">
        <f t="shared" si="2171"/>
        <v>3.1666666666666665</v>
      </c>
      <c r="AQ433" s="43">
        <f t="shared" si="2171"/>
        <v>7762.833333333333</v>
      </c>
      <c r="AR433" s="43">
        <f t="shared" si="2171"/>
        <v>0</v>
      </c>
      <c r="AS433" s="43">
        <f t="shared" si="2171"/>
        <v>2822.4166666666665</v>
      </c>
      <c r="AT433" s="43">
        <f t="shared" si="2171"/>
        <v>32.833333333333336</v>
      </c>
      <c r="AU433" s="43">
        <f t="shared" si="2171"/>
        <v>6157.083333333333</v>
      </c>
      <c r="AV433" s="43">
        <f t="shared" si="2171"/>
        <v>2339.5</v>
      </c>
      <c r="AW433" s="43">
        <f t="shared" si="2171"/>
        <v>4395.166666666667</v>
      </c>
      <c r="AX433" s="43">
        <f t="shared" si="2171"/>
        <v>13919.416666666666</v>
      </c>
      <c r="AY433" s="161"/>
      <c r="AZ433" s="161"/>
      <c r="BA433" s="161">
        <f>AVERAGE(BA276:BA287)</f>
        <v>719.08333333333337</v>
      </c>
      <c r="BB433" s="161"/>
      <c r="BC433" s="43">
        <f>AVERAGE(BC276:BC287)</f>
        <v>338.91666666666669</v>
      </c>
      <c r="BD433" s="43"/>
      <c r="BE433" s="43">
        <f t="shared" ref="BE433:BL433" si="2172">AVERAGE(BE276:BE287)</f>
        <v>0</v>
      </c>
      <c r="BF433" s="43">
        <f t="shared" si="2172"/>
        <v>0</v>
      </c>
      <c r="BG433" s="43">
        <f t="shared" si="2172"/>
        <v>1195.5833333333333</v>
      </c>
      <c r="BH433" s="43">
        <f t="shared" si="2172"/>
        <v>0</v>
      </c>
      <c r="BI433" s="43">
        <f t="shared" si="2172"/>
        <v>0</v>
      </c>
      <c r="BJ433" s="43">
        <f t="shared" si="2172"/>
        <v>8130.916666666667</v>
      </c>
      <c r="BK433" s="43">
        <f t="shared" si="2172"/>
        <v>22.75</v>
      </c>
      <c r="BL433" s="43">
        <f t="shared" si="2172"/>
        <v>2777.8333333333335</v>
      </c>
      <c r="BM433" s="43"/>
      <c r="BN433" s="43">
        <f t="shared" ref="BN433:BU433" si="2173">AVERAGE(BN276:BN287)</f>
        <v>455.25</v>
      </c>
      <c r="BO433" s="43">
        <f t="shared" si="2173"/>
        <v>51.416666666666664</v>
      </c>
      <c r="BP433" s="43">
        <f t="shared" si="2173"/>
        <v>6120.75</v>
      </c>
      <c r="BQ433" s="43">
        <f t="shared" si="2173"/>
        <v>76390</v>
      </c>
      <c r="BR433" s="43">
        <f t="shared" si="2173"/>
        <v>483.83333333333331</v>
      </c>
      <c r="BS433" s="43">
        <f t="shared" si="2173"/>
        <v>136.41666666666666</v>
      </c>
      <c r="BT433" s="43">
        <f t="shared" si="2173"/>
        <v>7206.583333333333</v>
      </c>
      <c r="BU433" s="43">
        <f t="shared" si="2173"/>
        <v>84.666666666666671</v>
      </c>
      <c r="BV433" s="43"/>
      <c r="BW433" s="43">
        <f>AVERAGE(BW276:BW287)</f>
        <v>0</v>
      </c>
      <c r="BX433" s="43">
        <f>AVERAGE(BX276:BX287)</f>
        <v>51.333333333333336</v>
      </c>
      <c r="BY433" s="43"/>
      <c r="BZ433" s="43">
        <f t="shared" ref="BZ433:CK433" si="2174">AVERAGE(BZ276:BZ287)</f>
        <v>4.333333333333333</v>
      </c>
      <c r="CA433" s="43">
        <f t="shared" si="2174"/>
        <v>0</v>
      </c>
      <c r="CB433" s="43">
        <f t="shared" si="2174"/>
        <v>23894.916666666668</v>
      </c>
      <c r="CC433" s="43">
        <f t="shared" si="2174"/>
        <v>14526.416666666666</v>
      </c>
      <c r="CD433" s="43">
        <f t="shared" si="2174"/>
        <v>151497.58333333334</v>
      </c>
      <c r="CE433" s="43">
        <f t="shared" si="2174"/>
        <v>237145.75</v>
      </c>
      <c r="CF433" s="43">
        <f t="shared" si="2174"/>
        <v>24687.833333333332</v>
      </c>
      <c r="CG433" s="43">
        <f t="shared" si="2174"/>
        <v>46436.416666666664</v>
      </c>
      <c r="CH433" s="43">
        <f t="shared" si="2174"/>
        <v>0</v>
      </c>
      <c r="CI433" s="43">
        <f t="shared" si="2174"/>
        <v>0.58333333333333337</v>
      </c>
      <c r="CJ433" s="43">
        <f t="shared" si="2174"/>
        <v>5.5</v>
      </c>
      <c r="CK433" s="43">
        <f t="shared" si="2174"/>
        <v>22.166666666666668</v>
      </c>
      <c r="CL433" s="43">
        <v>0</v>
      </c>
      <c r="CM433" s="43">
        <v>0</v>
      </c>
      <c r="CN433" s="43">
        <v>0</v>
      </c>
      <c r="CO433" s="43">
        <v>0</v>
      </c>
      <c r="CP433" s="43">
        <v>0</v>
      </c>
      <c r="CQ433" s="43">
        <v>0</v>
      </c>
      <c r="CR433" s="43"/>
      <c r="CS433" s="43"/>
      <c r="CT433" s="43">
        <f t="shared" ref="CT433:CY433" si="2175">AVERAGE(CT276:CT287)</f>
        <v>0</v>
      </c>
      <c r="CU433" s="43">
        <f t="shared" si="2175"/>
        <v>0</v>
      </c>
      <c r="CV433" s="43">
        <f t="shared" si="2175"/>
        <v>0</v>
      </c>
      <c r="CW433" s="43">
        <f t="shared" si="2175"/>
        <v>20.75</v>
      </c>
      <c r="CX433" s="43">
        <f t="shared" si="2175"/>
        <v>0</v>
      </c>
      <c r="CY433" s="43">
        <f t="shared" si="2175"/>
        <v>44.5</v>
      </c>
      <c r="DB433" s="6"/>
      <c r="DC433" s="6"/>
      <c r="DD433" s="43">
        <f t="shared" si="2093"/>
        <v>601328.83333333337</v>
      </c>
      <c r="DE433" s="43">
        <f>AVERAGE(DE276:DE287)</f>
        <v>248574.41666666666</v>
      </c>
      <c r="DF433" s="43">
        <f>AVERAGE(DF276:DF287)</f>
        <v>849903.25</v>
      </c>
      <c r="DI433" s="6">
        <f>DK433+DM433</f>
        <v>70312.75</v>
      </c>
      <c r="DJ433" s="6">
        <f>DL433+DN433</f>
        <v>178980.75</v>
      </c>
      <c r="DK433" s="43">
        <f t="shared" ref="DK433:DP433" si="2176">AVERAGE(DK276:DK287)</f>
        <v>59165.916666666664</v>
      </c>
      <c r="DL433" s="43">
        <f t="shared" si="2176"/>
        <v>137985.75</v>
      </c>
      <c r="DM433" s="43">
        <f t="shared" si="2176"/>
        <v>11146.833333333334</v>
      </c>
      <c r="DN433" s="43">
        <f t="shared" si="2176"/>
        <v>40995</v>
      </c>
      <c r="DO433" s="43">
        <f t="shared" si="2176"/>
        <v>438037.16666666669</v>
      </c>
      <c r="DP433" s="43">
        <f t="shared" si="2176"/>
        <v>84051.833333333328</v>
      </c>
      <c r="DQ433" s="43"/>
      <c r="DR433" s="43">
        <f>AVERAGE(DR276:DR287)</f>
        <v>14527</v>
      </c>
      <c r="DS433" s="43">
        <f>AVERAGE(DS276:DS287)</f>
        <v>6120.75</v>
      </c>
      <c r="DT433" s="43">
        <f>AVERAGE(DT276:DT287)</f>
        <v>12155.666666666666</v>
      </c>
      <c r="DU433" s="43"/>
      <c r="DV433" s="43"/>
      <c r="DW433" s="43">
        <f>AVERAGE(DW276:DW287)</f>
        <v>804185.91666666663</v>
      </c>
      <c r="DY433" s="43">
        <f>AVERAGE(DY276:DY287)</f>
        <v>553783.25</v>
      </c>
      <c r="DZ433" s="43">
        <f>AVERAGE(DZ276:DZ287)</f>
        <v>58405.083333333336</v>
      </c>
      <c r="EB433" s="43">
        <f>AVERAGE(EB276:EB287)</f>
        <v>908308.33333333337</v>
      </c>
      <c r="EC433" s="43">
        <f>DE433</f>
        <v>248574.41666666666</v>
      </c>
      <c r="ED433" s="43">
        <f>EB433-EC433</f>
        <v>659733.91666666674</v>
      </c>
      <c r="EF433" s="43">
        <f>AVERAGE(EF276:EF287)</f>
        <v>548771.66666666663</v>
      </c>
      <c r="EG433" s="43">
        <f>AVERAGE(EG276:EG287)</f>
        <v>241530.66666666666</v>
      </c>
      <c r="EH433" s="43">
        <f>AVERAGE(EH276:EH287)</f>
        <v>790302.33333333337</v>
      </c>
      <c r="EJ433" s="6"/>
      <c r="EK433" s="6"/>
    </row>
    <row r="434" spans="2:141">
      <c r="B434" s="44" t="s">
        <v>143</v>
      </c>
      <c r="E434" s="45"/>
      <c r="F434" s="45"/>
      <c r="G434" s="43">
        <f>AVERAGE(G288:G299)</f>
        <v>1332.9166666666667</v>
      </c>
      <c r="H434" s="43">
        <f>AVERAGE(H288:H299)</f>
        <v>17050.25</v>
      </c>
      <c r="I434" s="43">
        <f>AVERAGE(I288:I299)</f>
        <v>31199.416666666668</v>
      </c>
      <c r="J434" s="43">
        <f>AVERAGE(J288:J299)</f>
        <v>5115</v>
      </c>
      <c r="K434" s="43">
        <f>AVERAGE(K288:K299)</f>
        <v>8974.6666666666661</v>
      </c>
      <c r="L434" s="43"/>
      <c r="M434" s="43">
        <f t="shared" ref="M434:T434" si="2177">AVERAGE(M288:M299)</f>
        <v>26144.583333333332</v>
      </c>
      <c r="N434" s="43">
        <f t="shared" si="2177"/>
        <v>1714.1666666666667</v>
      </c>
      <c r="O434" s="43" t="e">
        <f t="shared" si="2177"/>
        <v>#DIV/0!</v>
      </c>
      <c r="P434" s="43">
        <f t="shared" si="2177"/>
        <v>1603.9166666666667</v>
      </c>
      <c r="Q434" s="43">
        <f t="shared" si="2177"/>
        <v>11914.75</v>
      </c>
      <c r="R434" s="43">
        <f t="shared" si="2177"/>
        <v>308.66666666666669</v>
      </c>
      <c r="S434" s="43">
        <f t="shared" si="2177"/>
        <v>8436.75</v>
      </c>
      <c r="T434" s="43">
        <f t="shared" si="2177"/>
        <v>11437</v>
      </c>
      <c r="U434" s="43"/>
      <c r="V434" s="43"/>
      <c r="W434" s="43">
        <f>AVERAGE(W288:W299)</f>
        <v>408.25</v>
      </c>
      <c r="X434" s="43">
        <f>AVERAGE(X288:X299)</f>
        <v>8006.833333333333</v>
      </c>
      <c r="Y434" s="43">
        <f>AVERAGE(Y288:Y299)</f>
        <v>332.91666666666669</v>
      </c>
      <c r="Z434" s="43">
        <f>AVERAGE(Z288:Z299)</f>
        <v>7.333333333333333</v>
      </c>
      <c r="AA434" s="161"/>
      <c r="AB434" s="43">
        <f t="shared" ref="AB434:AG434" si="2178">AVERAGE(AB288:AB299)</f>
        <v>7.333333333333333</v>
      </c>
      <c r="AC434" s="43">
        <f t="shared" si="2178"/>
        <v>221</v>
      </c>
      <c r="AD434" s="43">
        <f t="shared" si="2178"/>
        <v>27.75</v>
      </c>
      <c r="AE434" s="43">
        <f t="shared" si="2178"/>
        <v>31.75</v>
      </c>
      <c r="AF434" s="43">
        <f t="shared" si="2178"/>
        <v>40</v>
      </c>
      <c r="AG434" s="43">
        <f t="shared" si="2178"/>
        <v>86</v>
      </c>
      <c r="AH434" s="43"/>
      <c r="AI434" s="43"/>
      <c r="AJ434" s="43">
        <f t="shared" ref="AJ434:AX434" si="2179">AVERAGE(AJ288:AJ299)</f>
        <v>11.333333333333334</v>
      </c>
      <c r="AK434" s="43">
        <f t="shared" si="2179"/>
        <v>10893.083333333334</v>
      </c>
      <c r="AL434" s="43">
        <f t="shared" si="2179"/>
        <v>110497.33333333333</v>
      </c>
      <c r="AM434" s="43">
        <f t="shared" si="2179"/>
        <v>3153.0833333333335</v>
      </c>
      <c r="AN434" s="43">
        <f t="shared" si="2179"/>
        <v>20527.75</v>
      </c>
      <c r="AO434" s="43">
        <f t="shared" si="2179"/>
        <v>20</v>
      </c>
      <c r="AP434" s="43">
        <f t="shared" si="2179"/>
        <v>2.0833333333333335</v>
      </c>
      <c r="AQ434" s="43">
        <f t="shared" si="2179"/>
        <v>8830.0833333333339</v>
      </c>
      <c r="AR434" s="43">
        <f t="shared" si="2179"/>
        <v>0</v>
      </c>
      <c r="AS434" s="43">
        <f t="shared" si="2179"/>
        <v>2879.9166666666665</v>
      </c>
      <c r="AT434" s="43">
        <f t="shared" si="2179"/>
        <v>43.666666666666664</v>
      </c>
      <c r="AU434" s="43">
        <f t="shared" si="2179"/>
        <v>6625.083333333333</v>
      </c>
      <c r="AV434" s="43">
        <f t="shared" si="2179"/>
        <v>2337.4166666666665</v>
      </c>
      <c r="AW434" s="43">
        <f t="shared" si="2179"/>
        <v>4593.916666666667</v>
      </c>
      <c r="AX434" s="43">
        <f t="shared" si="2179"/>
        <v>15065.666666666666</v>
      </c>
      <c r="AY434" s="161"/>
      <c r="AZ434" s="161"/>
      <c r="BA434" s="161">
        <f>AVERAGE(BA288:BA299)</f>
        <v>817.16666666666663</v>
      </c>
      <c r="BB434" s="161"/>
      <c r="BC434" s="43">
        <f>AVERAGE(BC288:BC299)</f>
        <v>337.66666666666669</v>
      </c>
      <c r="BD434" s="43"/>
      <c r="BE434" s="43">
        <f t="shared" ref="BE434:BL434" si="2180">AVERAGE(BE288:BE299)</f>
        <v>0</v>
      </c>
      <c r="BF434" s="43">
        <f t="shared" si="2180"/>
        <v>0</v>
      </c>
      <c r="BG434" s="43">
        <f t="shared" si="2180"/>
        <v>1229.5</v>
      </c>
      <c r="BH434" s="43">
        <f t="shared" si="2180"/>
        <v>0</v>
      </c>
      <c r="BI434" s="43">
        <f t="shared" si="2180"/>
        <v>0</v>
      </c>
      <c r="BJ434" s="43">
        <f t="shared" si="2180"/>
        <v>8109.25</v>
      </c>
      <c r="BK434" s="43">
        <f t="shared" si="2180"/>
        <v>15.083333333333334</v>
      </c>
      <c r="BL434" s="43">
        <f t="shared" si="2180"/>
        <v>2567.6666666666665</v>
      </c>
      <c r="BM434" s="43"/>
      <c r="BN434" s="43">
        <f t="shared" ref="BN434:BU434" si="2181">AVERAGE(BN288:BN299)</f>
        <v>395.75</v>
      </c>
      <c r="BO434" s="43">
        <f t="shared" si="2181"/>
        <v>31.416666666666668</v>
      </c>
      <c r="BP434" s="43">
        <f t="shared" si="2181"/>
        <v>14634.333333333334</v>
      </c>
      <c r="BQ434" s="43">
        <f t="shared" si="2181"/>
        <v>80017.25</v>
      </c>
      <c r="BR434" s="43">
        <f t="shared" si="2181"/>
        <v>496.66666666666669</v>
      </c>
      <c r="BS434" s="43">
        <f t="shared" si="2181"/>
        <v>116.66666666666667</v>
      </c>
      <c r="BT434" s="43">
        <f t="shared" si="2181"/>
        <v>6774.916666666667</v>
      </c>
      <c r="BU434" s="43">
        <f t="shared" si="2181"/>
        <v>83.5</v>
      </c>
      <c r="BV434" s="43"/>
      <c r="BW434" s="43">
        <f>AVERAGE(BW288:BW299)</f>
        <v>1.5</v>
      </c>
      <c r="BX434" s="43">
        <f>AVERAGE(BX288:BX299)</f>
        <v>51.5</v>
      </c>
      <c r="BY434" s="43"/>
      <c r="BZ434" s="43">
        <f t="shared" ref="BZ434:CK434" si="2182">AVERAGE(BZ288:BZ299)</f>
        <v>4.5</v>
      </c>
      <c r="CA434" s="43">
        <f t="shared" si="2182"/>
        <v>0</v>
      </c>
      <c r="CB434" s="43">
        <f t="shared" si="2182"/>
        <v>23714.583333333332</v>
      </c>
      <c r="CC434" s="43">
        <f t="shared" si="2182"/>
        <v>14564.75</v>
      </c>
      <c r="CD434" s="43">
        <f t="shared" si="2182"/>
        <v>153919.33333333334</v>
      </c>
      <c r="CE434" s="43">
        <f t="shared" si="2182"/>
        <v>246220.33333333334</v>
      </c>
      <c r="CF434" s="43">
        <f t="shared" si="2182"/>
        <v>24523.916666666668</v>
      </c>
      <c r="CG434" s="43">
        <f t="shared" si="2182"/>
        <v>47809.166666666664</v>
      </c>
      <c r="CH434" s="43">
        <f t="shared" si="2182"/>
        <v>0</v>
      </c>
      <c r="CI434" s="43">
        <f t="shared" si="2182"/>
        <v>0.5</v>
      </c>
      <c r="CJ434" s="43">
        <f t="shared" si="2182"/>
        <v>4.166666666666667</v>
      </c>
      <c r="CK434" s="43">
        <f t="shared" si="2182"/>
        <v>34.833333333333336</v>
      </c>
      <c r="CL434" s="43">
        <v>0</v>
      </c>
      <c r="CM434" s="43">
        <v>0</v>
      </c>
      <c r="CN434" s="43">
        <v>0</v>
      </c>
      <c r="CO434" s="43">
        <v>0</v>
      </c>
      <c r="CP434" s="43">
        <v>0</v>
      </c>
      <c r="CQ434" s="43">
        <v>0</v>
      </c>
      <c r="CR434" s="43"/>
      <c r="CS434" s="43"/>
      <c r="CT434" s="43">
        <f t="shared" ref="CT434:CY434" si="2183">AVERAGE(CT288:CT299)</f>
        <v>0</v>
      </c>
      <c r="CU434" s="43">
        <f t="shared" si="2183"/>
        <v>0</v>
      </c>
      <c r="CV434" s="43">
        <f t="shared" si="2183"/>
        <v>0</v>
      </c>
      <c r="CW434" s="43">
        <f t="shared" si="2183"/>
        <v>19</v>
      </c>
      <c r="CX434" s="43">
        <f t="shared" si="2183"/>
        <v>0</v>
      </c>
      <c r="CY434" s="43">
        <f t="shared" si="2183"/>
        <v>33</v>
      </c>
      <c r="DB434" s="6"/>
      <c r="DC434" s="6"/>
      <c r="DD434" s="43">
        <f>AVERAGE(DD288:DD299)</f>
        <v>625321.08333333337</v>
      </c>
      <c r="DE434" s="43">
        <f>AVERAGE(DE288:DE299)</f>
        <v>256547.08333333334</v>
      </c>
      <c r="DF434" s="43">
        <f>AVERAGE(DF288:DF299)</f>
        <v>881868.16666666663</v>
      </c>
      <c r="DI434" s="6">
        <f t="shared" ref="DI434:DI436" si="2184">DK434+DM434</f>
        <v>69974.916666666657</v>
      </c>
      <c r="DJ434" s="6">
        <f t="shared" ref="DJ434:DJ436" si="2185">DL434+DN434</f>
        <v>187389.33333333334</v>
      </c>
      <c r="DK434" s="43">
        <f t="shared" ref="DK434:DP434" si="2186">AVERAGE(DK288:DK299)</f>
        <v>58537.916666666664</v>
      </c>
      <c r="DL434" s="43">
        <f t="shared" si="2186"/>
        <v>142877.75</v>
      </c>
      <c r="DM434" s="43">
        <f t="shared" si="2186"/>
        <v>11437</v>
      </c>
      <c r="DN434" s="43">
        <f t="shared" si="2186"/>
        <v>44511.583333333336</v>
      </c>
      <c r="DO434" s="43">
        <f t="shared" si="2186"/>
        <v>449166.5</v>
      </c>
      <c r="DP434" s="43">
        <f t="shared" si="2186"/>
        <v>87187.916666666672</v>
      </c>
      <c r="DQ434" s="43"/>
      <c r="DR434" s="43">
        <f>AVERAGE(DR288:DR299)</f>
        <v>14565.25</v>
      </c>
      <c r="DS434" s="43">
        <f>AVERAGE(DS288:DS299)</f>
        <v>14634.333333333334</v>
      </c>
      <c r="DT434" s="43">
        <f>AVERAGE(DT288:DT299)</f>
        <v>11957.916666666666</v>
      </c>
      <c r="DU434" s="43"/>
      <c r="DV434" s="43"/>
      <c r="DW434" s="43">
        <f>AVERAGE(DW288:DW299)</f>
        <v>834876.16666666663</v>
      </c>
      <c r="DY434" s="43">
        <f>AVERAGE(DY288:DY299)</f>
        <v>571272.91666666663</v>
      </c>
      <c r="DZ434" s="43">
        <f>AVERAGE(DZ288:DZ299)</f>
        <v>63672.25</v>
      </c>
      <c r="EB434" s="43">
        <f>AVERAGE(EB288:EB299)</f>
        <v>945540.41666666663</v>
      </c>
      <c r="EC434" s="43">
        <f>DE434</f>
        <v>256547.08333333334</v>
      </c>
      <c r="ED434" s="43">
        <f>EB434-EC434</f>
        <v>688993.33333333326</v>
      </c>
      <c r="EF434" s="43">
        <f>AVERAGE(EF288:EF299)</f>
        <v>562877.58333333337</v>
      </c>
      <c r="EG434" s="43">
        <f>AVERAGE(EG288:EG299)</f>
        <v>248534.16666666666</v>
      </c>
      <c r="EH434" s="43">
        <f>AVERAGE(EH288:EH299)</f>
        <v>811411.75</v>
      </c>
      <c r="EJ434" s="6"/>
      <c r="EK434" s="6"/>
    </row>
    <row r="435" spans="2:141">
      <c r="B435" s="44" t="s">
        <v>189</v>
      </c>
      <c r="G435" s="43">
        <f>AVERAGE(G300:G311)</f>
        <v>1509.4166666666667</v>
      </c>
      <c r="H435" s="43">
        <f>AVERAGE(H300:H311)</f>
        <v>17101.666666666668</v>
      </c>
      <c r="I435" s="43">
        <f>AVERAGE(I300:I311)</f>
        <v>32191.333333333332</v>
      </c>
      <c r="J435" s="43">
        <f>AVERAGE(J300:J311)</f>
        <v>4967.333333333333</v>
      </c>
      <c r="K435" s="43">
        <f>AVERAGE(K300:K311)</f>
        <v>9290.5833333333339</v>
      </c>
      <c r="L435" s="43"/>
      <c r="M435" s="43">
        <f t="shared" ref="M435:Z435" si="2187">AVERAGE(M300:M311)</f>
        <v>25218.583333333332</v>
      </c>
      <c r="N435" s="43">
        <f t="shared" si="2187"/>
        <v>1565.25</v>
      </c>
      <c r="O435" s="43">
        <f t="shared" si="2187"/>
        <v>0</v>
      </c>
      <c r="P435" s="43">
        <f t="shared" si="2187"/>
        <v>1702.5833333333333</v>
      </c>
      <c r="Q435" s="43">
        <f t="shared" si="2187"/>
        <v>12191</v>
      </c>
      <c r="R435" s="43">
        <f t="shared" si="2187"/>
        <v>306.91666666666669</v>
      </c>
      <c r="S435" s="43">
        <f t="shared" si="2187"/>
        <v>8205.4166666666661</v>
      </c>
      <c r="T435" s="43">
        <f t="shared" si="2187"/>
        <v>11641.583333333334</v>
      </c>
      <c r="U435" s="43">
        <f t="shared" si="2187"/>
        <v>12.75</v>
      </c>
      <c r="V435" s="43">
        <f t="shared" si="2187"/>
        <v>132</v>
      </c>
      <c r="W435" s="43">
        <f t="shared" si="2187"/>
        <v>414.25</v>
      </c>
      <c r="X435" s="43">
        <f t="shared" si="2187"/>
        <v>8296.5833333333339</v>
      </c>
      <c r="Y435" s="43">
        <f t="shared" si="2187"/>
        <v>331.41666666666669</v>
      </c>
      <c r="Z435" s="43">
        <f t="shared" si="2187"/>
        <v>5.416666666666667</v>
      </c>
      <c r="AA435" s="161"/>
      <c r="AB435" s="43">
        <f t="shared" ref="AB435:AX435" si="2188">AVERAGE(AB300:AB311)</f>
        <v>9.5833333333333339</v>
      </c>
      <c r="AC435" s="43">
        <f t="shared" si="2188"/>
        <v>248.91666666666666</v>
      </c>
      <c r="AD435" s="43">
        <f t="shared" si="2188"/>
        <v>30.25</v>
      </c>
      <c r="AE435" s="43">
        <f t="shared" si="2188"/>
        <v>31.25</v>
      </c>
      <c r="AF435" s="43">
        <f t="shared" si="2188"/>
        <v>36.916666666666664</v>
      </c>
      <c r="AG435" s="43">
        <f t="shared" si="2188"/>
        <v>95.5</v>
      </c>
      <c r="AH435" s="43">
        <f t="shared" si="2188"/>
        <v>25.5</v>
      </c>
      <c r="AI435" s="43">
        <f t="shared" si="2188"/>
        <v>56.5</v>
      </c>
      <c r="AJ435" s="43">
        <f t="shared" si="2188"/>
        <v>7.666666666666667</v>
      </c>
      <c r="AK435" s="43">
        <f t="shared" si="2188"/>
        <v>11392.833333333334</v>
      </c>
      <c r="AL435" s="43">
        <f t="shared" si="2188"/>
        <v>112653.25</v>
      </c>
      <c r="AM435" s="43">
        <f t="shared" si="2188"/>
        <v>3140.5833333333335</v>
      </c>
      <c r="AN435" s="43">
        <f t="shared" si="2188"/>
        <v>21699.5</v>
      </c>
      <c r="AO435" s="43">
        <f t="shared" si="2188"/>
        <v>21.166666666666668</v>
      </c>
      <c r="AP435" s="43">
        <f t="shared" si="2188"/>
        <v>2.25</v>
      </c>
      <c r="AQ435" s="43">
        <f t="shared" si="2188"/>
        <v>9537.4166666666661</v>
      </c>
      <c r="AR435" s="43">
        <f t="shared" si="2188"/>
        <v>0</v>
      </c>
      <c r="AS435" s="43">
        <f t="shared" si="2188"/>
        <v>2489.0833333333335</v>
      </c>
      <c r="AT435" s="43">
        <f t="shared" si="2188"/>
        <v>47.333333333333336</v>
      </c>
      <c r="AU435" s="43">
        <f t="shared" si="2188"/>
        <v>7037.5</v>
      </c>
      <c r="AV435" s="43">
        <f t="shared" si="2188"/>
        <v>2438.9166666666665</v>
      </c>
      <c r="AW435" s="43">
        <f t="shared" si="2188"/>
        <v>4780.75</v>
      </c>
      <c r="AX435" s="43">
        <f t="shared" si="2188"/>
        <v>16023.5</v>
      </c>
      <c r="AY435" s="161"/>
      <c r="AZ435" s="161"/>
      <c r="BA435" s="161">
        <f>AVERAGE(BA300:BA311)</f>
        <v>889.83333333333337</v>
      </c>
      <c r="BB435" s="161"/>
      <c r="BC435" s="43">
        <f>AVERAGE(BC300:BC311)</f>
        <v>337.5</v>
      </c>
      <c r="BD435" s="43"/>
      <c r="BE435" s="43">
        <f t="shared" ref="BE435:BL435" si="2189">AVERAGE(BE300:BE311)</f>
        <v>0</v>
      </c>
      <c r="BF435" s="43">
        <f t="shared" si="2189"/>
        <v>0</v>
      </c>
      <c r="BG435" s="43">
        <f t="shared" si="2189"/>
        <v>4041.0833333333335</v>
      </c>
      <c r="BH435" s="43">
        <f t="shared" si="2189"/>
        <v>0</v>
      </c>
      <c r="BI435" s="43">
        <f t="shared" si="2189"/>
        <v>0</v>
      </c>
      <c r="BJ435" s="43">
        <f t="shared" si="2189"/>
        <v>4174.25</v>
      </c>
      <c r="BK435" s="43">
        <f t="shared" si="2189"/>
        <v>4.333333333333333</v>
      </c>
      <c r="BL435" s="43">
        <f t="shared" si="2189"/>
        <v>3989.5833333333335</v>
      </c>
      <c r="BM435" s="43"/>
      <c r="BN435" s="43">
        <f t="shared" ref="BN435:BU435" si="2190">AVERAGE(BN300:BN311)</f>
        <v>506</v>
      </c>
      <c r="BO435" s="43">
        <f t="shared" si="2190"/>
        <v>16.083333333333332</v>
      </c>
      <c r="BP435" s="43">
        <f t="shared" si="2190"/>
        <v>33786.333333333336</v>
      </c>
      <c r="BQ435" s="43">
        <f t="shared" si="2190"/>
        <v>84819</v>
      </c>
      <c r="BR435" s="43">
        <f t="shared" si="2190"/>
        <v>432.66666666666669</v>
      </c>
      <c r="BS435" s="43">
        <f t="shared" si="2190"/>
        <v>113.75</v>
      </c>
      <c r="BT435" s="43">
        <f t="shared" si="2190"/>
        <v>6433.25</v>
      </c>
      <c r="BU435" s="43">
        <f t="shared" si="2190"/>
        <v>75.416666666666671</v>
      </c>
      <c r="BV435" s="43"/>
      <c r="BW435" s="43">
        <f>AVERAGE(BW300:BW311)</f>
        <v>1.9166666666666667</v>
      </c>
      <c r="BX435" s="43">
        <f>AVERAGE(BX300:BX311)</f>
        <v>33.666666666666664</v>
      </c>
      <c r="BY435" s="43"/>
      <c r="BZ435" s="43">
        <f t="shared" ref="BZ435:CK435" si="2191">AVERAGE(BZ300:BZ311)</f>
        <v>3</v>
      </c>
      <c r="CA435" s="43">
        <f t="shared" si="2191"/>
        <v>0</v>
      </c>
      <c r="CB435" s="43">
        <f t="shared" si="2191"/>
        <v>24285.583333333332</v>
      </c>
      <c r="CC435" s="43">
        <f t="shared" si="2191"/>
        <v>15227.5</v>
      </c>
      <c r="CD435" s="43">
        <f t="shared" si="2191"/>
        <v>154355.91666666666</v>
      </c>
      <c r="CE435" s="43">
        <f t="shared" si="2191"/>
        <v>257320.83333333334</v>
      </c>
      <c r="CF435" s="43">
        <f t="shared" si="2191"/>
        <v>24852.25</v>
      </c>
      <c r="CG435" s="43">
        <f t="shared" si="2191"/>
        <v>50116.583333333336</v>
      </c>
      <c r="CH435" s="43">
        <f t="shared" si="2191"/>
        <v>0</v>
      </c>
      <c r="CI435" s="43">
        <f t="shared" si="2191"/>
        <v>1.8333333333333333</v>
      </c>
      <c r="CJ435" s="43">
        <f t="shared" si="2191"/>
        <v>3.5833333333333335</v>
      </c>
      <c r="CK435" s="43">
        <f t="shared" si="2191"/>
        <v>54.166666666666664</v>
      </c>
      <c r="CL435" s="43">
        <v>0</v>
      </c>
      <c r="CM435" s="43">
        <v>0</v>
      </c>
      <c r="CN435" s="43">
        <v>0</v>
      </c>
      <c r="CO435" s="43">
        <v>0</v>
      </c>
      <c r="CP435" s="43">
        <v>0</v>
      </c>
      <c r="CQ435" s="43">
        <v>0</v>
      </c>
      <c r="CR435" s="43"/>
      <c r="CS435" s="43"/>
      <c r="CT435" s="43">
        <f t="shared" ref="CT435:CY435" si="2192">AVERAGE(CT300:CT311)</f>
        <v>0</v>
      </c>
      <c r="CU435" s="43">
        <f t="shared" si="2192"/>
        <v>0</v>
      </c>
      <c r="CV435" s="43">
        <f t="shared" si="2192"/>
        <v>0</v>
      </c>
      <c r="CW435" s="43">
        <f t="shared" si="2192"/>
        <v>17.833333333333332</v>
      </c>
      <c r="CX435" s="43">
        <f t="shared" si="2192"/>
        <v>0</v>
      </c>
      <c r="CY435" s="43">
        <f t="shared" si="2192"/>
        <v>32.25</v>
      </c>
      <c r="DD435" s="43">
        <f>AVERAGE(DD300:DD311)</f>
        <v>664648.58333333337</v>
      </c>
      <c r="DE435" s="43">
        <f>AVERAGE(DE300:DE311)</f>
        <v>262016.25</v>
      </c>
      <c r="DF435" s="43">
        <f>AVERAGE(DF300:DF311)</f>
        <v>926664.83333333337</v>
      </c>
      <c r="DI435" s="6">
        <f t="shared" si="2184"/>
        <v>69590.416666666672</v>
      </c>
      <c r="DJ435" s="6">
        <f t="shared" si="2185"/>
        <v>193315.66666666666</v>
      </c>
      <c r="DK435" s="43">
        <f t="shared" ref="DK435:DP435" si="2193">AVERAGE(DK300:DK311)</f>
        <v>57948.833333333336</v>
      </c>
      <c r="DL435" s="43">
        <f t="shared" si="2193"/>
        <v>145957.5</v>
      </c>
      <c r="DM435" s="43">
        <f t="shared" si="2193"/>
        <v>11641.583333333334</v>
      </c>
      <c r="DN435" s="43">
        <f t="shared" si="2193"/>
        <v>47358.166666666664</v>
      </c>
      <c r="DO435" s="43">
        <f t="shared" si="2193"/>
        <v>461519.5</v>
      </c>
      <c r="DP435" s="43">
        <f t="shared" si="2193"/>
        <v>91758.25</v>
      </c>
      <c r="DQ435" s="43"/>
      <c r="DR435" s="43">
        <f>AVERAGE(DR300:DR311)</f>
        <v>15229.333333333334</v>
      </c>
      <c r="DS435" s="43">
        <f>AVERAGE(DS300:DS311)</f>
        <v>33786.333333333336</v>
      </c>
      <c r="DT435" s="43">
        <f>AVERAGE(DT300:DT311)</f>
        <v>12238.583333333334</v>
      </c>
      <c r="DU435" s="43"/>
      <c r="DV435" s="43"/>
      <c r="DW435" s="43">
        <f>AVERAGE(DW300:DW311)</f>
        <v>877438.08333333337</v>
      </c>
      <c r="DY435" s="43">
        <f>AVERAGE(DY300:DY311)</f>
        <v>587425.58333333337</v>
      </c>
      <c r="DZ435" s="43">
        <f>AVERAGE(DZ300:DZ311)</f>
        <v>65060.333333333336</v>
      </c>
      <c r="EB435" s="43">
        <f>AVERAGE(EB300:EB311)</f>
        <v>991725.16666666663</v>
      </c>
      <c r="EC435" s="43">
        <f>DE435</f>
        <v>262016.25</v>
      </c>
      <c r="ED435" s="43">
        <f>EB435-EC435</f>
        <v>729708.91666666663</v>
      </c>
      <c r="EF435" s="43">
        <f>AVERAGE(EF300:EF311)</f>
        <v>580745.66666666663</v>
      </c>
      <c r="EG435" s="43">
        <f>AVERAGE(EG300:EG311)</f>
        <v>253368.66666666666</v>
      </c>
      <c r="EH435" s="43">
        <f>AVERAGE(EH300:EH311)</f>
        <v>834114.33333333337</v>
      </c>
    </row>
    <row r="436" spans="2:141" s="200" customFormat="1">
      <c r="B436" s="44" t="s">
        <v>190</v>
      </c>
      <c r="E436" s="45"/>
      <c r="F436" s="45"/>
      <c r="G436" s="43">
        <f t="shared" ref="G436:Z436" si="2194">AVERAGE(G312:G323)</f>
        <v>1221.3333333333333</v>
      </c>
      <c r="H436" s="43">
        <f t="shared" si="2194"/>
        <v>16492.833333333332</v>
      </c>
      <c r="I436" s="43">
        <f t="shared" si="2194"/>
        <v>32584.666666666668</v>
      </c>
      <c r="J436" s="43">
        <f t="shared" si="2194"/>
        <v>4691.833333333333</v>
      </c>
      <c r="K436" s="43">
        <f t="shared" si="2194"/>
        <v>9238.9166666666661</v>
      </c>
      <c r="L436" s="43">
        <f t="shared" si="2194"/>
        <v>375.83333333333331</v>
      </c>
      <c r="M436" s="43">
        <f t="shared" si="2194"/>
        <v>24434.833333333332</v>
      </c>
      <c r="N436" s="43">
        <f t="shared" si="2194"/>
        <v>1452.8333333333333</v>
      </c>
      <c r="O436" s="43">
        <f t="shared" si="2194"/>
        <v>0</v>
      </c>
      <c r="P436" s="43">
        <f t="shared" si="2194"/>
        <v>1603.3333333333333</v>
      </c>
      <c r="Q436" s="43">
        <f t="shared" si="2194"/>
        <v>11793.25</v>
      </c>
      <c r="R436" s="43">
        <f t="shared" si="2194"/>
        <v>304.75</v>
      </c>
      <c r="S436" s="43">
        <f t="shared" si="2194"/>
        <v>7615.25</v>
      </c>
      <c r="T436" s="43">
        <f t="shared" si="2194"/>
        <v>11680.833333333334</v>
      </c>
      <c r="U436" s="43">
        <f t="shared" si="2194"/>
        <v>40.333333333333336</v>
      </c>
      <c r="V436" s="43">
        <f t="shared" si="2194"/>
        <v>700</v>
      </c>
      <c r="W436" s="43">
        <f t="shared" si="2194"/>
        <v>357.41666666666669</v>
      </c>
      <c r="X436" s="43">
        <f t="shared" si="2194"/>
        <v>9176.0833333333339</v>
      </c>
      <c r="Y436" s="43">
        <f t="shared" si="2194"/>
        <v>334</v>
      </c>
      <c r="Z436" s="43">
        <f t="shared" si="2194"/>
        <v>6.166666666666667</v>
      </c>
      <c r="AA436" s="161">
        <f>AVERAGE(AA319:AA323)</f>
        <v>18.399999999999999</v>
      </c>
      <c r="AB436" s="43">
        <f t="shared" ref="AB436:AX436" si="2195">AVERAGE(AB312:AB323)</f>
        <v>6.416666666666667</v>
      </c>
      <c r="AC436" s="43">
        <f t="shared" si="2195"/>
        <v>284.41666666666669</v>
      </c>
      <c r="AD436" s="43">
        <f t="shared" si="2195"/>
        <v>28.166666666666668</v>
      </c>
      <c r="AE436" s="43">
        <f t="shared" si="2195"/>
        <v>33.75</v>
      </c>
      <c r="AF436" s="43">
        <f t="shared" si="2195"/>
        <v>36.25</v>
      </c>
      <c r="AG436" s="43">
        <f t="shared" si="2195"/>
        <v>83.083333333333329</v>
      </c>
      <c r="AH436" s="43">
        <f t="shared" si="2195"/>
        <v>56.833333333333336</v>
      </c>
      <c r="AI436" s="43">
        <f t="shared" si="2195"/>
        <v>314.08333333333331</v>
      </c>
      <c r="AJ436" s="43">
        <f t="shared" si="2195"/>
        <v>12.583333333333334</v>
      </c>
      <c r="AK436" s="43">
        <f t="shared" si="2195"/>
        <v>12597.916666666666</v>
      </c>
      <c r="AL436" s="43">
        <f t="shared" si="2195"/>
        <v>113966.25</v>
      </c>
      <c r="AM436" s="43">
        <f t="shared" si="2195"/>
        <v>2993.25</v>
      </c>
      <c r="AN436" s="43">
        <f t="shared" si="2195"/>
        <v>21670</v>
      </c>
      <c r="AO436" s="43">
        <f t="shared" si="2195"/>
        <v>18.166666666666668</v>
      </c>
      <c r="AP436" s="43">
        <f t="shared" si="2195"/>
        <v>1.25</v>
      </c>
      <c r="AQ436" s="43">
        <f t="shared" si="2195"/>
        <v>9782.5</v>
      </c>
      <c r="AR436" s="43">
        <f t="shared" si="2195"/>
        <v>0</v>
      </c>
      <c r="AS436" s="43">
        <f t="shared" si="2195"/>
        <v>2007.5</v>
      </c>
      <c r="AT436" s="43">
        <f t="shared" si="2195"/>
        <v>54</v>
      </c>
      <c r="AU436" s="43">
        <f t="shared" si="2195"/>
        <v>7706.666666666667</v>
      </c>
      <c r="AV436" s="43">
        <f t="shared" si="2195"/>
        <v>2491.25</v>
      </c>
      <c r="AW436" s="43">
        <f t="shared" si="2195"/>
        <v>4879.666666666667</v>
      </c>
      <c r="AX436" s="43">
        <f t="shared" si="2195"/>
        <v>16458.5</v>
      </c>
      <c r="AY436" s="161">
        <f>AVERAGE(AY319:AY323)</f>
        <v>58.8</v>
      </c>
      <c r="AZ436" s="161">
        <f>AVERAGE(AZ319:AZ323)</f>
        <v>41.2</v>
      </c>
      <c r="BA436" s="161">
        <f>AVERAGE(BA312:BA323)</f>
        <v>935.41666666666663</v>
      </c>
      <c r="BB436" s="161">
        <f>AVERAGE(BB319:BB323)</f>
        <v>0.4</v>
      </c>
      <c r="BC436" s="43">
        <f>AVERAGE(BC312:BC323)</f>
        <v>265.75</v>
      </c>
      <c r="BD436" s="43">
        <f>AVERAGE(BD319:BD323)</f>
        <v>97.4</v>
      </c>
      <c r="BE436" s="43">
        <f t="shared" ref="BE436:BX436" si="2196">AVERAGE(BE312:BE323)</f>
        <v>0</v>
      </c>
      <c r="BF436" s="43">
        <f t="shared" si="2196"/>
        <v>0</v>
      </c>
      <c r="BG436" s="43">
        <f t="shared" si="2196"/>
        <v>7404.166666666667</v>
      </c>
      <c r="BH436" s="43">
        <f t="shared" si="2196"/>
        <v>0</v>
      </c>
      <c r="BI436" s="43">
        <f t="shared" si="2196"/>
        <v>0</v>
      </c>
      <c r="BJ436" s="43">
        <f t="shared" si="2196"/>
        <v>0</v>
      </c>
      <c r="BK436" s="43">
        <f t="shared" si="2196"/>
        <v>23.916666666666668</v>
      </c>
      <c r="BL436" s="43">
        <f t="shared" si="2196"/>
        <v>5263.833333333333</v>
      </c>
      <c r="BM436" s="43">
        <f t="shared" si="2196"/>
        <v>1.6</v>
      </c>
      <c r="BN436" s="43">
        <f t="shared" si="2196"/>
        <v>496.58333333333331</v>
      </c>
      <c r="BO436" s="43">
        <f t="shared" si="2196"/>
        <v>4.916666666666667</v>
      </c>
      <c r="BP436" s="43">
        <f t="shared" si="2196"/>
        <v>45262.416666666664</v>
      </c>
      <c r="BQ436" s="43">
        <f t="shared" si="2196"/>
        <v>85027.916666666672</v>
      </c>
      <c r="BR436" s="43">
        <f t="shared" si="2196"/>
        <v>387</v>
      </c>
      <c r="BS436" s="43">
        <f t="shared" si="2196"/>
        <v>97.333333333333329</v>
      </c>
      <c r="BT436" s="43">
        <f t="shared" si="2196"/>
        <v>7053</v>
      </c>
      <c r="BU436" s="43">
        <f t="shared" si="2196"/>
        <v>61.75</v>
      </c>
      <c r="BV436" s="43">
        <f t="shared" si="2196"/>
        <v>17</v>
      </c>
      <c r="BW436" s="43">
        <f t="shared" si="2196"/>
        <v>3.25</v>
      </c>
      <c r="BX436" s="43">
        <f t="shared" si="2196"/>
        <v>16.583333333333332</v>
      </c>
      <c r="BY436" s="43"/>
      <c r="BZ436" s="43">
        <f t="shared" ref="BZ436:CK436" si="2197">AVERAGE(BZ312:BZ323)</f>
        <v>9.5</v>
      </c>
      <c r="CA436" s="43">
        <f t="shared" si="2197"/>
        <v>0</v>
      </c>
      <c r="CB436" s="43">
        <f t="shared" si="2197"/>
        <v>23321.5</v>
      </c>
      <c r="CC436" s="43">
        <f t="shared" si="2197"/>
        <v>15395</v>
      </c>
      <c r="CD436" s="43">
        <f t="shared" si="2197"/>
        <v>146906</v>
      </c>
      <c r="CE436" s="43">
        <f t="shared" si="2197"/>
        <v>261070.75</v>
      </c>
      <c r="CF436" s="43">
        <f t="shared" si="2197"/>
        <v>25111.666666666668</v>
      </c>
      <c r="CG436" s="43">
        <f t="shared" si="2197"/>
        <v>50572.083333333336</v>
      </c>
      <c r="CH436" s="43">
        <f t="shared" si="2197"/>
        <v>0</v>
      </c>
      <c r="CI436" s="43">
        <f t="shared" si="2197"/>
        <v>19.666666666666668</v>
      </c>
      <c r="CJ436" s="43">
        <f t="shared" si="2197"/>
        <v>3.8333333333333335</v>
      </c>
      <c r="CK436" s="43">
        <f t="shared" si="2197"/>
        <v>44.916666666666664</v>
      </c>
      <c r="CL436" s="43">
        <v>0</v>
      </c>
      <c r="CM436" s="43">
        <v>0</v>
      </c>
      <c r="CN436" s="43">
        <v>0</v>
      </c>
      <c r="CO436" s="43">
        <v>0</v>
      </c>
      <c r="CP436" s="43">
        <v>0</v>
      </c>
      <c r="CQ436" s="43">
        <v>0</v>
      </c>
      <c r="CR436" s="43"/>
      <c r="CS436" s="43"/>
      <c r="CT436" s="43">
        <f t="shared" ref="CT436:CY436" si="2198">AVERAGE(CT312:CT323)</f>
        <v>0</v>
      </c>
      <c r="CU436" s="43">
        <f t="shared" si="2198"/>
        <v>0</v>
      </c>
      <c r="CV436" s="43">
        <f t="shared" si="2198"/>
        <v>0</v>
      </c>
      <c r="CW436" s="43">
        <f t="shared" si="2198"/>
        <v>16.833333333333332</v>
      </c>
      <c r="CX436" s="43">
        <f t="shared" si="2198"/>
        <v>0</v>
      </c>
      <c r="CY436" s="43">
        <f t="shared" si="2198"/>
        <v>30.666666666666668</v>
      </c>
      <c r="DB436" s="6"/>
      <c r="DC436" s="6"/>
      <c r="DD436" s="43">
        <f>AVERAGE(DD312:DD323)</f>
        <v>673602.75</v>
      </c>
      <c r="DE436" s="43">
        <f>AVERAGE(DE312:DE323)</f>
        <v>265255.16666666669</v>
      </c>
      <c r="DF436" s="43">
        <f>AVERAGE(DF312:DF323)</f>
        <v>938857.91666666663</v>
      </c>
      <c r="DH436" s="200">
        <f>SUM(DI436:DJ436)</f>
        <v>266182.91666666669</v>
      </c>
      <c r="DI436" s="6">
        <f t="shared" si="2184"/>
        <v>69158.916666666672</v>
      </c>
      <c r="DJ436" s="6">
        <f t="shared" si="2185"/>
        <v>197024</v>
      </c>
      <c r="DK436" s="43">
        <f t="shared" ref="DK436:DP436" si="2199">AVERAGE(DK312:DK323)</f>
        <v>57478.083333333336</v>
      </c>
      <c r="DL436" s="43">
        <f t="shared" si="2199"/>
        <v>149028.66666666666</v>
      </c>
      <c r="DM436" s="43">
        <f t="shared" si="2199"/>
        <v>11680.833333333334</v>
      </c>
      <c r="DN436" s="43">
        <f t="shared" si="2199"/>
        <v>47995.333333333336</v>
      </c>
      <c r="DO436" s="43">
        <f t="shared" si="2199"/>
        <v>457070.83333333331</v>
      </c>
      <c r="DP436" s="43">
        <f t="shared" si="2199"/>
        <v>92635.25</v>
      </c>
      <c r="DQ436" s="43"/>
      <c r="DR436" s="43">
        <f>AVERAGE(DR312:DR323)</f>
        <v>15422.333333333334</v>
      </c>
      <c r="DS436" s="43">
        <f>AVERAGE(DS312:DS323)</f>
        <v>45265.25</v>
      </c>
      <c r="DT436" s="43">
        <f>AVERAGE(DT312:DT323)</f>
        <v>12685.25</v>
      </c>
      <c r="DU436" s="43"/>
      <c r="DV436" s="43"/>
      <c r="DW436" s="43">
        <f>AVERAGE(DW312:DW323)</f>
        <v>889261.83333333337</v>
      </c>
      <c r="DY436" s="43">
        <f>AVERAGE(DY312:DY323)</f>
        <v>583336.41666666663</v>
      </c>
      <c r="DZ436" s="43">
        <f>AVERAGE(DZ312:DZ323)</f>
        <v>64605.416666666664</v>
      </c>
      <c r="EB436" s="43">
        <f>AVERAGE(EB312:EB323)</f>
        <v>1003463.3333333334</v>
      </c>
      <c r="EC436" s="43">
        <f>DE436</f>
        <v>265255.16666666669</v>
      </c>
      <c r="ED436" s="43">
        <f>EB436-EC436</f>
        <v>738208.16666666674</v>
      </c>
      <c r="EF436" s="43">
        <f>AVERAGE(EF312:EF323)</f>
        <v>577726.58333333337</v>
      </c>
      <c r="EG436" s="43">
        <f>AVERAGE(EG312:EG323)</f>
        <v>256449.75</v>
      </c>
      <c r="EH436" s="43">
        <f>AVERAGE(EH312:EH323)</f>
        <v>834176.33333333337</v>
      </c>
      <c r="EJ436" s="6"/>
      <c r="EK436" s="6"/>
    </row>
    <row r="437" spans="2:141" s="200" customFormat="1">
      <c r="B437" s="44" t="s">
        <v>191</v>
      </c>
      <c r="E437" s="45"/>
      <c r="F437" s="45"/>
      <c r="G437" s="43">
        <f t="shared" ref="G437:AL437" si="2200">AVERAGE(G324:G335)</f>
        <v>326.25</v>
      </c>
      <c r="H437" s="43">
        <f t="shared" si="2200"/>
        <v>16048.25</v>
      </c>
      <c r="I437" s="43">
        <f t="shared" si="2200"/>
        <v>36561</v>
      </c>
      <c r="J437" s="43">
        <f t="shared" si="2200"/>
        <v>2523.1666666666665</v>
      </c>
      <c r="K437" s="43">
        <f t="shared" si="2200"/>
        <v>5883.5</v>
      </c>
      <c r="L437" s="43">
        <f t="shared" si="2200"/>
        <v>707.75</v>
      </c>
      <c r="M437" s="43">
        <f t="shared" si="2200"/>
        <v>23845.75</v>
      </c>
      <c r="N437" s="43">
        <f t="shared" si="2200"/>
        <v>1379.5833333333333</v>
      </c>
      <c r="O437" s="43">
        <f t="shared" si="2200"/>
        <v>15.5</v>
      </c>
      <c r="P437" s="43">
        <f t="shared" si="2200"/>
        <v>1276.5833333333333</v>
      </c>
      <c r="Q437" s="43">
        <f t="shared" si="2200"/>
        <v>11701.75</v>
      </c>
      <c r="R437" s="43">
        <f t="shared" si="2200"/>
        <v>291.41666666666669</v>
      </c>
      <c r="S437" s="43">
        <f t="shared" si="2200"/>
        <v>7310</v>
      </c>
      <c r="T437" s="43">
        <f t="shared" si="2200"/>
        <v>11573.916666666666</v>
      </c>
      <c r="U437" s="43">
        <f t="shared" si="2200"/>
        <v>31.75</v>
      </c>
      <c r="V437" s="43">
        <f t="shared" si="2200"/>
        <v>1316.4166666666667</v>
      </c>
      <c r="W437" s="43">
        <f t="shared" si="2200"/>
        <v>225.08333333333334</v>
      </c>
      <c r="X437" s="43">
        <f t="shared" si="2200"/>
        <v>10037.166666666666</v>
      </c>
      <c r="Y437" s="43">
        <f t="shared" si="2200"/>
        <v>350.66666666666669</v>
      </c>
      <c r="Z437" s="43">
        <f t="shared" si="2200"/>
        <v>10.75</v>
      </c>
      <c r="AA437" s="161">
        <f t="shared" si="2200"/>
        <v>14.166666666666666</v>
      </c>
      <c r="AB437" s="43">
        <f t="shared" si="2200"/>
        <v>5.25</v>
      </c>
      <c r="AC437" s="43">
        <f t="shared" si="2200"/>
        <v>288.75</v>
      </c>
      <c r="AD437" s="43">
        <f t="shared" si="2200"/>
        <v>24.25</v>
      </c>
      <c r="AE437" s="43">
        <f t="shared" si="2200"/>
        <v>35.416666666666664</v>
      </c>
      <c r="AF437" s="43">
        <f t="shared" si="2200"/>
        <v>40.583333333333336</v>
      </c>
      <c r="AG437" s="43">
        <f t="shared" si="2200"/>
        <v>76.166666666666671</v>
      </c>
      <c r="AH437" s="43">
        <f t="shared" si="2200"/>
        <v>57.083333333333336</v>
      </c>
      <c r="AI437" s="43">
        <f t="shared" si="2200"/>
        <v>638.33333333333337</v>
      </c>
      <c r="AJ437" s="43">
        <f t="shared" si="2200"/>
        <v>11.833333333333334</v>
      </c>
      <c r="AK437" s="43">
        <f t="shared" si="2200"/>
        <v>13843.25</v>
      </c>
      <c r="AL437" s="43">
        <f t="shared" si="2200"/>
        <v>114179.75</v>
      </c>
      <c r="AM437" s="43">
        <f t="shared" ref="AM437:BR437" si="2201">AVERAGE(AM324:AM335)</f>
        <v>2860.25</v>
      </c>
      <c r="AN437" s="43">
        <f t="shared" si="2201"/>
        <v>21870.416666666668</v>
      </c>
      <c r="AO437" s="43">
        <f t="shared" si="2201"/>
        <v>18</v>
      </c>
      <c r="AP437" s="43">
        <f t="shared" si="2201"/>
        <v>3.8333333333333335</v>
      </c>
      <c r="AQ437" s="43">
        <f t="shared" si="2201"/>
        <v>9642.8333333333339</v>
      </c>
      <c r="AR437" s="43">
        <f t="shared" si="2201"/>
        <v>0</v>
      </c>
      <c r="AS437" s="43">
        <f t="shared" si="2201"/>
        <v>980.5</v>
      </c>
      <c r="AT437" s="43">
        <f t="shared" si="2201"/>
        <v>45.583333333333336</v>
      </c>
      <c r="AU437" s="43">
        <f t="shared" si="2201"/>
        <v>10241.333333333334</v>
      </c>
      <c r="AV437" s="43">
        <f t="shared" si="2201"/>
        <v>2584.75</v>
      </c>
      <c r="AW437" s="43">
        <f t="shared" si="2201"/>
        <v>5142.666666666667</v>
      </c>
      <c r="AX437" s="43">
        <f t="shared" si="2201"/>
        <v>16835.666666666668</v>
      </c>
      <c r="AY437" s="161">
        <f t="shared" si="2201"/>
        <v>44.75</v>
      </c>
      <c r="AZ437" s="161">
        <f t="shared" si="2201"/>
        <v>64.916666666666671</v>
      </c>
      <c r="BA437" s="161">
        <f t="shared" si="2201"/>
        <v>972</v>
      </c>
      <c r="BB437" s="161">
        <f t="shared" si="2201"/>
        <v>0</v>
      </c>
      <c r="BC437" s="43">
        <f t="shared" si="2201"/>
        <v>234.75</v>
      </c>
      <c r="BD437" s="43">
        <f t="shared" si="2201"/>
        <v>400.08333333333331</v>
      </c>
      <c r="BE437" s="43">
        <f t="shared" si="2201"/>
        <v>0</v>
      </c>
      <c r="BF437" s="43">
        <f t="shared" si="2201"/>
        <v>0</v>
      </c>
      <c r="BG437" s="43">
        <f t="shared" si="2201"/>
        <v>7670.083333333333</v>
      </c>
      <c r="BH437" s="43">
        <f t="shared" si="2201"/>
        <v>0</v>
      </c>
      <c r="BI437" s="43">
        <f t="shared" si="2201"/>
        <v>0</v>
      </c>
      <c r="BJ437" s="43">
        <f t="shared" si="2201"/>
        <v>0</v>
      </c>
      <c r="BK437" s="43">
        <f t="shared" si="2201"/>
        <v>64.333333333333329</v>
      </c>
      <c r="BL437" s="43">
        <f t="shared" si="2201"/>
        <v>5309.833333333333</v>
      </c>
      <c r="BM437" s="43">
        <f t="shared" si="2201"/>
        <v>0.83333333333333337</v>
      </c>
      <c r="BN437" s="43">
        <f t="shared" si="2201"/>
        <v>469.41666666666669</v>
      </c>
      <c r="BO437" s="43">
        <f t="shared" si="2201"/>
        <v>4.333333333333333</v>
      </c>
      <c r="BP437" s="43">
        <f t="shared" si="2201"/>
        <v>78291.166666666672</v>
      </c>
      <c r="BQ437" s="43">
        <f t="shared" si="2201"/>
        <v>78740.166666666672</v>
      </c>
      <c r="BR437" s="43">
        <f t="shared" si="2201"/>
        <v>289</v>
      </c>
      <c r="BS437" s="43">
        <f t="shared" ref="BS437:CK437" si="2202">AVERAGE(BS324:BS335)</f>
        <v>120</v>
      </c>
      <c r="BT437" s="43">
        <f t="shared" si="2202"/>
        <v>18145.416666666668</v>
      </c>
      <c r="BU437" s="43">
        <f t="shared" si="2202"/>
        <v>68.75</v>
      </c>
      <c r="BV437" s="43">
        <f t="shared" si="2202"/>
        <v>2.5833333333333335</v>
      </c>
      <c r="BW437" s="43">
        <f t="shared" si="2202"/>
        <v>3.75</v>
      </c>
      <c r="BX437" s="43">
        <f t="shared" si="2202"/>
        <v>13.5</v>
      </c>
      <c r="BY437" s="43">
        <f t="shared" si="2202"/>
        <v>1619.4</v>
      </c>
      <c r="BZ437" s="43">
        <f t="shared" si="2202"/>
        <v>16.666666666666668</v>
      </c>
      <c r="CA437" s="43">
        <f t="shared" si="2202"/>
        <v>0</v>
      </c>
      <c r="CB437" s="43">
        <f t="shared" si="2202"/>
        <v>22374.083333333332</v>
      </c>
      <c r="CC437" s="43">
        <f t="shared" si="2202"/>
        <v>16379.666666666666</v>
      </c>
      <c r="CD437" s="43">
        <f t="shared" si="2202"/>
        <v>140126.91666666666</v>
      </c>
      <c r="CE437" s="43">
        <f t="shared" si="2202"/>
        <v>269983.33333333331</v>
      </c>
      <c r="CF437" s="43">
        <f t="shared" si="2202"/>
        <v>27944.25</v>
      </c>
      <c r="CG437" s="43">
        <f t="shared" si="2202"/>
        <v>48332.75</v>
      </c>
      <c r="CH437" s="43">
        <f t="shared" si="2202"/>
        <v>0</v>
      </c>
      <c r="CI437" s="43">
        <f t="shared" si="2202"/>
        <v>28.083333333333332</v>
      </c>
      <c r="CJ437" s="43">
        <f t="shared" si="2202"/>
        <v>5.166666666666667</v>
      </c>
      <c r="CK437" s="43">
        <f t="shared" si="2202"/>
        <v>20.833333333333332</v>
      </c>
      <c r="CL437" s="43">
        <v>0</v>
      </c>
      <c r="CM437" s="43">
        <v>0</v>
      </c>
      <c r="CN437" s="43">
        <v>0</v>
      </c>
      <c r="CO437" s="43">
        <v>0</v>
      </c>
      <c r="CP437" s="43">
        <v>0</v>
      </c>
      <c r="CQ437" s="43">
        <v>0</v>
      </c>
      <c r="CR437" s="43">
        <f t="shared" ref="CR437:CY437" si="2203">AVERAGE(CR324:CR335)</f>
        <v>67.444444444444443</v>
      </c>
      <c r="CS437" s="43">
        <f t="shared" si="2203"/>
        <v>0.5</v>
      </c>
      <c r="CT437" s="43">
        <f t="shared" si="2203"/>
        <v>0</v>
      </c>
      <c r="CU437" s="43">
        <f t="shared" si="2203"/>
        <v>0</v>
      </c>
      <c r="CV437" s="43">
        <f t="shared" si="2203"/>
        <v>0</v>
      </c>
      <c r="CW437" s="43">
        <f t="shared" si="2203"/>
        <v>15.666666666666666</v>
      </c>
      <c r="CX437" s="43">
        <f t="shared" si="2203"/>
        <v>0</v>
      </c>
      <c r="CY437" s="43">
        <f t="shared" si="2203"/>
        <v>28.75</v>
      </c>
      <c r="DB437" s="6"/>
      <c r="DC437" s="6"/>
      <c r="DD437" s="43">
        <f>AVERAGE(DD324:DD335)</f>
        <v>715189.33333333337</v>
      </c>
      <c r="DE437" s="43">
        <f>AVERAGE(DE324:DE335)</f>
        <v>269076.91666666669</v>
      </c>
      <c r="DF437" s="43">
        <f>AVERAGE(DF324:DF335)</f>
        <v>984266.25</v>
      </c>
      <c r="DH437" s="200">
        <f>SUM(DI437:DJ437)</f>
        <v>270034.75</v>
      </c>
      <c r="DI437" s="6">
        <f t="shared" ref="DI437" si="2204">DK437+DM437</f>
        <v>68989.416666666672</v>
      </c>
      <c r="DJ437" s="6">
        <f t="shared" ref="DJ437" si="2205">DL437+DN437</f>
        <v>201045.33333333331</v>
      </c>
      <c r="DK437" s="43">
        <f t="shared" ref="DK437:DW437" si="2206">AVERAGE(DK324:DK335)</f>
        <v>57415.5</v>
      </c>
      <c r="DL437" s="43">
        <f t="shared" si="2206"/>
        <v>152616.41666666666</v>
      </c>
      <c r="DM437" s="43">
        <f t="shared" si="2206"/>
        <v>11573.916666666666</v>
      </c>
      <c r="DN437" s="43">
        <f t="shared" si="2206"/>
        <v>48428.916666666664</v>
      </c>
      <c r="DO437" s="43">
        <f t="shared" si="2206"/>
        <v>461066.16666666669</v>
      </c>
      <c r="DP437" s="43">
        <f t="shared" si="2206"/>
        <v>97820</v>
      </c>
      <c r="DQ437" s="43">
        <f t="shared" si="2206"/>
        <v>674.75</v>
      </c>
      <c r="DR437" s="43">
        <f t="shared" si="2206"/>
        <v>16421.916666666668</v>
      </c>
      <c r="DS437" s="43">
        <f t="shared" si="2206"/>
        <v>78293.75</v>
      </c>
      <c r="DT437" s="43">
        <f t="shared" si="2206"/>
        <v>12994.25</v>
      </c>
      <c r="DU437" s="43"/>
      <c r="DV437" s="43"/>
      <c r="DW437" s="43">
        <f t="shared" si="2206"/>
        <v>937305.58333333337</v>
      </c>
      <c r="DY437" s="43">
        <f>AVERAGE(DY324:DY335)</f>
        <v>583409.08333333337</v>
      </c>
      <c r="DZ437" s="43">
        <f>AVERAGE(DZ324:DZ335)</f>
        <v>62065.416666666664</v>
      </c>
      <c r="EB437" s="43">
        <f>AVERAGE(EB324:EB335)</f>
        <v>1046331.6666666666</v>
      </c>
      <c r="EC437" s="43"/>
      <c r="ED437" s="43" t="e">
        <f>AVERAGE(ED324:ED335)</f>
        <v>#DIV/0!</v>
      </c>
      <c r="EF437" s="43">
        <f>AVERAGE(EF324:EF335)</f>
        <v>588455.75</v>
      </c>
      <c r="EG437" s="43">
        <f>AVERAGE(EG324:EG335)</f>
        <v>260480.58333333334</v>
      </c>
      <c r="EH437" s="43">
        <f>AVERAGE(EH324:EH335)</f>
        <v>848936.33333333337</v>
      </c>
      <c r="EJ437" s="6"/>
      <c r="EK437" s="6"/>
    </row>
    <row r="438" spans="2:141">
      <c r="B438" s="44" t="s">
        <v>377</v>
      </c>
      <c r="C438" s="43">
        <f t="shared" ref="C438:P438" si="2207">AVERAGE(C336:C347)</f>
        <v>0</v>
      </c>
      <c r="D438" s="43">
        <f t="shared" si="2207"/>
        <v>0</v>
      </c>
      <c r="E438" s="43">
        <f t="shared" si="2207"/>
        <v>0</v>
      </c>
      <c r="F438" s="43">
        <f t="shared" si="2207"/>
        <v>0</v>
      </c>
      <c r="G438" s="43">
        <f t="shared" si="2207"/>
        <v>1060.0833333333333</v>
      </c>
      <c r="H438" s="43">
        <f t="shared" si="2207"/>
        <v>15956.333333333334</v>
      </c>
      <c r="I438" s="43">
        <f t="shared" si="2207"/>
        <v>37051.166666666664</v>
      </c>
      <c r="J438" s="43">
        <f t="shared" si="2207"/>
        <v>1153.75</v>
      </c>
      <c r="K438" s="43">
        <f t="shared" si="2207"/>
        <v>2673.6666666666665</v>
      </c>
      <c r="L438" s="43">
        <f t="shared" si="2207"/>
        <v>552.66666666666663</v>
      </c>
      <c r="M438" s="43">
        <f t="shared" si="2207"/>
        <v>23873.25</v>
      </c>
      <c r="N438" s="43">
        <f t="shared" si="2207"/>
        <v>1345.9166666666667</v>
      </c>
      <c r="O438" s="43">
        <f t="shared" si="2207"/>
        <v>300.75</v>
      </c>
      <c r="P438" s="43">
        <f t="shared" si="2207"/>
        <v>1093.5</v>
      </c>
      <c r="Q438" s="43">
        <f>AVERAGE(Q336:Q347)</f>
        <v>11500.083333333334</v>
      </c>
      <c r="R438" s="43">
        <f t="shared" ref="R438:CC438" si="2208">AVERAGE(R336:R347)</f>
        <v>280.33333333333331</v>
      </c>
      <c r="S438" s="43">
        <f t="shared" si="2208"/>
        <v>7062.583333333333</v>
      </c>
      <c r="T438" s="43">
        <f t="shared" si="2208"/>
        <v>11612.25</v>
      </c>
      <c r="U438" s="43">
        <f t="shared" si="2208"/>
        <v>29.833333333333332</v>
      </c>
      <c r="V438" s="43">
        <f t="shared" si="2208"/>
        <v>2089.0833333333335</v>
      </c>
      <c r="W438" s="43">
        <f t="shared" si="2208"/>
        <v>108.66666666666667</v>
      </c>
      <c r="X438" s="43">
        <f t="shared" si="2208"/>
        <v>11159.75</v>
      </c>
      <c r="Y438" s="43">
        <f t="shared" si="2208"/>
        <v>394.08333333333331</v>
      </c>
      <c r="Z438" s="43">
        <f t="shared" si="2208"/>
        <v>12.083333333333334</v>
      </c>
      <c r="AA438" s="43">
        <f t="shared" si="2208"/>
        <v>10.583333333333334</v>
      </c>
      <c r="AB438" s="43">
        <f t="shared" si="2208"/>
        <v>6.166666666666667</v>
      </c>
      <c r="AC438" s="43">
        <f t="shared" si="2208"/>
        <v>250.41666666666666</v>
      </c>
      <c r="AD438" s="43">
        <f t="shared" si="2208"/>
        <v>25.916666666666668</v>
      </c>
      <c r="AE438" s="43">
        <f t="shared" si="2208"/>
        <v>38.75</v>
      </c>
      <c r="AF438" s="43">
        <f t="shared" si="2208"/>
        <v>36.5</v>
      </c>
      <c r="AG438" s="43">
        <f t="shared" si="2208"/>
        <v>73.833333333333329</v>
      </c>
      <c r="AH438" s="43">
        <f t="shared" si="2208"/>
        <v>49.166666666666664</v>
      </c>
      <c r="AI438" s="43">
        <f t="shared" si="2208"/>
        <v>941</v>
      </c>
      <c r="AJ438" s="43">
        <f t="shared" si="2208"/>
        <v>7.916666666666667</v>
      </c>
      <c r="AK438" s="43">
        <f t="shared" si="2208"/>
        <v>14103.666666666666</v>
      </c>
      <c r="AL438" s="43">
        <f t="shared" si="2208"/>
        <v>115189.41666666667</v>
      </c>
      <c r="AM438" s="43">
        <f t="shared" si="2208"/>
        <v>2790.4166666666665</v>
      </c>
      <c r="AN438" s="43">
        <f t="shared" si="2208"/>
        <v>21992.583333333332</v>
      </c>
      <c r="AO438" s="43">
        <f t="shared" si="2208"/>
        <v>20.166666666666668</v>
      </c>
      <c r="AP438" s="43">
        <f t="shared" si="2208"/>
        <v>17.583333333333332</v>
      </c>
      <c r="AQ438" s="43">
        <f t="shared" si="2208"/>
        <v>10951.333333333334</v>
      </c>
      <c r="AR438" s="43">
        <f t="shared" si="2208"/>
        <v>0</v>
      </c>
      <c r="AS438" s="43">
        <f t="shared" si="2208"/>
        <v>867.41666666666663</v>
      </c>
      <c r="AT438" s="43">
        <f t="shared" si="2208"/>
        <v>50.916666666666664</v>
      </c>
      <c r="AU438" s="43">
        <f t="shared" si="2208"/>
        <v>11399.25</v>
      </c>
      <c r="AV438" s="43">
        <f t="shared" si="2208"/>
        <v>2630.25</v>
      </c>
      <c r="AW438" s="43">
        <f t="shared" si="2208"/>
        <v>5184.916666666667</v>
      </c>
      <c r="AX438" s="43">
        <f t="shared" si="2208"/>
        <v>16814.083333333332</v>
      </c>
      <c r="AY438" s="43">
        <f t="shared" si="2208"/>
        <v>33.333333333333336</v>
      </c>
      <c r="AZ438" s="43">
        <f t="shared" si="2208"/>
        <v>25.666666666666668</v>
      </c>
      <c r="BA438" s="43">
        <f t="shared" si="2208"/>
        <v>1007.4166666666666</v>
      </c>
      <c r="BB438" s="43">
        <f t="shared" si="2208"/>
        <v>0</v>
      </c>
      <c r="BC438" s="43">
        <f t="shared" si="2208"/>
        <v>157.66666666666666</v>
      </c>
      <c r="BD438" s="43">
        <f t="shared" si="2208"/>
        <v>610.91666666666663</v>
      </c>
      <c r="BE438" s="43">
        <f t="shared" si="2208"/>
        <v>0</v>
      </c>
      <c r="BF438" s="43">
        <f t="shared" si="2208"/>
        <v>0</v>
      </c>
      <c r="BG438" s="43">
        <f t="shared" si="2208"/>
        <v>7688.25</v>
      </c>
      <c r="BH438" s="43">
        <f t="shared" si="2208"/>
        <v>0</v>
      </c>
      <c r="BI438" s="43">
        <f t="shared" si="2208"/>
        <v>0</v>
      </c>
      <c r="BJ438" s="43">
        <f t="shared" si="2208"/>
        <v>0</v>
      </c>
      <c r="BK438" s="43">
        <f t="shared" si="2208"/>
        <v>64.333333333333329</v>
      </c>
      <c r="BL438" s="43">
        <f t="shared" si="2208"/>
        <v>5456.5</v>
      </c>
      <c r="BM438" s="43">
        <f t="shared" si="2208"/>
        <v>0.41666666666666669</v>
      </c>
      <c r="BN438" s="43">
        <f t="shared" si="2208"/>
        <v>338.91666666666669</v>
      </c>
      <c r="BO438" s="43">
        <f t="shared" si="2208"/>
        <v>2.5</v>
      </c>
      <c r="BP438" s="43">
        <f t="shared" si="2208"/>
        <v>110094.41666666667</v>
      </c>
      <c r="BQ438" s="43">
        <f t="shared" si="2208"/>
        <v>76867.916666666672</v>
      </c>
      <c r="BR438" s="43">
        <f t="shared" si="2208"/>
        <v>503.16666666666669</v>
      </c>
      <c r="BS438" s="43">
        <f t="shared" si="2208"/>
        <v>109.83333333333333</v>
      </c>
      <c r="BT438" s="43">
        <f t="shared" si="2208"/>
        <v>24449.75</v>
      </c>
      <c r="BU438" s="43">
        <f t="shared" si="2208"/>
        <v>295.58333333333331</v>
      </c>
      <c r="BV438" s="43">
        <f t="shared" si="2208"/>
        <v>6.166666666666667</v>
      </c>
      <c r="BW438" s="43">
        <f t="shared" si="2208"/>
        <v>1.6666666666666667</v>
      </c>
      <c r="BX438" s="43">
        <f t="shared" si="2208"/>
        <v>4.833333333333333</v>
      </c>
      <c r="BY438" s="43">
        <f t="shared" si="2208"/>
        <v>5691.666666666667</v>
      </c>
      <c r="BZ438" s="43">
        <f t="shared" si="2208"/>
        <v>119.58333333333333</v>
      </c>
      <c r="CA438" s="43">
        <f t="shared" si="2208"/>
        <v>0</v>
      </c>
      <c r="CB438" s="43">
        <f t="shared" si="2208"/>
        <v>23309.416666666668</v>
      </c>
      <c r="CC438" s="43">
        <f t="shared" si="2208"/>
        <v>16493</v>
      </c>
      <c r="CD438" s="43">
        <f t="shared" ref="CD438:CY438" si="2209">AVERAGE(CD336:CD347)</f>
        <v>136813.41666666666</v>
      </c>
      <c r="CE438" s="43">
        <f t="shared" si="2209"/>
        <v>276857.75</v>
      </c>
      <c r="CF438" s="43">
        <f t="shared" si="2209"/>
        <v>29840.083333333332</v>
      </c>
      <c r="CG438" s="43">
        <f t="shared" si="2209"/>
        <v>49800.75</v>
      </c>
      <c r="CH438" s="43">
        <f t="shared" si="2209"/>
        <v>0</v>
      </c>
      <c r="CI438" s="43">
        <f t="shared" si="2209"/>
        <v>15.583333333333334</v>
      </c>
      <c r="CJ438" s="43">
        <f t="shared" si="2209"/>
        <v>2.4166666666666665</v>
      </c>
      <c r="CK438" s="43">
        <f t="shared" si="2209"/>
        <v>22.25</v>
      </c>
      <c r="CL438" s="43">
        <v>0</v>
      </c>
      <c r="CM438" s="43">
        <v>0</v>
      </c>
      <c r="CN438" s="43">
        <v>0</v>
      </c>
      <c r="CO438" s="43">
        <v>0</v>
      </c>
      <c r="CP438" s="43">
        <v>0</v>
      </c>
      <c r="CQ438" s="43">
        <v>0</v>
      </c>
      <c r="CR438" s="43">
        <f t="shared" si="2209"/>
        <v>208.08333333333334</v>
      </c>
      <c r="CS438" s="43">
        <f t="shared" si="2209"/>
        <v>5</v>
      </c>
      <c r="CT438" s="43">
        <f>AVERAGE(CT336:CT347)</f>
        <v>0</v>
      </c>
      <c r="CU438" s="43">
        <f t="shared" si="2209"/>
        <v>0</v>
      </c>
      <c r="CV438" s="43">
        <f t="shared" si="2209"/>
        <v>0</v>
      </c>
      <c r="CW438" s="43">
        <f t="shared" si="2209"/>
        <v>14.833333333333334</v>
      </c>
      <c r="CX438" s="43">
        <f t="shared" si="2209"/>
        <v>0</v>
      </c>
      <c r="CY438" s="43">
        <f t="shared" si="2209"/>
        <v>27.083333333333332</v>
      </c>
      <c r="DD438" s="43">
        <f t="shared" ref="DD438:DF438" si="2210">AVERAGE(DD336:DD347)</f>
        <v>764909.16666666663</v>
      </c>
      <c r="DE438" s="43">
        <f t="shared" si="2210"/>
        <v>274384.41666666669</v>
      </c>
      <c r="DF438" s="43">
        <f t="shared" si="2210"/>
        <v>1039293.5833333334</v>
      </c>
      <c r="DK438" s="43">
        <f t="shared" ref="DK438:DW438" si="2211">AVERAGE(DK336:DK347)</f>
        <v>58543</v>
      </c>
      <c r="DL438" s="43">
        <f t="shared" si="2211"/>
        <v>155376.58333333334</v>
      </c>
      <c r="DM438" s="43">
        <f t="shared" si="2211"/>
        <v>11612.25</v>
      </c>
      <c r="DN438" s="43">
        <f t="shared" si="2211"/>
        <v>49849.416666666664</v>
      </c>
      <c r="DO438" s="43">
        <f t="shared" si="2211"/>
        <v>467975.33333333331</v>
      </c>
      <c r="DP438" s="43">
        <f t="shared" si="2211"/>
        <v>102293.16666666667</v>
      </c>
      <c r="DQ438" s="43">
        <f t="shared" si="2211"/>
        <v>5691.666666666667</v>
      </c>
      <c r="DR438" s="43">
        <f t="shared" si="2211"/>
        <v>16519.166666666668</v>
      </c>
      <c r="DS438" s="43">
        <f t="shared" si="2211"/>
        <v>110100.58333333333</v>
      </c>
      <c r="DT438" s="43">
        <f t="shared" si="2211"/>
        <v>13150</v>
      </c>
      <c r="DU438" s="43"/>
      <c r="DV438" s="43"/>
      <c r="DW438" s="43">
        <f t="shared" si="2211"/>
        <v>991111.16666666663</v>
      </c>
      <c r="DY438" s="43">
        <f t="shared" ref="DY438:DZ438" si="2212">AVERAGE(DY336:DY347)</f>
        <v>587761</v>
      </c>
      <c r="DZ438" s="43">
        <f t="shared" si="2212"/>
        <v>58748.416666666664</v>
      </c>
      <c r="EB438" s="43">
        <f t="shared" ref="EB438" si="2213">AVERAGE(EB336:EB347)</f>
        <v>1098042</v>
      </c>
      <c r="EC438" s="43"/>
      <c r="ED438" s="43" t="e">
        <f t="shared" ref="ED438" si="2214">AVERAGE(ED336:ED347)</f>
        <v>#DIV/0!</v>
      </c>
      <c r="EF438" s="43">
        <f t="shared" ref="EF438:EH438" si="2215">AVERAGE(EF336:EF347)</f>
        <v>604955</v>
      </c>
      <c r="EG438" s="43">
        <f t="shared" si="2215"/>
        <v>264587.16666666669</v>
      </c>
      <c r="EH438" s="43">
        <f t="shared" si="2215"/>
        <v>869542.16666666663</v>
      </c>
    </row>
    <row r="439" spans="2:141">
      <c r="B439" s="44" t="s">
        <v>398</v>
      </c>
      <c r="C439" s="43">
        <f t="shared" ref="C439" si="2216">AVERAGE(C348:C359)</f>
        <v>0</v>
      </c>
      <c r="D439" s="43">
        <f t="shared" ref="D439:F439" si="2217">AVERAGE(D348:D359)</f>
        <v>0</v>
      </c>
      <c r="E439" s="43">
        <f t="shared" si="2217"/>
        <v>0</v>
      </c>
      <c r="F439" s="43">
        <f t="shared" si="2217"/>
        <v>0</v>
      </c>
      <c r="G439" s="43">
        <f t="shared" ref="G439:H439" si="2218">AVERAGE(G348:G359)</f>
        <v>1064.4166666666667</v>
      </c>
      <c r="H439" s="43">
        <f t="shared" si="2218"/>
        <v>16305.416666666666</v>
      </c>
      <c r="I439" s="43">
        <f>AVERAGE(I348:I359)</f>
        <v>39301.416666666664</v>
      </c>
      <c r="J439" s="43">
        <f t="shared" ref="J439:BU439" si="2219">AVERAGE(J348:J359)</f>
        <v>960.83333333333337</v>
      </c>
      <c r="K439" s="43">
        <f t="shared" si="2219"/>
        <v>2301.8333333333335</v>
      </c>
      <c r="L439" s="43">
        <f t="shared" si="2219"/>
        <v>1065.4166666666667</v>
      </c>
      <c r="M439" s="43">
        <f t="shared" si="2219"/>
        <v>28446.75</v>
      </c>
      <c r="N439" s="43">
        <f t="shared" si="2219"/>
        <v>1431.6666666666667</v>
      </c>
      <c r="O439" s="43">
        <f t="shared" si="2219"/>
        <v>581.41666666666663</v>
      </c>
      <c r="P439" s="43">
        <f t="shared" si="2219"/>
        <v>1394.1666666666667</v>
      </c>
      <c r="Q439" s="43">
        <f t="shared" si="2219"/>
        <v>10613.666666666666</v>
      </c>
      <c r="R439" s="43">
        <f>AVERAGE(R348:R359)</f>
        <v>250</v>
      </c>
      <c r="S439" s="43">
        <f t="shared" si="2219"/>
        <v>5756.916666666667</v>
      </c>
      <c r="T439" s="43">
        <f t="shared" si="2219"/>
        <v>12604.083333333334</v>
      </c>
      <c r="U439" s="43">
        <f t="shared" si="2219"/>
        <v>33</v>
      </c>
      <c r="V439" s="43">
        <f t="shared" si="2219"/>
        <v>3445.9166666666665</v>
      </c>
      <c r="W439" s="43">
        <f t="shared" si="2219"/>
        <v>60.75</v>
      </c>
      <c r="X439" s="43">
        <f t="shared" si="2219"/>
        <v>14583.25</v>
      </c>
      <c r="Y439" s="43">
        <f t="shared" si="2219"/>
        <v>460.83333333333331</v>
      </c>
      <c r="Z439" s="43">
        <f t="shared" si="2219"/>
        <v>7.083333333333333</v>
      </c>
      <c r="AA439" s="43">
        <f t="shared" si="2219"/>
        <v>6</v>
      </c>
      <c r="AB439" s="43">
        <f t="shared" si="2219"/>
        <v>2.5833333333333335</v>
      </c>
      <c r="AC439" s="43">
        <f t="shared" si="2219"/>
        <v>206.25</v>
      </c>
      <c r="AD439" s="43">
        <f t="shared" si="2219"/>
        <v>20.666666666666668</v>
      </c>
      <c r="AE439" s="43">
        <f t="shared" si="2219"/>
        <v>31.666666666666668</v>
      </c>
      <c r="AF439" s="43">
        <f t="shared" si="2219"/>
        <v>24.583333333333332</v>
      </c>
      <c r="AG439" s="43">
        <f t="shared" si="2219"/>
        <v>57.583333333333336</v>
      </c>
      <c r="AH439" s="43">
        <f t="shared" si="2219"/>
        <v>75</v>
      </c>
      <c r="AI439" s="43">
        <f t="shared" si="2219"/>
        <v>1736.4166666666667</v>
      </c>
      <c r="AJ439" s="43">
        <f t="shared" si="2219"/>
        <v>2.9166666666666665</v>
      </c>
      <c r="AK439" s="43">
        <f t="shared" si="2219"/>
        <v>15428.166666666666</v>
      </c>
      <c r="AL439" s="43">
        <f t="shared" si="2219"/>
        <v>111845.33333333333</v>
      </c>
      <c r="AM439" s="43">
        <f t="shared" si="2219"/>
        <v>2600.1666666666665</v>
      </c>
      <c r="AN439" s="43">
        <f t="shared" si="2219"/>
        <v>21455.083333333332</v>
      </c>
      <c r="AO439" s="43">
        <f t="shared" si="2219"/>
        <v>22.666666666666668</v>
      </c>
      <c r="AP439" s="43">
        <f t="shared" si="2219"/>
        <v>91.416666666666671</v>
      </c>
      <c r="AQ439" s="43">
        <f t="shared" si="2219"/>
        <v>10905.666666666666</v>
      </c>
      <c r="AR439" s="43">
        <f t="shared" si="2219"/>
        <v>0</v>
      </c>
      <c r="AS439" s="43">
        <f t="shared" si="2219"/>
        <v>872</v>
      </c>
      <c r="AT439" s="43">
        <f t="shared" si="2219"/>
        <v>49.166666666666664</v>
      </c>
      <c r="AU439" s="43">
        <f t="shared" si="2219"/>
        <v>10916</v>
      </c>
      <c r="AV439" s="43">
        <f t="shared" si="2219"/>
        <v>2356.75</v>
      </c>
      <c r="AW439" s="43">
        <f t="shared" si="2219"/>
        <v>4062.4166666666665</v>
      </c>
      <c r="AX439" s="43">
        <f t="shared" si="2219"/>
        <v>15812.25</v>
      </c>
      <c r="AY439" s="43">
        <f t="shared" si="2219"/>
        <v>12.583333333333334</v>
      </c>
      <c r="AZ439" s="43">
        <f t="shared" si="2219"/>
        <v>7</v>
      </c>
      <c r="BA439" s="43">
        <f t="shared" si="2219"/>
        <v>973.33333333333337</v>
      </c>
      <c r="BB439" s="43">
        <f t="shared" si="2219"/>
        <v>0.5</v>
      </c>
      <c r="BC439" s="43">
        <f t="shared" si="2219"/>
        <v>124.91666666666667</v>
      </c>
      <c r="BD439" s="43">
        <f t="shared" si="2219"/>
        <v>726.83333333333337</v>
      </c>
      <c r="BE439" s="43">
        <f t="shared" si="2219"/>
        <v>0</v>
      </c>
      <c r="BF439" s="43">
        <f t="shared" si="2219"/>
        <v>0</v>
      </c>
      <c r="BG439" s="43">
        <f t="shared" si="2219"/>
        <v>7798.666666666667</v>
      </c>
      <c r="BH439" s="43">
        <f t="shared" si="2219"/>
        <v>0</v>
      </c>
      <c r="BI439" s="43">
        <f t="shared" si="2219"/>
        <v>0</v>
      </c>
      <c r="BJ439" s="43">
        <f t="shared" si="2219"/>
        <v>0</v>
      </c>
      <c r="BK439" s="43">
        <f t="shared" si="2219"/>
        <v>48.25</v>
      </c>
      <c r="BL439" s="43">
        <f t="shared" si="2219"/>
        <v>5543.083333333333</v>
      </c>
      <c r="BM439" s="43">
        <f t="shared" si="2219"/>
        <v>0</v>
      </c>
      <c r="BN439" s="43">
        <f t="shared" si="2219"/>
        <v>442.75</v>
      </c>
      <c r="BO439" s="43">
        <f t="shared" si="2219"/>
        <v>0.5</v>
      </c>
      <c r="BP439" s="43">
        <f t="shared" si="2219"/>
        <v>110940.33333333333</v>
      </c>
      <c r="BQ439" s="43">
        <f t="shared" si="2219"/>
        <v>80284</v>
      </c>
      <c r="BR439" s="43">
        <f t="shared" si="2219"/>
        <v>1488.5</v>
      </c>
      <c r="BS439" s="43">
        <f t="shared" si="2219"/>
        <v>41.416666666666664</v>
      </c>
      <c r="BT439" s="43">
        <f t="shared" si="2219"/>
        <v>27632.75</v>
      </c>
      <c r="BU439" s="43">
        <f t="shared" si="2219"/>
        <v>1115.75</v>
      </c>
      <c r="BV439" s="43">
        <f t="shared" ref="BV439:CY439" si="2220">AVERAGE(BV348:BV359)</f>
        <v>1.25</v>
      </c>
      <c r="BW439" s="43">
        <f t="shared" si="2220"/>
        <v>0</v>
      </c>
      <c r="BX439" s="43">
        <f t="shared" si="2220"/>
        <v>4.083333333333333</v>
      </c>
      <c r="BY439" s="43">
        <f t="shared" si="2220"/>
        <v>9751.1666666666661</v>
      </c>
      <c r="BZ439" s="43">
        <f t="shared" si="2220"/>
        <v>352.75</v>
      </c>
      <c r="CA439" s="43">
        <f t="shared" si="2220"/>
        <v>0</v>
      </c>
      <c r="CB439" s="43">
        <f t="shared" si="2220"/>
        <v>24450.416666666668</v>
      </c>
      <c r="CC439" s="43">
        <f t="shared" si="2220"/>
        <v>15724.25</v>
      </c>
      <c r="CD439" s="43">
        <f t="shared" si="2220"/>
        <v>132788.5</v>
      </c>
      <c r="CE439" s="43">
        <f t="shared" si="2220"/>
        <v>279358.58333333331</v>
      </c>
      <c r="CF439" s="43">
        <f t="shared" si="2220"/>
        <v>33505.083333333336</v>
      </c>
      <c r="CG439" s="43">
        <f t="shared" si="2220"/>
        <v>52420.666666666664</v>
      </c>
      <c r="CH439" s="43">
        <f t="shared" si="2220"/>
        <v>0</v>
      </c>
      <c r="CI439" s="43">
        <f t="shared" si="2220"/>
        <v>11.75</v>
      </c>
      <c r="CJ439" s="43">
        <f t="shared" si="2220"/>
        <v>3.1666666666666665</v>
      </c>
      <c r="CK439" s="43">
        <f t="shared" si="2220"/>
        <v>52.666666666666664</v>
      </c>
      <c r="CL439" s="43">
        <v>0</v>
      </c>
      <c r="CM439" s="43">
        <v>0</v>
      </c>
      <c r="CN439" s="43">
        <v>0</v>
      </c>
      <c r="CO439" s="43">
        <v>0</v>
      </c>
      <c r="CP439" s="43">
        <v>0</v>
      </c>
      <c r="CQ439" s="43">
        <v>0</v>
      </c>
      <c r="CR439" s="43">
        <f t="shared" si="2220"/>
        <v>375.5</v>
      </c>
      <c r="CS439" s="43">
        <f t="shared" si="2220"/>
        <v>11.583333333333334</v>
      </c>
      <c r="CT439" s="43">
        <f t="shared" si="2220"/>
        <v>0</v>
      </c>
      <c r="CU439" s="43">
        <f t="shared" si="2220"/>
        <v>0</v>
      </c>
      <c r="CV439" s="43">
        <f t="shared" si="2220"/>
        <v>0</v>
      </c>
      <c r="CW439" s="43">
        <f t="shared" si="2220"/>
        <v>14</v>
      </c>
      <c r="CX439" s="43">
        <f t="shared" si="2220"/>
        <v>0</v>
      </c>
      <c r="CY439" s="43">
        <f t="shared" si="2220"/>
        <v>26.5</v>
      </c>
      <c r="DD439" s="43">
        <f>AVERAGE(DD348:DD359)</f>
        <v>783779.91666666663</v>
      </c>
      <c r="DE439" s="43">
        <f>AVERAGE(DE348:DE359)</f>
        <v>278181.33333333331</v>
      </c>
      <c r="DF439" s="43">
        <f>AVERAGE(DF348:DF359)</f>
        <v>1061961.25</v>
      </c>
      <c r="DH439" s="193">
        <f>(DH437-DH436)/DH436</f>
        <v>1.4470625619287416E-2</v>
      </c>
      <c r="DI439" s="193">
        <f>(DI437-DI436)/DI436</f>
        <v>-2.4508770259800191E-3</v>
      </c>
      <c r="DJ439" s="193">
        <f>(DJ437-DJ436)/DJ436</f>
        <v>2.0410373017161941E-2</v>
      </c>
      <c r="DK439" s="43">
        <f t="shared" ref="DK439:DW439" si="2221">AVERAGE(DK348:DK359)</f>
        <v>66016.083333333328</v>
      </c>
      <c r="DL439" s="43">
        <f t="shared" si="2221"/>
        <v>152206.5</v>
      </c>
      <c r="DM439" s="43">
        <f t="shared" si="2221"/>
        <v>12604.083333333334</v>
      </c>
      <c r="DN439" s="43">
        <f t="shared" si="2221"/>
        <v>48322</v>
      </c>
      <c r="DO439" s="43">
        <f>AVERAGE(DO348:DO359)</f>
        <v>473218.16666666669</v>
      </c>
      <c r="DP439" s="43">
        <f t="shared" si="2221"/>
        <v>109093.33333333333</v>
      </c>
      <c r="DQ439" s="43">
        <f t="shared" si="2221"/>
        <v>9751.1666666666661</v>
      </c>
      <c r="DR439" s="43">
        <f t="shared" si="2221"/>
        <v>15742</v>
      </c>
      <c r="DS439" s="43">
        <f t="shared" si="2221"/>
        <v>110941.58333333333</v>
      </c>
      <c r="DT439" s="43">
        <f t="shared" si="2221"/>
        <v>13345.833333333334</v>
      </c>
      <c r="DU439" s="43"/>
      <c r="DV439" s="43"/>
      <c r="DW439" s="43">
        <f t="shared" si="2221"/>
        <v>1011240.75</v>
      </c>
      <c r="DY439" s="43">
        <f t="shared" ref="DY439:DZ439" si="2222">AVERAGE(DY348:DY359)</f>
        <v>597854.16666666663</v>
      </c>
      <c r="DZ439" s="43">
        <f t="shared" si="2222"/>
        <v>61580.75</v>
      </c>
      <c r="EB439" s="43">
        <f t="shared" ref="EB439:ED439" si="2223">AVERAGE(EB348:EB359)</f>
        <v>1123542</v>
      </c>
      <c r="EC439" s="43" t="e">
        <f t="shared" si="2223"/>
        <v>#DIV/0!</v>
      </c>
      <c r="ED439" s="43" t="e">
        <f t="shared" si="2223"/>
        <v>#DIV/0!</v>
      </c>
      <c r="EF439" s="43">
        <f t="shared" ref="EF439:EH439" si="2224">AVERAGE(EF348:EF359)</f>
        <v>620399.33333333337</v>
      </c>
      <c r="EG439" s="43">
        <f t="shared" si="2224"/>
        <v>268462.91666666669</v>
      </c>
      <c r="EH439" s="43">
        <f t="shared" si="2224"/>
        <v>888862.25</v>
      </c>
    </row>
    <row r="440" spans="2:141">
      <c r="B440" s="44" t="s">
        <v>410</v>
      </c>
      <c r="C440" s="43">
        <f>AVERAGE(C360:C371)</f>
        <v>0</v>
      </c>
      <c r="D440" s="43">
        <f t="shared" ref="D440:BO440" si="2225">AVERAGE(D360:D371)</f>
        <v>0</v>
      </c>
      <c r="E440" s="43">
        <f t="shared" si="2225"/>
        <v>0</v>
      </c>
      <c r="F440" s="43">
        <f t="shared" si="2225"/>
        <v>0</v>
      </c>
      <c r="G440" s="43">
        <f>AVERAGE(G360:G371)</f>
        <v>1151.5</v>
      </c>
      <c r="H440" s="43">
        <f>AVERAGE(H360:H371)</f>
        <v>18049.583333333332</v>
      </c>
      <c r="I440" s="43">
        <f t="shared" si="2225"/>
        <v>45024.833333333336</v>
      </c>
      <c r="J440" s="43">
        <f t="shared" si="2225"/>
        <v>901.5</v>
      </c>
      <c r="K440" s="43">
        <f t="shared" si="2225"/>
        <v>2129.8333333333335</v>
      </c>
      <c r="L440" s="43">
        <f t="shared" si="2225"/>
        <v>1210.0833333333333</v>
      </c>
      <c r="M440" s="43">
        <f t="shared" si="2225"/>
        <v>32613.583333333332</v>
      </c>
      <c r="N440" s="43">
        <f t="shared" si="2225"/>
        <v>1512.0833333333333</v>
      </c>
      <c r="O440" s="43">
        <f t="shared" si="2225"/>
        <v>696.83333333333337</v>
      </c>
      <c r="P440" s="43">
        <f t="shared" si="2225"/>
        <v>1651.1666666666667</v>
      </c>
      <c r="Q440" s="43">
        <f t="shared" si="2225"/>
        <v>10110.25</v>
      </c>
      <c r="R440" s="43">
        <f t="shared" si="2225"/>
        <v>234.41666666666666</v>
      </c>
      <c r="S440" s="43">
        <f t="shared" si="2225"/>
        <v>4900.666666666667</v>
      </c>
      <c r="T440" s="43">
        <f t="shared" si="2225"/>
        <v>13684.75</v>
      </c>
      <c r="U440" s="43">
        <f t="shared" si="2225"/>
        <v>39.916666666666664</v>
      </c>
      <c r="V440" s="43">
        <f t="shared" si="2225"/>
        <v>4444.25</v>
      </c>
      <c r="W440" s="43">
        <f t="shared" si="2225"/>
        <v>41.416666666666664</v>
      </c>
      <c r="X440" s="43">
        <f t="shared" si="2225"/>
        <v>17052.083333333332</v>
      </c>
      <c r="Y440" s="43">
        <f t="shared" si="2225"/>
        <v>398.41666666666669</v>
      </c>
      <c r="Z440" s="43">
        <f t="shared" si="2225"/>
        <v>4.666666666666667</v>
      </c>
      <c r="AA440" s="43">
        <f t="shared" si="2225"/>
        <v>3.5</v>
      </c>
      <c r="AB440" s="43">
        <f t="shared" si="2225"/>
        <v>1.25</v>
      </c>
      <c r="AC440" s="43">
        <f t="shared" si="2225"/>
        <v>124.83333333333333</v>
      </c>
      <c r="AD440" s="43">
        <f t="shared" si="2225"/>
        <v>20.166666666666668</v>
      </c>
      <c r="AE440" s="43">
        <f t="shared" si="2225"/>
        <v>26.583333333333332</v>
      </c>
      <c r="AF440" s="43">
        <f t="shared" si="2225"/>
        <v>15.083333333333334</v>
      </c>
      <c r="AG440" s="43">
        <f t="shared" si="2225"/>
        <v>40.416666666666664</v>
      </c>
      <c r="AH440" s="43">
        <f t="shared" si="2225"/>
        <v>104.58333333333333</v>
      </c>
      <c r="AI440" s="43">
        <f t="shared" si="2225"/>
        <v>2434.1666666666665</v>
      </c>
      <c r="AJ440" s="43">
        <f t="shared" si="2225"/>
        <v>1.9166666666666667</v>
      </c>
      <c r="AK440" s="43">
        <f t="shared" si="2225"/>
        <v>16300.833333333334</v>
      </c>
      <c r="AL440" s="43">
        <f t="shared" si="2225"/>
        <v>111163.58333333333</v>
      </c>
      <c r="AM440" s="43">
        <f t="shared" si="2225"/>
        <v>2250.9166666666665</v>
      </c>
      <c r="AN440" s="43">
        <f t="shared" si="2225"/>
        <v>21217.666666666668</v>
      </c>
      <c r="AO440" s="43">
        <f t="shared" si="2225"/>
        <v>16.5</v>
      </c>
      <c r="AP440" s="43">
        <f t="shared" si="2225"/>
        <v>136.08333333333334</v>
      </c>
      <c r="AQ440" s="43">
        <f t="shared" si="2225"/>
        <v>10765.416666666666</v>
      </c>
      <c r="AR440" s="43">
        <f t="shared" si="2225"/>
        <v>0</v>
      </c>
      <c r="AS440" s="43">
        <f t="shared" si="2225"/>
        <v>865.5</v>
      </c>
      <c r="AT440" s="43">
        <f t="shared" si="2225"/>
        <v>37.083333333333336</v>
      </c>
      <c r="AU440" s="43">
        <f t="shared" si="2225"/>
        <v>10256.583333333334</v>
      </c>
      <c r="AV440" s="43">
        <f t="shared" si="2225"/>
        <v>2188.9166666666665</v>
      </c>
      <c r="AW440" s="43">
        <f t="shared" si="2225"/>
        <v>3128.8333333333335</v>
      </c>
      <c r="AX440" s="43">
        <f t="shared" si="2225"/>
        <v>15015.833333333334</v>
      </c>
      <c r="AY440" s="43">
        <f t="shared" si="2225"/>
        <v>10</v>
      </c>
      <c r="AZ440" s="43">
        <f t="shared" si="2225"/>
        <v>5</v>
      </c>
      <c r="BA440" s="43">
        <f t="shared" si="2225"/>
        <v>924.41666666666663</v>
      </c>
      <c r="BB440" s="43">
        <f t="shared" si="2225"/>
        <v>1</v>
      </c>
      <c r="BC440" s="43">
        <f t="shared" si="2225"/>
        <v>143.66666666666666</v>
      </c>
      <c r="BD440" s="43">
        <f t="shared" si="2225"/>
        <v>941.83333333333337</v>
      </c>
      <c r="BE440" s="43">
        <f t="shared" si="2225"/>
        <v>0</v>
      </c>
      <c r="BF440" s="43">
        <f t="shared" si="2225"/>
        <v>0</v>
      </c>
      <c r="BG440" s="43">
        <f t="shared" si="2225"/>
        <v>8009.25</v>
      </c>
      <c r="BH440" s="43">
        <f t="shared" si="2225"/>
        <v>0</v>
      </c>
      <c r="BI440" s="43">
        <f t="shared" si="2225"/>
        <v>0</v>
      </c>
      <c r="BJ440" s="43">
        <f t="shared" si="2225"/>
        <v>0</v>
      </c>
      <c r="BK440" s="43">
        <f t="shared" si="2225"/>
        <v>36.166666666666664</v>
      </c>
      <c r="BL440" s="43">
        <f t="shared" si="2225"/>
        <v>5373.916666666667</v>
      </c>
      <c r="BM440" s="43">
        <f t="shared" si="2225"/>
        <v>0</v>
      </c>
      <c r="BN440" s="43">
        <f t="shared" si="2225"/>
        <v>257.58333333333331</v>
      </c>
      <c r="BO440" s="43">
        <f t="shared" si="2225"/>
        <v>0</v>
      </c>
      <c r="BP440" s="43">
        <f t="shared" ref="BP440:CY440" si="2226">AVERAGE(BP360:BP371)</f>
        <v>123288.75</v>
      </c>
      <c r="BQ440" s="43">
        <f t="shared" si="2226"/>
        <v>84668.583333333328</v>
      </c>
      <c r="BR440" s="43">
        <f t="shared" si="2226"/>
        <v>2725.1666666666665</v>
      </c>
      <c r="BS440" s="43">
        <f t="shared" si="2226"/>
        <v>23.75</v>
      </c>
      <c r="BT440" s="43">
        <f t="shared" si="2226"/>
        <v>30300.916666666668</v>
      </c>
      <c r="BU440" s="43">
        <f t="shared" si="2226"/>
        <v>1865.0833333333333</v>
      </c>
      <c r="BV440" s="43">
        <f t="shared" si="2226"/>
        <v>0</v>
      </c>
      <c r="BW440" s="43">
        <f t="shared" si="2226"/>
        <v>0.75</v>
      </c>
      <c r="BX440" s="43">
        <f t="shared" si="2226"/>
        <v>3.0833333333333335</v>
      </c>
      <c r="BY440" s="43">
        <f t="shared" si="2226"/>
        <v>13531</v>
      </c>
      <c r="BZ440" s="43">
        <f t="shared" si="2226"/>
        <v>289.08333333333331</v>
      </c>
      <c r="CA440" s="43">
        <f t="shared" si="2226"/>
        <v>0</v>
      </c>
      <c r="CB440" s="43">
        <f t="shared" si="2226"/>
        <v>27146.833333333332</v>
      </c>
      <c r="CC440" s="43">
        <f t="shared" si="2226"/>
        <v>15825.416666666666</v>
      </c>
      <c r="CD440" s="43">
        <f t="shared" si="2226"/>
        <v>131688.25</v>
      </c>
      <c r="CE440" s="43">
        <f t="shared" si="2226"/>
        <v>281153.91666666669</v>
      </c>
      <c r="CF440" s="43">
        <f t="shared" si="2226"/>
        <v>36764.75</v>
      </c>
      <c r="CG440" s="43">
        <f t="shared" si="2226"/>
        <v>60757.166666666664</v>
      </c>
      <c r="CH440" s="43">
        <f t="shared" si="2226"/>
        <v>0</v>
      </c>
      <c r="CI440" s="43">
        <f t="shared" si="2226"/>
        <v>9.25</v>
      </c>
      <c r="CJ440" s="43">
        <f t="shared" si="2226"/>
        <v>8.3333333333333329E-2</v>
      </c>
      <c r="CK440" s="43">
        <f t="shared" si="2226"/>
        <v>83.833333333333329</v>
      </c>
      <c r="CL440" s="43">
        <v>0</v>
      </c>
      <c r="CM440" s="43">
        <v>0</v>
      </c>
      <c r="CN440" s="43">
        <v>0</v>
      </c>
      <c r="CO440" s="43">
        <v>0</v>
      </c>
      <c r="CP440" s="43">
        <v>0</v>
      </c>
      <c r="CQ440" s="43">
        <v>0</v>
      </c>
      <c r="CR440" s="43">
        <f t="shared" si="2226"/>
        <v>425</v>
      </c>
      <c r="CS440" s="43">
        <f t="shared" si="2226"/>
        <v>18.416666666666668</v>
      </c>
      <c r="CT440" s="43">
        <f t="shared" si="2226"/>
        <v>0</v>
      </c>
      <c r="CU440" s="43">
        <f t="shared" si="2226"/>
        <v>0</v>
      </c>
      <c r="CV440" s="43">
        <f t="shared" si="2226"/>
        <v>0</v>
      </c>
      <c r="CW440" s="43">
        <f t="shared" si="2226"/>
        <v>14</v>
      </c>
      <c r="CX440" s="43">
        <f t="shared" si="2226"/>
        <v>0</v>
      </c>
      <c r="CY440" s="43">
        <f t="shared" si="2226"/>
        <v>25.75</v>
      </c>
      <c r="DC440" s="36"/>
      <c r="DD440" s="43">
        <f t="shared" ref="DD440:DF440" si="2227">AVERAGE(DD360:DD371)</f>
        <v>823817.58333333337</v>
      </c>
      <c r="DE440" s="43">
        <f t="shared" si="2227"/>
        <v>283392</v>
      </c>
      <c r="DF440" s="43">
        <f t="shared" si="2227"/>
        <v>1107209.5833333333</v>
      </c>
      <c r="DK440" s="43">
        <f t="shared" ref="DK440:DW440" si="2228">AVERAGE(DK360:DK371)</f>
        <v>72599.833333333328</v>
      </c>
      <c r="DL440" s="43">
        <f t="shared" si="2228"/>
        <v>150852.91666666666</v>
      </c>
      <c r="DM440" s="43">
        <f t="shared" si="2228"/>
        <v>13684.75</v>
      </c>
      <c r="DN440" s="43">
        <f t="shared" si="2228"/>
        <v>47175.416666666664</v>
      </c>
      <c r="DO440" s="43">
        <f t="shared" si="2228"/>
        <v>481787.66666666669</v>
      </c>
      <c r="DP440" s="43">
        <f t="shared" si="2228"/>
        <v>116173.91666666667</v>
      </c>
      <c r="DQ440" s="43">
        <f t="shared" si="2228"/>
        <v>13531</v>
      </c>
      <c r="DR440" s="43">
        <f t="shared" si="2228"/>
        <v>15838.166666666666</v>
      </c>
      <c r="DS440" s="43">
        <f t="shared" si="2228"/>
        <v>123288.75</v>
      </c>
      <c r="DT440" s="43">
        <f t="shared" si="2228"/>
        <v>13386.25</v>
      </c>
      <c r="DU440" s="43"/>
      <c r="DV440" s="43"/>
      <c r="DW440" s="43">
        <f t="shared" si="2228"/>
        <v>1048318.6666666666</v>
      </c>
      <c r="DY440" s="43">
        <f t="shared" ref="DY440:EH440" si="2229">AVERAGE(DY360:DY371)</f>
        <v>622036.83333333337</v>
      </c>
      <c r="DZ440" s="43">
        <f t="shared" si="2229"/>
        <v>69164.166666666672</v>
      </c>
      <c r="EB440" s="43">
        <f t="shared" si="2229"/>
        <v>1176373.75</v>
      </c>
      <c r="EC440" s="43" t="e">
        <f t="shared" si="2229"/>
        <v>#DIV/0!</v>
      </c>
      <c r="ED440" s="43" t="e">
        <f t="shared" si="2229"/>
        <v>#DIV/0!</v>
      </c>
      <c r="EF440" s="43">
        <f t="shared" si="2229"/>
        <v>639756.66666666663</v>
      </c>
      <c r="EG440" s="43">
        <f t="shared" si="2229"/>
        <v>273819.41666666669</v>
      </c>
      <c r="EH440" s="43">
        <f t="shared" si="2229"/>
        <v>913576.08333333337</v>
      </c>
    </row>
    <row r="441" spans="2:141">
      <c r="B441" s="44" t="s">
        <v>472</v>
      </c>
      <c r="C441" s="43">
        <f t="shared" ref="C441:D441" si="2230">AVERAGE(C372:C383)</f>
        <v>0</v>
      </c>
      <c r="D441" s="43">
        <f t="shared" si="2230"/>
        <v>0</v>
      </c>
      <c r="E441" s="43">
        <f t="shared" ref="E441:G441" si="2231">AVERAGE(E372:E383)</f>
        <v>0</v>
      </c>
      <c r="F441" s="43">
        <f t="shared" si="2231"/>
        <v>0</v>
      </c>
      <c r="G441" s="43">
        <f t="shared" si="2231"/>
        <v>1218.8333333333333</v>
      </c>
      <c r="H441" s="43">
        <f>AVERAGE(H372:H383)</f>
        <v>18236.166666666668</v>
      </c>
      <c r="I441" s="43">
        <f t="shared" ref="I441:BT441" si="2232">AVERAGE(I372:I383)</f>
        <v>47732.333333333336</v>
      </c>
      <c r="J441" s="43">
        <f t="shared" si="2232"/>
        <v>945.66666666666663</v>
      </c>
      <c r="K441" s="43">
        <f t="shared" si="2232"/>
        <v>2353.5833333333335</v>
      </c>
      <c r="L441" s="43">
        <f t="shared" si="2232"/>
        <v>1271.3333333333333</v>
      </c>
      <c r="M441" s="43">
        <f t="shared" si="2232"/>
        <v>33255.666666666664</v>
      </c>
      <c r="N441" s="43">
        <f t="shared" si="2232"/>
        <v>1418.9166666666667</v>
      </c>
      <c r="O441" s="43">
        <f t="shared" si="2232"/>
        <v>785.66666666666663</v>
      </c>
      <c r="P441" s="43">
        <f t="shared" si="2232"/>
        <v>1734.25</v>
      </c>
      <c r="Q441" s="43">
        <f t="shared" si="2232"/>
        <v>10636</v>
      </c>
      <c r="R441" s="43">
        <f t="shared" si="2232"/>
        <v>253.58333333333334</v>
      </c>
      <c r="S441" s="43">
        <f t="shared" si="2232"/>
        <v>5775.75</v>
      </c>
      <c r="T441" s="43">
        <f t="shared" si="2232"/>
        <v>13972</v>
      </c>
      <c r="U441" s="43">
        <f t="shared" si="2232"/>
        <v>49.333333333333336</v>
      </c>
      <c r="V441" s="43">
        <f t="shared" si="2232"/>
        <v>4530.75</v>
      </c>
      <c r="W441" s="43">
        <f t="shared" si="2232"/>
        <v>41.583333333333336</v>
      </c>
      <c r="X441" s="43">
        <f t="shared" si="2232"/>
        <v>15848.5</v>
      </c>
      <c r="Y441" s="43">
        <f t="shared" si="2232"/>
        <v>435.66666666666669</v>
      </c>
      <c r="Z441" s="43">
        <f t="shared" si="2232"/>
        <v>5.25</v>
      </c>
      <c r="AA441" s="43">
        <f t="shared" si="2232"/>
        <v>5.833333333333333</v>
      </c>
      <c r="AB441" s="43">
        <f t="shared" si="2232"/>
        <v>1.25</v>
      </c>
      <c r="AC441" s="43">
        <f t="shared" si="2232"/>
        <v>85.833333333333329</v>
      </c>
      <c r="AD441" s="43">
        <f t="shared" si="2232"/>
        <v>25.916666666666668</v>
      </c>
      <c r="AE441" s="43">
        <f t="shared" si="2232"/>
        <v>23.083333333333332</v>
      </c>
      <c r="AF441" s="43">
        <f t="shared" si="2232"/>
        <v>14.833333333333334</v>
      </c>
      <c r="AG441" s="43">
        <f t="shared" si="2232"/>
        <v>41.083333333333336</v>
      </c>
      <c r="AH441" s="43">
        <f t="shared" si="2232"/>
        <v>130.25</v>
      </c>
      <c r="AI441" s="43">
        <f t="shared" si="2232"/>
        <v>2476.3333333333335</v>
      </c>
      <c r="AJ441" s="43">
        <f t="shared" si="2232"/>
        <v>1</v>
      </c>
      <c r="AK441" s="43">
        <f t="shared" si="2232"/>
        <v>13678.916666666666</v>
      </c>
      <c r="AL441" s="43">
        <f t="shared" si="2232"/>
        <v>112682.33333333333</v>
      </c>
      <c r="AM441" s="43">
        <f t="shared" si="2232"/>
        <v>2094</v>
      </c>
      <c r="AN441" s="43">
        <f t="shared" si="2232"/>
        <v>21689.166666666668</v>
      </c>
      <c r="AO441" s="43">
        <f t="shared" si="2232"/>
        <v>19.416666666666668</v>
      </c>
      <c r="AP441" s="43">
        <f t="shared" si="2232"/>
        <v>137.41666666666666</v>
      </c>
      <c r="AQ441" s="43">
        <f t="shared" si="2232"/>
        <v>11410.583333333334</v>
      </c>
      <c r="AR441" s="43">
        <f t="shared" si="2232"/>
        <v>0</v>
      </c>
      <c r="AS441" s="43">
        <f t="shared" si="2232"/>
        <v>730.66666666666663</v>
      </c>
      <c r="AT441" s="43">
        <f t="shared" si="2232"/>
        <v>38.333333333333336</v>
      </c>
      <c r="AU441" s="43">
        <f t="shared" si="2232"/>
        <v>10710.583333333334</v>
      </c>
      <c r="AV441" s="43">
        <f t="shared" si="2232"/>
        <v>2319.5</v>
      </c>
      <c r="AW441" s="43">
        <f t="shared" si="2232"/>
        <v>3460</v>
      </c>
      <c r="AX441" s="43">
        <f t="shared" si="2232"/>
        <v>14949.666666666666</v>
      </c>
      <c r="AY441" s="43">
        <f t="shared" si="2232"/>
        <v>35.666666666666664</v>
      </c>
      <c r="AZ441" s="43">
        <f t="shared" si="2232"/>
        <v>6.416666666666667</v>
      </c>
      <c r="BA441" s="43">
        <f t="shared" si="2232"/>
        <v>868.33333333333337</v>
      </c>
      <c r="BB441" s="43">
        <f t="shared" si="2232"/>
        <v>0.25</v>
      </c>
      <c r="BC441" s="43">
        <f t="shared" si="2232"/>
        <v>157.66666666666666</v>
      </c>
      <c r="BD441" s="43">
        <f t="shared" si="2232"/>
        <v>1171.4166666666667</v>
      </c>
      <c r="BE441" s="43">
        <f t="shared" si="2232"/>
        <v>0</v>
      </c>
      <c r="BF441" s="43">
        <f t="shared" si="2232"/>
        <v>0</v>
      </c>
      <c r="BG441" s="43">
        <f t="shared" si="2232"/>
        <v>8306.0833333333339</v>
      </c>
      <c r="BH441" s="43">
        <f t="shared" si="2232"/>
        <v>0</v>
      </c>
      <c r="BI441" s="43">
        <f t="shared" si="2232"/>
        <v>0</v>
      </c>
      <c r="BJ441" s="43">
        <f t="shared" si="2232"/>
        <v>0</v>
      </c>
      <c r="BK441" s="43">
        <f t="shared" si="2232"/>
        <v>36.5</v>
      </c>
      <c r="BL441" s="43">
        <f t="shared" si="2232"/>
        <v>5296.416666666667</v>
      </c>
      <c r="BM441" s="43">
        <f t="shared" si="2232"/>
        <v>0</v>
      </c>
      <c r="BN441" s="43">
        <f t="shared" si="2232"/>
        <v>75.166666666666671</v>
      </c>
      <c r="BO441" s="43">
        <f t="shared" si="2232"/>
        <v>0</v>
      </c>
      <c r="BP441" s="43">
        <f t="shared" si="2232"/>
        <v>88732.25</v>
      </c>
      <c r="BQ441" s="43">
        <f t="shared" si="2232"/>
        <v>83019.5</v>
      </c>
      <c r="BR441" s="43">
        <f t="shared" si="2232"/>
        <v>3024.3333333333335</v>
      </c>
      <c r="BS441" s="43">
        <f t="shared" si="2232"/>
        <v>20.583333333333332</v>
      </c>
      <c r="BT441" s="43">
        <f t="shared" si="2232"/>
        <v>28065.666666666668</v>
      </c>
      <c r="BU441" s="43">
        <f t="shared" ref="BU441:CY441" si="2233">AVERAGE(BU372:BU383)</f>
        <v>1925.6666666666667</v>
      </c>
      <c r="BV441" s="43">
        <f t="shared" si="2233"/>
        <v>0.25</v>
      </c>
      <c r="BW441" s="43">
        <f t="shared" si="2233"/>
        <v>8.3333333333333329E-2</v>
      </c>
      <c r="BX441" s="43">
        <f t="shared" si="2233"/>
        <v>3</v>
      </c>
      <c r="BY441" s="43">
        <f t="shared" si="2233"/>
        <v>8251.5833333333339</v>
      </c>
      <c r="BZ441" s="43">
        <f t="shared" si="2233"/>
        <v>237.75</v>
      </c>
      <c r="CA441" s="43">
        <f t="shared" si="2233"/>
        <v>0</v>
      </c>
      <c r="CB441" s="43">
        <f t="shared" si="2233"/>
        <v>28050.75</v>
      </c>
      <c r="CC441" s="43">
        <f t="shared" si="2233"/>
        <v>15098</v>
      </c>
      <c r="CD441" s="43">
        <f t="shared" si="2233"/>
        <v>131836.16666666666</v>
      </c>
      <c r="CE441" s="43">
        <f t="shared" si="2233"/>
        <v>288402.33333333331</v>
      </c>
      <c r="CF441" s="43">
        <f t="shared" si="2233"/>
        <v>39544.666666666664</v>
      </c>
      <c r="CG441" s="43">
        <f t="shared" si="2233"/>
        <v>64641.416666666664</v>
      </c>
      <c r="CH441" s="43">
        <f t="shared" si="2233"/>
        <v>0</v>
      </c>
      <c r="CI441" s="43">
        <f t="shared" si="2233"/>
        <v>7.666666666666667</v>
      </c>
      <c r="CJ441" s="43">
        <f t="shared" si="2233"/>
        <v>0</v>
      </c>
      <c r="CK441" s="43">
        <f t="shared" si="2233"/>
        <v>92.25</v>
      </c>
      <c r="CL441" s="43">
        <f t="shared" si="2233"/>
        <v>26351.5</v>
      </c>
      <c r="CM441" s="43">
        <f t="shared" si="2233"/>
        <v>17960.666666666668</v>
      </c>
      <c r="CN441" s="43">
        <f t="shared" si="2233"/>
        <v>61595.25</v>
      </c>
      <c r="CO441" s="43">
        <f t="shared" si="2233"/>
        <v>15055.583333333334</v>
      </c>
      <c r="CP441" s="43">
        <f t="shared" si="2233"/>
        <v>262</v>
      </c>
      <c r="CQ441" s="43">
        <f t="shared" si="2233"/>
        <v>1064.9166666666667</v>
      </c>
      <c r="CR441" s="43">
        <f t="shared" si="2233"/>
        <v>791.5</v>
      </c>
      <c r="CS441" s="43">
        <f t="shared" si="2233"/>
        <v>24.666666666666668</v>
      </c>
      <c r="CT441" s="43">
        <f t="shared" si="2233"/>
        <v>0</v>
      </c>
      <c r="CU441" s="43">
        <f t="shared" si="2233"/>
        <v>0</v>
      </c>
      <c r="CV441" s="43">
        <f t="shared" si="2233"/>
        <v>0</v>
      </c>
      <c r="CW441" s="43">
        <f t="shared" si="2233"/>
        <v>13.166666666666666</v>
      </c>
      <c r="CX441" s="43">
        <f t="shared" si="2233"/>
        <v>0</v>
      </c>
      <c r="CY441" s="43">
        <f t="shared" si="2233"/>
        <v>23.916666666666668</v>
      </c>
      <c r="DC441" s="36"/>
      <c r="DE441" s="36"/>
      <c r="DF441" s="36"/>
      <c r="DK441" s="6"/>
      <c r="DM441" s="6"/>
      <c r="DN441" s="35"/>
      <c r="DT441" s="6"/>
      <c r="DU441" s="6"/>
      <c r="DV441" s="6"/>
      <c r="DW441" s="36"/>
      <c r="DZ441" s="36"/>
      <c r="EB441" s="36"/>
      <c r="EC441" s="36"/>
      <c r="ED441" s="36"/>
      <c r="EF441" s="36"/>
      <c r="EG441" s="36"/>
      <c r="EH441" s="36"/>
    </row>
    <row r="442" spans="2:141">
      <c r="B442" s="44" t="s">
        <v>473</v>
      </c>
      <c r="C442" s="43">
        <f t="shared" ref="C442:D442" si="2234">AVERAGE(C384:C395)</f>
        <v>0</v>
      </c>
      <c r="D442" s="43">
        <f t="shared" si="2234"/>
        <v>0</v>
      </c>
      <c r="E442" s="43">
        <f t="shared" ref="E442:G442" si="2235">AVERAGE(E384:E395)</f>
        <v>0</v>
      </c>
      <c r="F442" s="43">
        <f t="shared" si="2235"/>
        <v>0</v>
      </c>
      <c r="G442" s="43">
        <f t="shared" si="2235"/>
        <v>1586.9166666666667</v>
      </c>
      <c r="H442" s="43">
        <f>AVERAGE(H384:H395)</f>
        <v>19199.166666666668</v>
      </c>
      <c r="I442" s="43">
        <f t="shared" ref="I442:BT442" si="2236">AVERAGE(I384:I395)</f>
        <v>49891.666666666664</v>
      </c>
      <c r="J442" s="43">
        <f t="shared" si="2236"/>
        <v>920.5</v>
      </c>
      <c r="K442" s="43">
        <f t="shared" si="2236"/>
        <v>2349.8333333333335</v>
      </c>
      <c r="L442" s="43">
        <f t="shared" si="2236"/>
        <v>1403.0833333333333</v>
      </c>
      <c r="M442" s="43">
        <f t="shared" si="2236"/>
        <v>33796.083333333336</v>
      </c>
      <c r="N442" s="43">
        <f t="shared" si="2236"/>
        <v>1363.25</v>
      </c>
      <c r="O442" s="43">
        <f t="shared" si="2236"/>
        <v>904.91666666666663</v>
      </c>
      <c r="P442" s="43">
        <f t="shared" si="2236"/>
        <v>1770.75</v>
      </c>
      <c r="Q442" s="43">
        <f t="shared" si="2236"/>
        <v>11168.5</v>
      </c>
      <c r="R442" s="43">
        <f t="shared" si="2236"/>
        <v>278.91666666666669</v>
      </c>
      <c r="S442" s="43">
        <f t="shared" si="2236"/>
        <v>6280.5</v>
      </c>
      <c r="T442" s="43">
        <f t="shared" si="2236"/>
        <v>14899.25</v>
      </c>
      <c r="U442" s="43">
        <f t="shared" si="2236"/>
        <v>51.75</v>
      </c>
      <c r="V442" s="43">
        <f t="shared" si="2236"/>
        <v>4683.75</v>
      </c>
      <c r="W442" s="43">
        <f t="shared" si="2236"/>
        <v>47.166666666666664</v>
      </c>
      <c r="X442" s="43">
        <f t="shared" si="2236"/>
        <v>16813.25</v>
      </c>
      <c r="Y442" s="43">
        <f t="shared" si="2236"/>
        <v>459.91666666666669</v>
      </c>
      <c r="Z442" s="43">
        <f t="shared" si="2236"/>
        <v>3.6666666666666665</v>
      </c>
      <c r="AA442" s="43">
        <f t="shared" si="2236"/>
        <v>2.9166666666666665</v>
      </c>
      <c r="AB442" s="43">
        <f t="shared" si="2236"/>
        <v>0.66666666666666663</v>
      </c>
      <c r="AC442" s="43">
        <f t="shared" si="2236"/>
        <v>72.666666666666671</v>
      </c>
      <c r="AD442" s="43">
        <f t="shared" si="2236"/>
        <v>22.583333333333332</v>
      </c>
      <c r="AE442" s="43">
        <f t="shared" si="2236"/>
        <v>24.583333333333332</v>
      </c>
      <c r="AF442" s="43">
        <f t="shared" si="2236"/>
        <v>17.166666666666668</v>
      </c>
      <c r="AG442" s="43">
        <f t="shared" si="2236"/>
        <v>42.833333333333336</v>
      </c>
      <c r="AH442" s="43">
        <f t="shared" si="2236"/>
        <v>155.41666666666666</v>
      </c>
      <c r="AI442" s="43">
        <f t="shared" si="2236"/>
        <v>2565.4166666666665</v>
      </c>
      <c r="AJ442" s="43">
        <f t="shared" si="2236"/>
        <v>1.5</v>
      </c>
      <c r="AK442" s="43">
        <f t="shared" si="2236"/>
        <v>10893.5</v>
      </c>
      <c r="AL442" s="43">
        <f t="shared" si="2236"/>
        <v>112373.58333333333</v>
      </c>
      <c r="AM442" s="43">
        <f t="shared" si="2236"/>
        <v>1984.3333333333333</v>
      </c>
      <c r="AN442" s="43">
        <f t="shared" si="2236"/>
        <v>22469.083333333332</v>
      </c>
      <c r="AO442" s="43">
        <f t="shared" si="2236"/>
        <v>9.5833333333333339</v>
      </c>
      <c r="AP442" s="43">
        <f t="shared" si="2236"/>
        <v>34.583333333333336</v>
      </c>
      <c r="AQ442" s="43">
        <f t="shared" si="2236"/>
        <v>12177.083333333334</v>
      </c>
      <c r="AR442" s="43">
        <f t="shared" si="2236"/>
        <v>0</v>
      </c>
      <c r="AS442" s="43">
        <f t="shared" si="2236"/>
        <v>493.41666666666669</v>
      </c>
      <c r="AT442" s="43">
        <f t="shared" si="2236"/>
        <v>39.083333333333336</v>
      </c>
      <c r="AU442" s="43">
        <f t="shared" si="2236"/>
        <v>10536.666666666666</v>
      </c>
      <c r="AV442" s="43">
        <f t="shared" si="2236"/>
        <v>2400.25</v>
      </c>
      <c r="AW442" s="43">
        <f t="shared" si="2236"/>
        <v>3783.3333333333335</v>
      </c>
      <c r="AX442" s="43">
        <f t="shared" si="2236"/>
        <v>15257.416666666666</v>
      </c>
      <c r="AY442" s="43">
        <f t="shared" si="2236"/>
        <v>40.833333333333336</v>
      </c>
      <c r="AZ442" s="43">
        <f t="shared" si="2236"/>
        <v>1.9166666666666667</v>
      </c>
      <c r="BA442" s="43">
        <f t="shared" si="2236"/>
        <v>767.08333333333337</v>
      </c>
      <c r="BB442" s="43">
        <f t="shared" si="2236"/>
        <v>0</v>
      </c>
      <c r="BC442" s="43">
        <f t="shared" si="2236"/>
        <v>178.16666666666666</v>
      </c>
      <c r="BD442" s="43">
        <f t="shared" si="2236"/>
        <v>1487.5</v>
      </c>
      <c r="BE442" s="43">
        <f t="shared" si="2236"/>
        <v>0</v>
      </c>
      <c r="BF442" s="43">
        <f t="shared" si="2236"/>
        <v>0</v>
      </c>
      <c r="BG442" s="43">
        <f t="shared" si="2236"/>
        <v>8485.0833333333339</v>
      </c>
      <c r="BH442" s="43">
        <f t="shared" si="2236"/>
        <v>0</v>
      </c>
      <c r="BI442" s="43">
        <f t="shared" si="2236"/>
        <v>0</v>
      </c>
      <c r="BJ442" s="43">
        <f t="shared" si="2236"/>
        <v>0</v>
      </c>
      <c r="BK442" s="43">
        <f t="shared" si="2236"/>
        <v>20</v>
      </c>
      <c r="BL442" s="43">
        <f t="shared" si="2236"/>
        <v>5362.666666666667</v>
      </c>
      <c r="BM442" s="43">
        <f t="shared" si="2236"/>
        <v>0.41666666666666669</v>
      </c>
      <c r="BN442" s="43">
        <f t="shared" si="2236"/>
        <v>7.583333333333333</v>
      </c>
      <c r="BO442" s="43">
        <f t="shared" si="2236"/>
        <v>0</v>
      </c>
      <c r="BP442" s="43">
        <f t="shared" si="2236"/>
        <v>43786.583333333336</v>
      </c>
      <c r="BQ442" s="43">
        <f t="shared" si="2236"/>
        <v>80068.25</v>
      </c>
      <c r="BR442" s="43">
        <f t="shared" si="2236"/>
        <v>1849.5</v>
      </c>
      <c r="BS442" s="43">
        <f t="shared" si="2236"/>
        <v>20.916666666666668</v>
      </c>
      <c r="BT442" s="43">
        <f t="shared" si="2236"/>
        <v>27139.25</v>
      </c>
      <c r="BU442" s="43">
        <f t="shared" ref="BU442:CY442" si="2237">AVERAGE(BU384:BU395)</f>
        <v>1222.1666666666667</v>
      </c>
      <c r="BV442" s="43">
        <f t="shared" si="2237"/>
        <v>0.91666666666666663</v>
      </c>
      <c r="BW442" s="43">
        <f t="shared" si="2237"/>
        <v>0</v>
      </c>
      <c r="BX442" s="43">
        <f t="shared" si="2237"/>
        <v>1.25</v>
      </c>
      <c r="BY442" s="43">
        <f t="shared" si="2237"/>
        <v>0</v>
      </c>
      <c r="BZ442" s="43">
        <f t="shared" si="2237"/>
        <v>264.83333333333331</v>
      </c>
      <c r="CA442" s="43">
        <f t="shared" si="2237"/>
        <v>0</v>
      </c>
      <c r="CB442" s="43">
        <f t="shared" si="2237"/>
        <v>30599.166666666668</v>
      </c>
      <c r="CC442" s="43">
        <f t="shared" si="2237"/>
        <v>14159</v>
      </c>
      <c r="CD442" s="43">
        <f t="shared" si="2237"/>
        <v>133017.08333333334</v>
      </c>
      <c r="CE442" s="43">
        <f t="shared" si="2237"/>
        <v>300362.91666666669</v>
      </c>
      <c r="CF442" s="43">
        <f t="shared" si="2237"/>
        <v>41130.916666666664</v>
      </c>
      <c r="CG442" s="43">
        <f t="shared" si="2237"/>
        <v>71743.333333333328</v>
      </c>
      <c r="CH442" s="43">
        <f t="shared" si="2237"/>
        <v>0</v>
      </c>
      <c r="CI442" s="43">
        <f t="shared" si="2237"/>
        <v>8.8333333333333339</v>
      </c>
      <c r="CJ442" s="43">
        <f t="shared" si="2237"/>
        <v>0</v>
      </c>
      <c r="CK442" s="43">
        <f t="shared" si="2237"/>
        <v>80.583333333333329</v>
      </c>
      <c r="CL442" s="43">
        <f t="shared" si="2237"/>
        <v>66011</v>
      </c>
      <c r="CM442" s="43">
        <f t="shared" si="2237"/>
        <v>46502.333333333336</v>
      </c>
      <c r="CN442" s="43">
        <f t="shared" si="2237"/>
        <v>188194.41666666666</v>
      </c>
      <c r="CO442" s="43">
        <f t="shared" si="2237"/>
        <v>43081.083333333336</v>
      </c>
      <c r="CP442" s="43">
        <f t="shared" si="2237"/>
        <v>420.33333333333331</v>
      </c>
      <c r="CQ442" s="43">
        <f t="shared" si="2237"/>
        <v>12667</v>
      </c>
      <c r="CR442" s="43">
        <f t="shared" si="2237"/>
        <v>1369.3333333333333</v>
      </c>
      <c r="CS442" s="43">
        <f t="shared" si="2237"/>
        <v>39.166666666666664</v>
      </c>
      <c r="CT442" s="43">
        <f t="shared" si="2237"/>
        <v>0</v>
      </c>
      <c r="CU442" s="43">
        <f t="shared" si="2237"/>
        <v>0</v>
      </c>
      <c r="CV442" s="43">
        <f t="shared" si="2237"/>
        <v>0</v>
      </c>
      <c r="CW442" s="43">
        <f t="shared" si="2237"/>
        <v>13</v>
      </c>
      <c r="CX442" s="43">
        <f t="shared" si="2237"/>
        <v>0</v>
      </c>
      <c r="CY442" s="43">
        <f t="shared" si="2237"/>
        <v>23</v>
      </c>
      <c r="DC442" s="36"/>
      <c r="DE442" s="36"/>
      <c r="DF442" s="36"/>
      <c r="DM442" s="6"/>
      <c r="DN442" s="35"/>
      <c r="DT442" s="6"/>
      <c r="DU442" s="6"/>
      <c r="DV442" s="6"/>
      <c r="DW442" s="36"/>
      <c r="DZ442" s="36"/>
      <c r="EB442" s="36"/>
      <c r="EC442" s="36"/>
      <c r="ED442" s="36"/>
      <c r="EF442" s="36"/>
      <c r="EG442" s="36"/>
      <c r="EH442" s="36"/>
    </row>
    <row r="443" spans="2:141">
      <c r="DC443" s="36"/>
      <c r="DF443" s="36"/>
      <c r="DM443" s="6"/>
      <c r="DN443" s="35"/>
      <c r="DT443" s="6"/>
      <c r="DU443" s="6"/>
      <c r="DV443" s="6"/>
      <c r="EF443" s="55"/>
    </row>
    <row r="444" spans="2:141">
      <c r="DF444" s="36"/>
      <c r="DK444" t="s">
        <v>425</v>
      </c>
      <c r="DL444" t="s">
        <v>426</v>
      </c>
      <c r="DM444" s="6" t="s">
        <v>427</v>
      </c>
      <c r="DN444" s="35" t="s">
        <v>428</v>
      </c>
      <c r="DT444" s="6"/>
      <c r="DU444" s="6"/>
      <c r="DV444" s="6"/>
    </row>
    <row r="445" spans="2:141">
      <c r="DF445" s="36"/>
      <c r="DI445" s="191" t="s">
        <v>429</v>
      </c>
      <c r="DJ445" s="191">
        <v>2017</v>
      </c>
      <c r="DK445" s="6">
        <f>SUM(DK439,DM439)</f>
        <v>78620.166666666657</v>
      </c>
      <c r="DL445" s="6">
        <f>SUM(DL439,DN439)</f>
        <v>200528.5</v>
      </c>
      <c r="DM445" s="6">
        <f>DO439+DT439</f>
        <v>486564</v>
      </c>
      <c r="DN445" s="6">
        <f>DP439+DQ439+DR439+DS439</f>
        <v>245528.08333333331</v>
      </c>
      <c r="DO445" s="6">
        <f>DK445+DL445+DM445+DN445</f>
        <v>1011240.75</v>
      </c>
      <c r="DT445" s="6"/>
      <c r="DU445" s="6"/>
      <c r="DV445" s="6"/>
      <c r="DW445" s="6"/>
    </row>
    <row r="446" spans="2:141">
      <c r="DF446" s="36"/>
      <c r="DI446" s="191" t="s">
        <v>429</v>
      </c>
      <c r="DJ446" s="191">
        <v>2018</v>
      </c>
      <c r="DK446" s="6">
        <f>SUM(DK440,DM440)</f>
        <v>86284.583333333328</v>
      </c>
      <c r="DL446" s="6">
        <f>SUM(DL440,DN440)</f>
        <v>198028.33333333331</v>
      </c>
      <c r="DM446" s="6">
        <f>DO440+DT440</f>
        <v>495173.91666666669</v>
      </c>
      <c r="DN446" s="6">
        <f>DP440+DQ440+DR440+DS440</f>
        <v>268831.83333333337</v>
      </c>
      <c r="DO446" s="6">
        <f>SUM(DK446:DN446)</f>
        <v>1048318.6666666666</v>
      </c>
      <c r="DT446" s="6"/>
      <c r="DU446" s="6"/>
      <c r="DV446" s="6"/>
    </row>
    <row r="447" spans="2:141">
      <c r="DF447" s="36"/>
      <c r="DJ447" s="278"/>
      <c r="DK447" s="278" t="s">
        <v>425</v>
      </c>
      <c r="DL447" s="278" t="s">
        <v>426</v>
      </c>
      <c r="DM447" s="6" t="s">
        <v>427</v>
      </c>
      <c r="DN447" s="35" t="s">
        <v>428</v>
      </c>
      <c r="DO447" s="278"/>
      <c r="DT447" s="6"/>
      <c r="DU447" s="6"/>
      <c r="DV447" s="6"/>
    </row>
    <row r="448" spans="2:141">
      <c r="DI448" s="191" t="s">
        <v>430</v>
      </c>
      <c r="DJ448" s="278">
        <v>2017</v>
      </c>
      <c r="DK448" s="6">
        <f>DK445</f>
        <v>78620.166666666657</v>
      </c>
      <c r="DL448" s="6">
        <f>DL445</f>
        <v>200528.5</v>
      </c>
      <c r="DM448" s="6">
        <f>DM445+'Monthly Report p1'!N199</f>
        <v>599501</v>
      </c>
      <c r="DN448" s="6">
        <f>DN445+'Monthly Report p1'!O199</f>
        <v>246592.49999999997</v>
      </c>
      <c r="DO448" s="6">
        <f>DK448+DL448+DM448+DN448</f>
        <v>1125242.1666666665</v>
      </c>
      <c r="DT448" s="6"/>
      <c r="DU448" s="6"/>
      <c r="DV448" s="6"/>
    </row>
    <row r="449" spans="113:126">
      <c r="DI449" s="191" t="s">
        <v>430</v>
      </c>
      <c r="DJ449" s="278">
        <v>2018</v>
      </c>
      <c r="DK449" s="6">
        <f>DK446</f>
        <v>86284.583333333328</v>
      </c>
      <c r="DL449" s="6">
        <f>DL446</f>
        <v>198028.33333333331</v>
      </c>
      <c r="DM449" s="6">
        <f>DM446+'Monthly Report p1'!N200</f>
        <v>623943.75</v>
      </c>
      <c r="DN449" s="6">
        <f>DN446+'Monthly Report p1'!O200</f>
        <v>269983.33333333337</v>
      </c>
      <c r="DO449" s="6">
        <f>SUM(DK449:DN449)</f>
        <v>1178240</v>
      </c>
      <c r="DT449" s="6"/>
      <c r="DU449" s="6"/>
      <c r="DV449" s="6"/>
    </row>
    <row r="450" spans="113:126">
      <c r="DM450" s="6"/>
      <c r="DN450" s="35"/>
      <c r="DT450" s="6"/>
      <c r="DU450" s="6"/>
      <c r="DV450" s="6"/>
    </row>
    <row r="451" spans="113:126">
      <c r="DM451" s="6"/>
      <c r="DN451" s="35"/>
      <c r="DT451" s="6"/>
      <c r="DU451" s="6"/>
      <c r="DV451" s="6"/>
    </row>
    <row r="452" spans="113:126">
      <c r="DJ452" s="105"/>
      <c r="DK452" s="279" t="s">
        <v>425</v>
      </c>
      <c r="DL452" s="279" t="s">
        <v>426</v>
      </c>
      <c r="DM452" s="281" t="s">
        <v>427</v>
      </c>
      <c r="DN452" s="282" t="s">
        <v>428</v>
      </c>
      <c r="DO452" s="279" t="s">
        <v>431</v>
      </c>
    </row>
    <row r="453" spans="113:126">
      <c r="DJ453" s="105">
        <v>2018</v>
      </c>
      <c r="DK453" s="283">
        <v>86284.583333333328</v>
      </c>
      <c r="DL453" s="283">
        <v>198028.33333333331</v>
      </c>
      <c r="DM453" s="283">
        <v>623943.75</v>
      </c>
      <c r="DN453" s="283">
        <v>269983.33333333337</v>
      </c>
      <c r="DO453" s="283">
        <v>1178240</v>
      </c>
    </row>
    <row r="454" spans="113:126">
      <c r="DM454" s="6"/>
      <c r="DN454" s="35"/>
    </row>
    <row r="455" spans="113:126">
      <c r="DM455" s="6"/>
      <c r="DN455" s="35"/>
    </row>
    <row r="456" spans="113:126">
      <c r="DM456" s="6"/>
      <c r="DN456" s="35"/>
    </row>
  </sheetData>
  <mergeCells count="12">
    <mergeCell ref="DD1:DF1"/>
    <mergeCell ref="EF1:EH1"/>
    <mergeCell ref="DK1:DW1"/>
    <mergeCell ref="EB1:ED1"/>
    <mergeCell ref="FC6:FH6"/>
    <mergeCell ref="FH8:FH11"/>
    <mergeCell ref="FI8:FI11"/>
    <mergeCell ref="FC8:FC11"/>
    <mergeCell ref="FD8:FD11"/>
    <mergeCell ref="FE8:FE11"/>
    <mergeCell ref="FF8:FF11"/>
    <mergeCell ref="FG8:FG11"/>
  </mergeCells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246"/>
  <sheetViews>
    <sheetView zoomScaleNormal="100" workbookViewId="0">
      <pane xSplit="2" ySplit="4" topLeftCell="C183" activePane="bottomRight" state="frozen"/>
      <selection activeCell="DK381" sqref="DK381"/>
      <selection pane="topRight" activeCell="DK381" sqref="DK381"/>
      <selection pane="bottomLeft" activeCell="DK381" sqref="DK381"/>
      <selection pane="bottomRight" activeCell="C3" sqref="C3:I3"/>
    </sheetView>
  </sheetViews>
  <sheetFormatPr baseColWidth="10" defaultColWidth="8.83203125" defaultRowHeight="13"/>
  <cols>
    <col min="1" max="1" width="9.83203125" style="67" customWidth="1"/>
    <col min="2" max="2" width="5.1640625" style="67" customWidth="1"/>
    <col min="3" max="3" width="15.5" customWidth="1"/>
    <col min="4" max="5" width="9.5" hidden="1" customWidth="1"/>
    <col min="6" max="6" width="20.33203125" customWidth="1"/>
    <col min="7" max="8" width="9.5" hidden="1" customWidth="1"/>
    <col min="9" max="9" width="13.5" bestFit="1" customWidth="1"/>
    <col min="10" max="10" width="9.5" hidden="1" customWidth="1"/>
    <col min="11" max="11" width="10.83203125" hidden="1" customWidth="1"/>
    <col min="12" max="12" width="7.5" style="51" customWidth="1"/>
    <col min="13" max="13" width="12" customWidth="1"/>
    <col min="14" max="14" width="12.5" customWidth="1"/>
    <col min="15" max="15" width="13.5" bestFit="1" customWidth="1"/>
    <col min="16" max="16" width="9.6640625" bestFit="1" customWidth="1"/>
    <col min="17" max="18" width="9.5" hidden="1" customWidth="1"/>
    <col min="19" max="19" width="7.83203125" style="51" customWidth="1"/>
    <col min="20" max="20" width="12.6640625" customWidth="1"/>
    <col min="21" max="21" width="14" style="48" customWidth="1"/>
    <col min="22" max="22" width="9.1640625" hidden="1" customWidth="1"/>
    <col min="23" max="23" width="10" hidden="1" customWidth="1"/>
    <col min="24" max="24" width="9.33203125" customWidth="1"/>
    <col min="25" max="25" width="10.83203125" bestFit="1" customWidth="1"/>
  </cols>
  <sheetData>
    <row r="1" spans="1:23" s="60" customFormat="1" ht="18">
      <c r="A1" s="64"/>
      <c r="B1" s="64"/>
      <c r="C1" s="339" t="s">
        <v>145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3" s="60" customFormat="1" ht="10.5" customHeight="1">
      <c r="A2" s="64"/>
      <c r="B2" s="64"/>
      <c r="L2" s="61"/>
      <c r="S2" s="61"/>
    </row>
    <row r="3" spans="1:23" s="62" customFormat="1" ht="14">
      <c r="A3" s="65"/>
      <c r="B3" s="65"/>
      <c r="C3" s="338" t="s">
        <v>147</v>
      </c>
      <c r="D3" s="338"/>
      <c r="E3" s="338"/>
      <c r="F3" s="338"/>
      <c r="G3" s="338"/>
      <c r="H3" s="338"/>
      <c r="I3" s="338"/>
      <c r="J3" s="72"/>
      <c r="K3" s="72"/>
      <c r="N3" s="338" t="s">
        <v>131</v>
      </c>
      <c r="O3" s="338"/>
      <c r="P3" s="338"/>
      <c r="Q3" s="73"/>
      <c r="R3" s="73"/>
      <c r="U3" s="340" t="s">
        <v>127</v>
      </c>
    </row>
    <row r="4" spans="1:23" s="59" customFormat="1" ht="24.75" customHeight="1">
      <c r="A4" s="64"/>
      <c r="B4" s="64"/>
      <c r="C4" s="92" t="s">
        <v>81</v>
      </c>
      <c r="D4" s="69"/>
      <c r="E4" s="113"/>
      <c r="F4" s="92" t="s">
        <v>154</v>
      </c>
      <c r="G4" s="69"/>
      <c r="H4" s="113"/>
      <c r="I4" s="85" t="s">
        <v>0</v>
      </c>
      <c r="J4" s="69"/>
      <c r="K4" s="113"/>
      <c r="N4" s="84" t="s">
        <v>128</v>
      </c>
      <c r="O4" s="84" t="s">
        <v>126</v>
      </c>
      <c r="P4" s="85" t="s">
        <v>0</v>
      </c>
      <c r="Q4" s="70"/>
      <c r="R4" s="114"/>
      <c r="U4" s="340"/>
    </row>
    <row r="5" spans="1:23" hidden="1">
      <c r="A5" s="58">
        <v>39600</v>
      </c>
      <c r="B5" s="66"/>
      <c r="C5" s="75">
        <f>Population!DK251+Population!DL251+Population!DM251+Population!DN251</f>
        <v>229120</v>
      </c>
      <c r="D5" s="87" t="e">
        <f>(C5-#REF!)/#REF!</f>
        <v>#REF!</v>
      </c>
      <c r="E5" s="115" t="e">
        <f>C5-#REF!</f>
        <v>#REF!</v>
      </c>
      <c r="F5" s="75">
        <f>SUM(Population!DO251:'Population'!DT251)</f>
        <v>443385</v>
      </c>
      <c r="G5" s="87"/>
      <c r="H5" s="115"/>
      <c r="I5" s="86">
        <f>C5+F5</f>
        <v>672505</v>
      </c>
      <c r="J5" s="87"/>
      <c r="K5" s="115"/>
      <c r="L5" s="88"/>
      <c r="M5" s="1"/>
      <c r="N5" s="75">
        <f>SUM(Population!H251:K251,Population!CG251)</f>
        <v>90013</v>
      </c>
      <c r="O5" s="75">
        <f>Population!G251</f>
        <v>1128</v>
      </c>
      <c r="P5" s="86">
        <f t="shared" ref="P5" si="0">SUM(N5:O5)</f>
        <v>91141</v>
      </c>
      <c r="Q5" s="87"/>
      <c r="R5" s="115"/>
      <c r="S5" s="89"/>
      <c r="T5" s="1"/>
      <c r="U5" s="78">
        <f t="shared" ref="U5" si="1">I5+P5</f>
        <v>763646</v>
      </c>
      <c r="V5" s="63"/>
      <c r="W5" s="115"/>
    </row>
    <row r="6" spans="1:23" ht="6" hidden="1" customHeight="1">
      <c r="A6" s="58"/>
      <c r="B6" s="58"/>
      <c r="C6" s="75"/>
      <c r="D6" s="90"/>
      <c r="E6" s="115"/>
      <c r="F6" s="75"/>
      <c r="G6" s="90"/>
      <c r="H6" s="115"/>
      <c r="I6" s="86"/>
      <c r="J6" s="90"/>
      <c r="K6" s="115"/>
      <c r="L6" s="91"/>
      <c r="M6" s="1"/>
      <c r="N6" s="75"/>
      <c r="O6" s="75"/>
      <c r="P6" s="86"/>
      <c r="Q6" s="87"/>
      <c r="R6" s="115"/>
      <c r="S6" s="89"/>
      <c r="T6" s="1"/>
      <c r="U6" s="78"/>
      <c r="V6" s="63"/>
      <c r="W6" s="115"/>
    </row>
    <row r="7" spans="1:23" hidden="1">
      <c r="A7" s="58">
        <v>39630</v>
      </c>
      <c r="B7" s="58"/>
      <c r="C7" s="75">
        <f>Population!DK252+Population!DL252+Population!DM252+Population!DN252</f>
        <v>229764</v>
      </c>
      <c r="D7" s="90">
        <f>(C7-C5)/C5</f>
        <v>2.8107541899441341E-3</v>
      </c>
      <c r="E7" s="115">
        <f>C7-C5</f>
        <v>644</v>
      </c>
      <c r="F7" s="75">
        <f>SUM(Population!DO252:'Population'!DT252)</f>
        <v>444138</v>
      </c>
      <c r="G7" s="90">
        <f>(F7-F5)/F5</f>
        <v>1.6982983186170032E-3</v>
      </c>
      <c r="H7" s="115">
        <f>F7-F5</f>
        <v>753</v>
      </c>
      <c r="I7" s="86">
        <f t="shared" ref="I7:I18" si="2">C7+F7</f>
        <v>673902</v>
      </c>
      <c r="J7" s="90">
        <f>(I7-I5)/I5</f>
        <v>2.0773079754053871E-3</v>
      </c>
      <c r="K7" s="115">
        <f>I7-I5</f>
        <v>1397</v>
      </c>
      <c r="L7" s="88"/>
      <c r="M7" s="1"/>
      <c r="N7" s="75">
        <f>SUM(Population!H252:K252,Population!CG252)</f>
        <v>90622</v>
      </c>
      <c r="O7" s="75">
        <f>Population!G252</f>
        <v>1122</v>
      </c>
      <c r="P7" s="86">
        <f t="shared" ref="P7:P35" si="3">SUM(N7:O7)</f>
        <v>91744</v>
      </c>
      <c r="Q7" s="90">
        <f>(P7-P5)/P5</f>
        <v>6.6161222720839139E-3</v>
      </c>
      <c r="R7" s="115">
        <f>P7-P5</f>
        <v>603</v>
      </c>
      <c r="S7" s="89"/>
      <c r="T7" s="1"/>
      <c r="U7" s="78">
        <f t="shared" ref="U7:U18" si="4">I7+P7</f>
        <v>765646</v>
      </c>
      <c r="V7" s="90">
        <f>(U7-U5)/U5</f>
        <v>2.6190145695780508E-3</v>
      </c>
      <c r="W7" s="115">
        <f>U7-U5</f>
        <v>2000</v>
      </c>
    </row>
    <row r="8" spans="1:23" hidden="1">
      <c r="A8" s="58">
        <v>39661</v>
      </c>
      <c r="B8" s="58"/>
      <c r="C8" s="75">
        <f>Population!DK253+Population!DL253+Population!DM253+Population!DN253</f>
        <v>230610</v>
      </c>
      <c r="D8" s="87">
        <f t="shared" ref="D8:D43" si="5">(C8-C7)/C7</f>
        <v>3.6820389617172405E-3</v>
      </c>
      <c r="E8" s="115">
        <f t="shared" ref="E8:E18" si="6">C8-C7</f>
        <v>846</v>
      </c>
      <c r="F8" s="75">
        <f>SUM(Population!DO253:'Population'!DT253)</f>
        <v>445151</v>
      </c>
      <c r="G8" s="87">
        <f t="shared" ref="G8:G43" si="7">(F8-F7)/F7</f>
        <v>2.2808226272014553E-3</v>
      </c>
      <c r="H8" s="115">
        <f t="shared" ref="H8:H18" si="8">F8-F7</f>
        <v>1013</v>
      </c>
      <c r="I8" s="86">
        <f t="shared" si="2"/>
        <v>675761</v>
      </c>
      <c r="J8" s="87">
        <f t="shared" ref="J8:J36" si="9">(I8-I7)/I7</f>
        <v>2.7585613338437934E-3</v>
      </c>
      <c r="K8" s="115">
        <f t="shared" ref="K8:K18" si="10">I8-I7</f>
        <v>1859</v>
      </c>
      <c r="L8" s="88"/>
      <c r="M8" s="1"/>
      <c r="N8" s="75">
        <f>SUM(Population!H253:K253,Population!CG253)</f>
        <v>91823</v>
      </c>
      <c r="O8" s="75">
        <f>Population!G253</f>
        <v>1128</v>
      </c>
      <c r="P8" s="86">
        <f t="shared" si="3"/>
        <v>92951</v>
      </c>
      <c r="Q8" s="87">
        <f t="shared" ref="Q8:Q36" si="11">(P8-P7)/P7</f>
        <v>1.3156173700732472E-2</v>
      </c>
      <c r="R8" s="115">
        <f t="shared" ref="R8:R18" si="12">P8-P7</f>
        <v>1207</v>
      </c>
      <c r="S8" s="89"/>
      <c r="T8" s="1"/>
      <c r="U8" s="78">
        <f t="shared" si="4"/>
        <v>768712</v>
      </c>
      <c r="V8" s="63">
        <f t="shared" ref="V8:V36" si="13">(U8-U7)/U7</f>
        <v>4.004461591910622E-3</v>
      </c>
      <c r="W8" s="115">
        <f t="shared" ref="W8:W18" si="14">U8-U7</f>
        <v>3066</v>
      </c>
    </row>
    <row r="9" spans="1:23" hidden="1">
      <c r="A9" s="58">
        <v>39692</v>
      </c>
      <c r="B9" s="58"/>
      <c r="C9" s="75">
        <f>Population!DK254+Population!DL254+Population!DM254+Population!DN254</f>
        <v>231256</v>
      </c>
      <c r="D9" s="87">
        <f t="shared" si="5"/>
        <v>2.8012662070161743E-3</v>
      </c>
      <c r="E9" s="115">
        <f t="shared" si="6"/>
        <v>646</v>
      </c>
      <c r="F9" s="75">
        <f>SUM(Population!DO254:'Population'!DT254)</f>
        <v>446697</v>
      </c>
      <c r="G9" s="87">
        <f t="shared" si="7"/>
        <v>3.4729788319019838E-3</v>
      </c>
      <c r="H9" s="115">
        <f t="shared" si="8"/>
        <v>1546</v>
      </c>
      <c r="I9" s="86">
        <f t="shared" si="2"/>
        <v>677953</v>
      </c>
      <c r="J9" s="87">
        <f t="shared" si="9"/>
        <v>3.2437503792021143E-3</v>
      </c>
      <c r="K9" s="115">
        <f t="shared" si="10"/>
        <v>2192</v>
      </c>
      <c r="L9" s="88"/>
      <c r="M9" s="1"/>
      <c r="N9" s="75">
        <f>SUM(Population!H254:K254,Population!CG254)</f>
        <v>92002</v>
      </c>
      <c r="O9" s="75">
        <f>Population!G254</f>
        <v>1119</v>
      </c>
      <c r="P9" s="86">
        <f t="shared" si="3"/>
        <v>93121</v>
      </c>
      <c r="Q9" s="87">
        <f t="shared" si="11"/>
        <v>1.8289206140869921E-3</v>
      </c>
      <c r="R9" s="115">
        <f t="shared" si="12"/>
        <v>170</v>
      </c>
      <c r="S9" s="89"/>
      <c r="T9" s="1"/>
      <c r="U9" s="78">
        <f t="shared" si="4"/>
        <v>771074</v>
      </c>
      <c r="V9" s="63">
        <f t="shared" si="13"/>
        <v>3.0726722101385175E-3</v>
      </c>
      <c r="W9" s="115">
        <f t="shared" si="14"/>
        <v>2362</v>
      </c>
    </row>
    <row r="10" spans="1:23" hidden="1">
      <c r="A10" s="58">
        <v>39722</v>
      </c>
      <c r="B10" s="58"/>
      <c r="C10" s="75">
        <f>Population!DK255+Population!DL255+Population!DM255+Population!DN255</f>
        <v>231702</v>
      </c>
      <c r="D10" s="87">
        <f t="shared" si="5"/>
        <v>1.9285986093333794E-3</v>
      </c>
      <c r="E10" s="115">
        <f t="shared" si="6"/>
        <v>446</v>
      </c>
      <c r="F10" s="75">
        <f>SUM(Population!DO255:'Population'!DT255)</f>
        <v>449745</v>
      </c>
      <c r="G10" s="87">
        <f t="shared" si="7"/>
        <v>6.8234172156965457E-3</v>
      </c>
      <c r="H10" s="115">
        <f t="shared" si="8"/>
        <v>3048</v>
      </c>
      <c r="I10" s="86">
        <f t="shared" si="2"/>
        <v>681447</v>
      </c>
      <c r="J10" s="87">
        <f t="shared" si="9"/>
        <v>5.1537495962109469E-3</v>
      </c>
      <c r="K10" s="115">
        <f t="shared" si="10"/>
        <v>3494</v>
      </c>
      <c r="L10" s="88"/>
      <c r="M10" s="1"/>
      <c r="N10" s="75">
        <f>SUM(Population!H255:K255,Population!CG255)</f>
        <v>93441</v>
      </c>
      <c r="O10" s="75">
        <f>Population!G255</f>
        <v>1152</v>
      </c>
      <c r="P10" s="86">
        <f t="shared" si="3"/>
        <v>94593</v>
      </c>
      <c r="Q10" s="87">
        <f t="shared" si="11"/>
        <v>1.5807390384553432E-2</v>
      </c>
      <c r="R10" s="115">
        <f t="shared" si="12"/>
        <v>1472</v>
      </c>
      <c r="S10" s="89"/>
      <c r="T10" s="1"/>
      <c r="U10" s="78">
        <f t="shared" si="4"/>
        <v>776040</v>
      </c>
      <c r="V10" s="63">
        <f t="shared" si="13"/>
        <v>6.4403675911780195E-3</v>
      </c>
      <c r="W10" s="115">
        <f t="shared" si="14"/>
        <v>4966</v>
      </c>
    </row>
    <row r="11" spans="1:23" hidden="1">
      <c r="A11" s="58">
        <v>39753</v>
      </c>
      <c r="B11" s="58"/>
      <c r="C11" s="75">
        <f>Population!DK256+Population!DL256+Population!DM256+Population!DN256</f>
        <v>232653</v>
      </c>
      <c r="D11" s="87">
        <f t="shared" si="5"/>
        <v>4.1044099748815286E-3</v>
      </c>
      <c r="E11" s="115">
        <f t="shared" si="6"/>
        <v>951</v>
      </c>
      <c r="F11" s="75">
        <f>SUM(Population!DO256:'Population'!DT256)</f>
        <v>455964</v>
      </c>
      <c r="G11" s="87">
        <f t="shared" si="7"/>
        <v>1.3827835773605043E-2</v>
      </c>
      <c r="H11" s="115">
        <f t="shared" si="8"/>
        <v>6219</v>
      </c>
      <c r="I11" s="86">
        <f t="shared" si="2"/>
        <v>688617</v>
      </c>
      <c r="J11" s="87">
        <f t="shared" si="9"/>
        <v>1.0521728028738846E-2</v>
      </c>
      <c r="K11" s="115">
        <f t="shared" si="10"/>
        <v>7170</v>
      </c>
      <c r="L11" s="88"/>
      <c r="M11" s="1"/>
      <c r="N11" s="75">
        <f>SUM(Population!H256:K256,Population!CG256)</f>
        <v>94994</v>
      </c>
      <c r="O11" s="75">
        <f>Population!G256</f>
        <v>1201</v>
      </c>
      <c r="P11" s="86">
        <f t="shared" si="3"/>
        <v>96195</v>
      </c>
      <c r="Q11" s="87">
        <f t="shared" si="11"/>
        <v>1.6935714059179856E-2</v>
      </c>
      <c r="R11" s="115">
        <f t="shared" si="12"/>
        <v>1602</v>
      </c>
      <c r="S11" s="89"/>
      <c r="T11" s="1"/>
      <c r="U11" s="78">
        <f t="shared" si="4"/>
        <v>784812</v>
      </c>
      <c r="V11" s="63">
        <f t="shared" si="13"/>
        <v>1.1303541054584814E-2</v>
      </c>
      <c r="W11" s="115">
        <f t="shared" si="14"/>
        <v>8772</v>
      </c>
    </row>
    <row r="12" spans="1:23" hidden="1">
      <c r="A12" s="58">
        <v>39783</v>
      </c>
      <c r="B12" s="58"/>
      <c r="C12" s="75">
        <f>Population!DK257+Population!DL257+Population!DM257+Population!DN257</f>
        <v>233483</v>
      </c>
      <c r="D12" s="87">
        <f t="shared" si="5"/>
        <v>3.5675447984767012E-3</v>
      </c>
      <c r="E12" s="115">
        <f t="shared" si="6"/>
        <v>830</v>
      </c>
      <c r="F12" s="75">
        <f>SUM(Population!DO257:'Population'!DT257)</f>
        <v>458566</v>
      </c>
      <c r="G12" s="87">
        <f t="shared" si="7"/>
        <v>5.706590871209131E-3</v>
      </c>
      <c r="H12" s="115">
        <f t="shared" si="8"/>
        <v>2602</v>
      </c>
      <c r="I12" s="86">
        <f t="shared" si="2"/>
        <v>692049</v>
      </c>
      <c r="J12" s="87">
        <f t="shared" si="9"/>
        <v>4.983902517654952E-3</v>
      </c>
      <c r="K12" s="115">
        <f t="shared" si="10"/>
        <v>3432</v>
      </c>
      <c r="L12" s="88"/>
      <c r="M12" s="1"/>
      <c r="N12" s="75">
        <f>SUM(Population!H257:K257,Population!CG257)</f>
        <v>95342</v>
      </c>
      <c r="O12" s="75">
        <f>Population!G257</f>
        <v>1169</v>
      </c>
      <c r="P12" s="86">
        <f t="shared" si="3"/>
        <v>96511</v>
      </c>
      <c r="Q12" s="87">
        <f t="shared" si="11"/>
        <v>3.2849940225583452E-3</v>
      </c>
      <c r="R12" s="115">
        <f t="shared" si="12"/>
        <v>316</v>
      </c>
      <c r="S12" s="89"/>
      <c r="T12" s="1"/>
      <c r="U12" s="78">
        <f t="shared" si="4"/>
        <v>788560</v>
      </c>
      <c r="V12" s="63">
        <f t="shared" si="13"/>
        <v>4.7756660193778895E-3</v>
      </c>
      <c r="W12" s="115">
        <f t="shared" si="14"/>
        <v>3748</v>
      </c>
    </row>
    <row r="13" spans="1:23" hidden="1">
      <c r="A13" s="58">
        <v>39814</v>
      </c>
      <c r="B13" s="58"/>
      <c r="C13" s="75">
        <f>Population!DK258+Population!DL258+Population!DM258+Population!DN258</f>
        <v>226177</v>
      </c>
      <c r="D13" s="87">
        <f t="shared" si="5"/>
        <v>-3.1291357400752944E-2</v>
      </c>
      <c r="E13" s="115">
        <f t="shared" si="6"/>
        <v>-7306</v>
      </c>
      <c r="F13" s="75">
        <f>SUM(Population!DO258:'Population'!DT258)</f>
        <v>461773</v>
      </c>
      <c r="G13" s="87">
        <f t="shared" si="7"/>
        <v>6.9935407335040105E-3</v>
      </c>
      <c r="H13" s="115">
        <f t="shared" si="8"/>
        <v>3207</v>
      </c>
      <c r="I13" s="86">
        <f t="shared" si="2"/>
        <v>687950</v>
      </c>
      <c r="J13" s="87">
        <f t="shared" si="9"/>
        <v>-5.9229910020822223E-3</v>
      </c>
      <c r="K13" s="115">
        <f t="shared" si="10"/>
        <v>-4099</v>
      </c>
      <c r="L13" s="88"/>
      <c r="M13" s="1"/>
      <c r="N13" s="75">
        <f>SUM(Population!H258:K258,Population!CG258)</f>
        <v>96014</v>
      </c>
      <c r="O13" s="75">
        <f>Population!G258</f>
        <v>1165</v>
      </c>
      <c r="P13" s="86">
        <f t="shared" si="3"/>
        <v>97179</v>
      </c>
      <c r="Q13" s="87">
        <f t="shared" si="11"/>
        <v>6.9214908145185522E-3</v>
      </c>
      <c r="R13" s="115">
        <f t="shared" si="12"/>
        <v>668</v>
      </c>
      <c r="S13" s="89"/>
      <c r="T13" s="1"/>
      <c r="U13" s="78">
        <f t="shared" si="4"/>
        <v>785129</v>
      </c>
      <c r="V13" s="63">
        <f t="shared" si="13"/>
        <v>-4.3509688546210816E-3</v>
      </c>
      <c r="W13" s="115">
        <f t="shared" si="14"/>
        <v>-3431</v>
      </c>
    </row>
    <row r="14" spans="1:23" hidden="1">
      <c r="A14" s="58">
        <v>39845</v>
      </c>
      <c r="B14" s="58"/>
      <c r="C14" s="75">
        <f>Population!DK259+Population!DL259+Population!DM259+Population!DN259</f>
        <v>229511</v>
      </c>
      <c r="D14" s="87">
        <f t="shared" si="5"/>
        <v>1.4740667707149711E-2</v>
      </c>
      <c r="E14" s="115">
        <f t="shared" si="6"/>
        <v>3334</v>
      </c>
      <c r="F14" s="75">
        <f>SUM(Population!DO259:'Population'!DT259)</f>
        <v>466177</v>
      </c>
      <c r="G14" s="87">
        <f t="shared" si="7"/>
        <v>9.5371535364778791E-3</v>
      </c>
      <c r="H14" s="115">
        <f t="shared" si="8"/>
        <v>4404</v>
      </c>
      <c r="I14" s="86">
        <f t="shared" si="2"/>
        <v>695688</v>
      </c>
      <c r="J14" s="87">
        <f t="shared" si="9"/>
        <v>1.1247910458608911E-2</v>
      </c>
      <c r="K14" s="115">
        <f t="shared" si="10"/>
        <v>7738</v>
      </c>
      <c r="L14" s="88"/>
      <c r="M14" s="1"/>
      <c r="N14" s="75">
        <f>SUM(Population!H259:K259,Population!CG259)</f>
        <v>96044</v>
      </c>
      <c r="O14" s="75">
        <f>Population!G259</f>
        <v>1161</v>
      </c>
      <c r="P14" s="86">
        <f t="shared" si="3"/>
        <v>97205</v>
      </c>
      <c r="Q14" s="87">
        <f t="shared" si="11"/>
        <v>2.6754751540970784E-4</v>
      </c>
      <c r="R14" s="115">
        <f t="shared" si="12"/>
        <v>26</v>
      </c>
      <c r="S14" s="89"/>
      <c r="T14" s="1"/>
      <c r="U14" s="78">
        <f t="shared" si="4"/>
        <v>792893</v>
      </c>
      <c r="V14" s="63">
        <f t="shared" si="13"/>
        <v>9.88882081798023E-3</v>
      </c>
      <c r="W14" s="115">
        <f t="shared" si="14"/>
        <v>7764</v>
      </c>
    </row>
    <row r="15" spans="1:23" hidden="1">
      <c r="A15" s="58">
        <v>39873</v>
      </c>
      <c r="B15" s="58"/>
      <c r="C15" s="75">
        <f>Population!DK260+Population!DL260+Population!DM260+Population!DN260</f>
        <v>231899</v>
      </c>
      <c r="D15" s="87">
        <f t="shared" si="5"/>
        <v>1.0404730056511453E-2</v>
      </c>
      <c r="E15" s="115">
        <f t="shared" si="6"/>
        <v>2388</v>
      </c>
      <c r="F15" s="75">
        <f>SUM(Population!DO260:'Population'!DT260)</f>
        <v>470791</v>
      </c>
      <c r="G15" s="87">
        <f t="shared" si="7"/>
        <v>9.8975281920815478E-3</v>
      </c>
      <c r="H15" s="115">
        <f t="shared" si="8"/>
        <v>4614</v>
      </c>
      <c r="I15" s="86">
        <f t="shared" si="2"/>
        <v>702690</v>
      </c>
      <c r="J15" s="87">
        <f t="shared" si="9"/>
        <v>1.0064856659882016E-2</v>
      </c>
      <c r="K15" s="115">
        <f t="shared" si="10"/>
        <v>7002</v>
      </c>
      <c r="L15" s="88"/>
      <c r="M15" s="1"/>
      <c r="N15" s="75">
        <f>SUM(Population!H260:K260,Population!CG260)</f>
        <v>95649</v>
      </c>
      <c r="O15" s="75">
        <f>Population!G260</f>
        <v>1127</v>
      </c>
      <c r="P15" s="86">
        <f t="shared" si="3"/>
        <v>96776</v>
      </c>
      <c r="Q15" s="87">
        <f t="shared" si="11"/>
        <v>-4.413353222570855E-3</v>
      </c>
      <c r="R15" s="115">
        <f t="shared" si="12"/>
        <v>-429</v>
      </c>
      <c r="S15" s="89"/>
      <c r="T15" s="1"/>
      <c r="U15" s="78">
        <f t="shared" si="4"/>
        <v>799466</v>
      </c>
      <c r="V15" s="63">
        <f t="shared" si="13"/>
        <v>8.2898953578856155E-3</v>
      </c>
      <c r="W15" s="115">
        <f t="shared" si="14"/>
        <v>6573</v>
      </c>
    </row>
    <row r="16" spans="1:23" hidden="1">
      <c r="A16" s="58">
        <v>39904</v>
      </c>
      <c r="B16" s="58"/>
      <c r="C16" s="75">
        <f>Population!DK261+Population!DL261+Population!DM261+Population!DN261</f>
        <v>233193</v>
      </c>
      <c r="D16" s="87">
        <f t="shared" si="5"/>
        <v>5.5800154377552294E-3</v>
      </c>
      <c r="E16" s="115">
        <f t="shared" si="6"/>
        <v>1294</v>
      </c>
      <c r="F16" s="75">
        <f>SUM(Population!DO261:'Population'!DT261)</f>
        <v>478818</v>
      </c>
      <c r="G16" s="87">
        <f t="shared" si="7"/>
        <v>1.7050028568940358E-2</v>
      </c>
      <c r="H16" s="115">
        <f t="shared" si="8"/>
        <v>8027</v>
      </c>
      <c r="I16" s="86">
        <f t="shared" si="2"/>
        <v>712011</v>
      </c>
      <c r="J16" s="87">
        <f t="shared" si="9"/>
        <v>1.326473978568074E-2</v>
      </c>
      <c r="K16" s="115">
        <f t="shared" si="10"/>
        <v>9321</v>
      </c>
      <c r="L16" s="88"/>
      <c r="M16" s="1"/>
      <c r="N16" s="75">
        <f>SUM(Population!H261:K261,Population!CG261)</f>
        <v>96350</v>
      </c>
      <c r="O16" s="75">
        <f>Population!G261</f>
        <v>1118</v>
      </c>
      <c r="P16" s="86">
        <f t="shared" si="3"/>
        <v>97468</v>
      </c>
      <c r="Q16" s="87">
        <f t="shared" si="11"/>
        <v>7.1505331900471193E-3</v>
      </c>
      <c r="R16" s="115">
        <f t="shared" si="12"/>
        <v>692</v>
      </c>
      <c r="S16" s="89"/>
      <c r="T16" s="1"/>
      <c r="U16" s="78">
        <f t="shared" si="4"/>
        <v>809479</v>
      </c>
      <c r="V16" s="63">
        <f t="shared" si="13"/>
        <v>1.2524610177293343E-2</v>
      </c>
      <c r="W16" s="115">
        <f t="shared" si="14"/>
        <v>10013</v>
      </c>
    </row>
    <row r="17" spans="1:23" hidden="1">
      <c r="A17" s="58">
        <v>39934</v>
      </c>
      <c r="B17" s="58"/>
      <c r="C17" s="75">
        <f>Population!DK262+Population!DL262+Population!DM262+Population!DN262</f>
        <v>234639</v>
      </c>
      <c r="D17" s="87">
        <f t="shared" si="5"/>
        <v>6.2008722388750947E-3</v>
      </c>
      <c r="E17" s="115">
        <f t="shared" si="6"/>
        <v>1446</v>
      </c>
      <c r="F17" s="75">
        <f>SUM(Population!DO262:'Population'!DT262)</f>
        <v>484215</v>
      </c>
      <c r="G17" s="87">
        <f t="shared" si="7"/>
        <v>1.1271506083731187E-2</v>
      </c>
      <c r="H17" s="115">
        <f t="shared" si="8"/>
        <v>5397</v>
      </c>
      <c r="I17" s="86">
        <f t="shared" si="2"/>
        <v>718854</v>
      </c>
      <c r="J17" s="87">
        <f t="shared" si="9"/>
        <v>9.6108065746175267E-3</v>
      </c>
      <c r="K17" s="115">
        <f t="shared" si="10"/>
        <v>6843</v>
      </c>
      <c r="L17" s="88"/>
      <c r="M17" s="1"/>
      <c r="N17" s="75">
        <f>SUM(Population!H262:K262,Population!CG262)</f>
        <v>95941</v>
      </c>
      <c r="O17" s="75">
        <f>Population!G262</f>
        <v>1124</v>
      </c>
      <c r="P17" s="86">
        <f t="shared" si="3"/>
        <v>97065</v>
      </c>
      <c r="Q17" s="87">
        <f t="shared" si="11"/>
        <v>-4.1346903599129969E-3</v>
      </c>
      <c r="R17" s="115">
        <f t="shared" si="12"/>
        <v>-403</v>
      </c>
      <c r="S17" s="89"/>
      <c r="T17" s="1"/>
      <c r="U17" s="78">
        <f t="shared" si="4"/>
        <v>815919</v>
      </c>
      <c r="V17" s="63">
        <f t="shared" si="13"/>
        <v>7.9557344909503523E-3</v>
      </c>
      <c r="W17" s="115">
        <f t="shared" si="14"/>
        <v>6440</v>
      </c>
    </row>
    <row r="18" spans="1:23" hidden="1">
      <c r="A18" s="58">
        <v>39965</v>
      </c>
      <c r="B18" s="58"/>
      <c r="C18" s="75">
        <f>Population!DK263+Population!DL263+Population!DM263+Population!DN263</f>
        <v>235463</v>
      </c>
      <c r="D18" s="90">
        <f t="shared" si="5"/>
        <v>3.5117776669692591E-3</v>
      </c>
      <c r="E18" s="115">
        <f t="shared" si="6"/>
        <v>824</v>
      </c>
      <c r="F18" s="75">
        <f>SUM(Population!DO263:'Population'!DT263)</f>
        <v>488926</v>
      </c>
      <c r="G18" s="90">
        <f t="shared" si="7"/>
        <v>9.7291492415559205E-3</v>
      </c>
      <c r="H18" s="115">
        <f t="shared" si="8"/>
        <v>4711</v>
      </c>
      <c r="I18" s="86">
        <f t="shared" si="2"/>
        <v>724389</v>
      </c>
      <c r="J18" s="90">
        <f t="shared" si="9"/>
        <v>7.6997554440818303E-3</v>
      </c>
      <c r="K18" s="115">
        <f t="shared" si="10"/>
        <v>5535</v>
      </c>
      <c r="L18" s="91"/>
      <c r="M18" s="1"/>
      <c r="N18" s="75">
        <f>SUM(Population!H263:K263,Population!CG263)</f>
        <v>96208</v>
      </c>
      <c r="O18" s="75">
        <f>Population!G263</f>
        <v>1094</v>
      </c>
      <c r="P18" s="86">
        <f t="shared" si="3"/>
        <v>97302</v>
      </c>
      <c r="Q18" s="87">
        <f t="shared" si="11"/>
        <v>2.4416628032761551E-3</v>
      </c>
      <c r="R18" s="115">
        <f t="shared" si="12"/>
        <v>237</v>
      </c>
      <c r="S18" s="89"/>
      <c r="T18" s="1"/>
      <c r="U18" s="78">
        <f t="shared" si="4"/>
        <v>821691</v>
      </c>
      <c r="V18" s="63">
        <f t="shared" si="13"/>
        <v>7.0742316332871279E-3</v>
      </c>
      <c r="W18" s="115">
        <f t="shared" si="14"/>
        <v>5772</v>
      </c>
    </row>
    <row r="19" spans="1:23" ht="6" hidden="1" customHeight="1">
      <c r="A19" s="58"/>
      <c r="B19" s="58"/>
      <c r="C19" s="75"/>
      <c r="D19" s="90"/>
      <c r="E19" s="115"/>
      <c r="F19" s="75"/>
      <c r="G19" s="90"/>
      <c r="H19" s="115"/>
      <c r="I19" s="86"/>
      <c r="J19" s="90"/>
      <c r="K19" s="115"/>
      <c r="L19" s="91"/>
      <c r="M19" s="1"/>
      <c r="N19" s="75"/>
      <c r="O19" s="75"/>
      <c r="P19" s="86"/>
      <c r="Q19" s="87"/>
      <c r="R19" s="115"/>
      <c r="S19" s="89"/>
      <c r="T19" s="1"/>
      <c r="U19" s="78"/>
      <c r="V19" s="63"/>
      <c r="W19" s="115"/>
    </row>
    <row r="20" spans="1:23" hidden="1">
      <c r="A20" s="58">
        <v>39995</v>
      </c>
      <c r="B20" s="58"/>
      <c r="C20" s="75">
        <f>Population!DK264+Population!DL264+Population!DM264+Population!DN264</f>
        <v>236214</v>
      </c>
      <c r="D20" s="90">
        <f>(C20-C18)/C18</f>
        <v>3.189460764536254E-3</v>
      </c>
      <c r="E20" s="115">
        <f>C20-C18</f>
        <v>751</v>
      </c>
      <c r="F20" s="75">
        <f>SUM(Population!DO264:'Population'!DT264)</f>
        <v>495282</v>
      </c>
      <c r="G20" s="90">
        <f>(F20-F18)/F18</f>
        <v>1.2999922278627032E-2</v>
      </c>
      <c r="H20" s="115">
        <f>F20-F18</f>
        <v>6356</v>
      </c>
      <c r="I20" s="86">
        <f t="shared" ref="I20:I31" si="15">C20+F20</f>
        <v>731496</v>
      </c>
      <c r="J20" s="90">
        <f>(I20-I18)/I18</f>
        <v>9.8110269482280937E-3</v>
      </c>
      <c r="K20" s="115">
        <f>I20-I18</f>
        <v>7107</v>
      </c>
      <c r="L20" s="91"/>
      <c r="M20" s="1"/>
      <c r="N20" s="75">
        <f>SUM(Population!H264:K264,Population!CG264)</f>
        <v>96519</v>
      </c>
      <c r="O20" s="75">
        <f>Population!G264</f>
        <v>1130</v>
      </c>
      <c r="P20" s="86">
        <f t="shared" si="3"/>
        <v>97649</v>
      </c>
      <c r="Q20" s="87">
        <f>(P20-P18)/P18</f>
        <v>3.566216521757004E-3</v>
      </c>
      <c r="R20" s="115">
        <f>P20-P18</f>
        <v>347</v>
      </c>
      <c r="S20" s="89"/>
      <c r="T20" s="1"/>
      <c r="U20" s="78">
        <f t="shared" ref="U20:U31" si="16">I20+P20</f>
        <v>829145</v>
      </c>
      <c r="V20" s="63">
        <f>(U20-U18)/U18</f>
        <v>9.0715366238646889E-3</v>
      </c>
      <c r="W20" s="115">
        <f>U20-U18</f>
        <v>7454</v>
      </c>
    </row>
    <row r="21" spans="1:23" hidden="1">
      <c r="A21" s="58">
        <v>40026</v>
      </c>
      <c r="B21" s="58"/>
      <c r="C21" s="75">
        <f>Population!DK265+Population!DL265+Population!DM265+Population!DN265</f>
        <v>236759</v>
      </c>
      <c r="D21" s="90">
        <f t="shared" si="5"/>
        <v>2.3072298847655092E-3</v>
      </c>
      <c r="E21" s="115">
        <f t="shared" ref="E21:E31" si="17">C21-C20</f>
        <v>545</v>
      </c>
      <c r="F21" s="75">
        <f>SUM(Population!DO265:'Population'!DT265)</f>
        <v>501752</v>
      </c>
      <c r="G21" s="90">
        <f t="shared" si="7"/>
        <v>1.3063264968240316E-2</v>
      </c>
      <c r="H21" s="115">
        <f t="shared" ref="H21:H31" si="18">F21-F20</f>
        <v>6470</v>
      </c>
      <c r="I21" s="86">
        <f t="shared" si="15"/>
        <v>738511</v>
      </c>
      <c r="J21" s="90">
        <f t="shared" si="9"/>
        <v>9.5899362402528509E-3</v>
      </c>
      <c r="K21" s="115">
        <f t="shared" ref="K21:K31" si="19">I21-I20</f>
        <v>7015</v>
      </c>
      <c r="L21" s="91"/>
      <c r="M21" s="1"/>
      <c r="N21" s="75">
        <f>SUM(Population!H265:K265,Population!CG265)</f>
        <v>96802</v>
      </c>
      <c r="O21" s="75">
        <f>Population!G265</f>
        <v>1149</v>
      </c>
      <c r="P21" s="86">
        <f t="shared" si="3"/>
        <v>97951</v>
      </c>
      <c r="Q21" s="87">
        <f t="shared" si="11"/>
        <v>3.0927096027609088E-3</v>
      </c>
      <c r="R21" s="115">
        <f t="shared" ref="R21:R31" si="20">P21-P20</f>
        <v>302</v>
      </c>
      <c r="S21" s="89"/>
      <c r="T21" s="1"/>
      <c r="U21" s="78">
        <f t="shared" si="16"/>
        <v>836462</v>
      </c>
      <c r="V21" s="63">
        <f t="shared" si="13"/>
        <v>8.8247532096316084E-3</v>
      </c>
      <c r="W21" s="115">
        <f t="shared" ref="W21:W31" si="21">U21-U20</f>
        <v>7317</v>
      </c>
    </row>
    <row r="22" spans="1:23" hidden="1">
      <c r="A22" s="58">
        <v>40057</v>
      </c>
      <c r="B22" s="58"/>
      <c r="C22" s="75">
        <f>Population!DK266+Population!DL266+Population!DM266+Population!DN266</f>
        <v>237196</v>
      </c>
      <c r="D22" s="90">
        <f t="shared" si="5"/>
        <v>1.8457587673541449E-3</v>
      </c>
      <c r="E22" s="115">
        <f t="shared" si="17"/>
        <v>437</v>
      </c>
      <c r="F22" s="75">
        <f>SUM(Population!DO266:'Population'!DT266)</f>
        <v>505061</v>
      </c>
      <c r="G22" s="90">
        <f t="shared" si="7"/>
        <v>6.5948915001833577E-3</v>
      </c>
      <c r="H22" s="115">
        <f t="shared" si="18"/>
        <v>3309</v>
      </c>
      <c r="I22" s="86">
        <f t="shared" si="15"/>
        <v>742257</v>
      </c>
      <c r="J22" s="90">
        <f t="shared" si="9"/>
        <v>5.072368590312128E-3</v>
      </c>
      <c r="K22" s="115">
        <f t="shared" si="19"/>
        <v>3746</v>
      </c>
      <c r="L22" s="91"/>
      <c r="M22" s="1"/>
      <c r="N22" s="75">
        <f>SUM(Population!H266:K266,Population!CG266)</f>
        <v>97120</v>
      </c>
      <c r="O22" s="75">
        <f>Population!G266</f>
        <v>1157</v>
      </c>
      <c r="P22" s="86">
        <f t="shared" si="3"/>
        <v>98277</v>
      </c>
      <c r="Q22" s="87">
        <f t="shared" si="11"/>
        <v>3.3281947095996976E-3</v>
      </c>
      <c r="R22" s="115">
        <f t="shared" si="20"/>
        <v>326</v>
      </c>
      <c r="S22" s="89"/>
      <c r="T22" s="1"/>
      <c r="U22" s="78">
        <f t="shared" si="16"/>
        <v>840534</v>
      </c>
      <c r="V22" s="63">
        <f t="shared" si="13"/>
        <v>4.8681231185636643E-3</v>
      </c>
      <c r="W22" s="115">
        <f t="shared" si="21"/>
        <v>4072</v>
      </c>
    </row>
    <row r="23" spans="1:23" hidden="1">
      <c r="A23" s="58">
        <v>40087</v>
      </c>
      <c r="B23" s="58"/>
      <c r="C23" s="75">
        <f>Population!DK267+Population!DL267+Population!DM267+Population!DN267</f>
        <v>239274</v>
      </c>
      <c r="D23" s="90">
        <f t="shared" si="5"/>
        <v>8.7606873640364933E-3</v>
      </c>
      <c r="E23" s="115">
        <f t="shared" si="17"/>
        <v>2078</v>
      </c>
      <c r="F23" s="75">
        <f>SUM(Population!DO267:'Population'!DT267)</f>
        <v>511915</v>
      </c>
      <c r="G23" s="90">
        <f t="shared" si="7"/>
        <v>1.3570638002142315E-2</v>
      </c>
      <c r="H23" s="115">
        <f t="shared" si="18"/>
        <v>6854</v>
      </c>
      <c r="I23" s="86">
        <f t="shared" si="15"/>
        <v>751189</v>
      </c>
      <c r="J23" s="90">
        <f t="shared" si="9"/>
        <v>1.2033567888211225E-2</v>
      </c>
      <c r="K23" s="115">
        <f t="shared" si="19"/>
        <v>8932</v>
      </c>
      <c r="L23" s="91"/>
      <c r="M23" s="1"/>
      <c r="N23" s="75">
        <f>SUM(Population!H267:K267,Population!CG267)</f>
        <v>98222</v>
      </c>
      <c r="O23" s="75">
        <f>Population!G267</f>
        <v>1195</v>
      </c>
      <c r="P23" s="86">
        <f t="shared" si="3"/>
        <v>99417</v>
      </c>
      <c r="Q23" s="87">
        <f t="shared" si="11"/>
        <v>1.1599865685765744E-2</v>
      </c>
      <c r="R23" s="115">
        <f t="shared" si="20"/>
        <v>1140</v>
      </c>
      <c r="S23" s="89"/>
      <c r="T23" s="1"/>
      <c r="U23" s="78">
        <f t="shared" si="16"/>
        <v>850606</v>
      </c>
      <c r="V23" s="63">
        <f t="shared" si="13"/>
        <v>1.1982858516133791E-2</v>
      </c>
      <c r="W23" s="115">
        <f t="shared" si="21"/>
        <v>10072</v>
      </c>
    </row>
    <row r="24" spans="1:23" hidden="1">
      <c r="A24" s="58">
        <v>40118</v>
      </c>
      <c r="B24" s="58"/>
      <c r="C24" s="75">
        <f>Population!DK268+Population!DL268+Population!DM268+Population!DN268</f>
        <v>240498</v>
      </c>
      <c r="D24" s="90">
        <f t="shared" si="5"/>
        <v>5.1154743097871058E-3</v>
      </c>
      <c r="E24" s="115">
        <f t="shared" si="17"/>
        <v>1224</v>
      </c>
      <c r="F24" s="75">
        <f>SUM(Population!DO268:'Population'!DT268)</f>
        <v>520073</v>
      </c>
      <c r="G24" s="90">
        <f t="shared" si="7"/>
        <v>1.5936239414746589E-2</v>
      </c>
      <c r="H24" s="115">
        <f t="shared" si="18"/>
        <v>8158</v>
      </c>
      <c r="I24" s="86">
        <f t="shared" si="15"/>
        <v>760571</v>
      </c>
      <c r="J24" s="90">
        <f t="shared" si="9"/>
        <v>1.2489533259938578E-2</v>
      </c>
      <c r="K24" s="115">
        <f t="shared" si="19"/>
        <v>9382</v>
      </c>
      <c r="L24" s="91"/>
      <c r="M24" s="1"/>
      <c r="N24" s="75">
        <f>SUM(Population!H268:K268,Population!CG268)</f>
        <v>99705</v>
      </c>
      <c r="O24" s="75">
        <f>Population!G268</f>
        <v>1193</v>
      </c>
      <c r="P24" s="86">
        <f t="shared" si="3"/>
        <v>100898</v>
      </c>
      <c r="Q24" s="87">
        <f t="shared" si="11"/>
        <v>1.4896848627498314E-2</v>
      </c>
      <c r="R24" s="115">
        <f t="shared" si="20"/>
        <v>1481</v>
      </c>
      <c r="S24" s="89"/>
      <c r="T24" s="1"/>
      <c r="U24" s="78">
        <f t="shared" si="16"/>
        <v>861469</v>
      </c>
      <c r="V24" s="63">
        <f t="shared" si="13"/>
        <v>1.2770895103020669E-2</v>
      </c>
      <c r="W24" s="115">
        <f t="shared" si="21"/>
        <v>10863</v>
      </c>
    </row>
    <row r="25" spans="1:23" hidden="1">
      <c r="A25" s="58">
        <v>40148</v>
      </c>
      <c r="B25" s="58"/>
      <c r="C25" s="75">
        <f>Population!DK269+Population!DL269+Population!DM269+Population!DN269</f>
        <v>241008</v>
      </c>
      <c r="D25" s="90">
        <f t="shared" si="5"/>
        <v>2.1205997555073224E-3</v>
      </c>
      <c r="E25" s="115">
        <f t="shared" si="17"/>
        <v>510</v>
      </c>
      <c r="F25" s="75">
        <f>SUM(Population!DO269:'Population'!DT269)</f>
        <v>523037</v>
      </c>
      <c r="G25" s="90">
        <f t="shared" si="7"/>
        <v>5.6991999200112289E-3</v>
      </c>
      <c r="H25" s="115">
        <f t="shared" si="18"/>
        <v>2964</v>
      </c>
      <c r="I25" s="86">
        <f t="shared" si="15"/>
        <v>764045</v>
      </c>
      <c r="J25" s="90">
        <f t="shared" si="9"/>
        <v>4.5676209058720359E-3</v>
      </c>
      <c r="K25" s="115">
        <f t="shared" si="19"/>
        <v>3474</v>
      </c>
      <c r="L25" s="91"/>
      <c r="M25" s="1"/>
      <c r="N25" s="75">
        <f>SUM(Population!H269:K269,Population!CG269)</f>
        <v>100500</v>
      </c>
      <c r="O25" s="75">
        <f>Population!G269</f>
        <v>1165</v>
      </c>
      <c r="P25" s="86">
        <f t="shared" si="3"/>
        <v>101665</v>
      </c>
      <c r="Q25" s="87">
        <f t="shared" si="11"/>
        <v>7.6017364070645604E-3</v>
      </c>
      <c r="R25" s="115">
        <f t="shared" si="20"/>
        <v>767</v>
      </c>
      <c r="S25" s="89"/>
      <c r="T25" s="1"/>
      <c r="U25" s="78">
        <f t="shared" si="16"/>
        <v>865710</v>
      </c>
      <c r="V25" s="63">
        <f t="shared" si="13"/>
        <v>4.9229862014767796E-3</v>
      </c>
      <c r="W25" s="115">
        <f t="shared" si="21"/>
        <v>4241</v>
      </c>
    </row>
    <row r="26" spans="1:23" hidden="1">
      <c r="A26" s="58">
        <v>40179</v>
      </c>
      <c r="B26" s="58"/>
      <c r="C26" s="75">
        <f>Population!DK270+Population!DL270+Population!DM270+Population!DN270</f>
        <v>233660</v>
      </c>
      <c r="D26" s="90">
        <f t="shared" si="5"/>
        <v>-3.0488614485826196E-2</v>
      </c>
      <c r="E26" s="115">
        <f t="shared" si="17"/>
        <v>-7348</v>
      </c>
      <c r="F26" s="75">
        <f>SUM(Population!DO270:'Population'!DT270)</f>
        <v>527446</v>
      </c>
      <c r="G26" s="90">
        <f t="shared" si="7"/>
        <v>8.4296139661247677E-3</v>
      </c>
      <c r="H26" s="115">
        <f t="shared" si="18"/>
        <v>4409</v>
      </c>
      <c r="I26" s="86">
        <f t="shared" si="15"/>
        <v>761106</v>
      </c>
      <c r="J26" s="90">
        <f t="shared" si="9"/>
        <v>-3.8466320701005829E-3</v>
      </c>
      <c r="K26" s="115">
        <f t="shared" si="19"/>
        <v>-2939</v>
      </c>
      <c r="L26" s="91"/>
      <c r="M26" s="1"/>
      <c r="N26" s="75">
        <f>SUM(Population!H270:K270,Population!CG270)</f>
        <v>100854</v>
      </c>
      <c r="O26" s="75">
        <f>Population!G270</f>
        <v>1165</v>
      </c>
      <c r="P26" s="86">
        <f t="shared" si="3"/>
        <v>102019</v>
      </c>
      <c r="Q26" s="87">
        <f t="shared" si="11"/>
        <v>3.4820242954802538E-3</v>
      </c>
      <c r="R26" s="115">
        <f t="shared" si="20"/>
        <v>354</v>
      </c>
      <c r="S26" s="89"/>
      <c r="T26" s="1"/>
      <c r="U26" s="78">
        <f t="shared" si="16"/>
        <v>863125</v>
      </c>
      <c r="V26" s="63">
        <f t="shared" si="13"/>
        <v>-2.9859883794804264E-3</v>
      </c>
      <c r="W26" s="115">
        <f t="shared" si="21"/>
        <v>-2585</v>
      </c>
    </row>
    <row r="27" spans="1:23" hidden="1">
      <c r="A27" s="58">
        <v>40210</v>
      </c>
      <c r="B27" s="58"/>
      <c r="C27" s="75">
        <f>Population!DK271+Population!DL271+Population!DM271+Population!DN271</f>
        <v>240105</v>
      </c>
      <c r="D27" s="90">
        <f t="shared" si="5"/>
        <v>2.7582812633741332E-2</v>
      </c>
      <c r="E27" s="115">
        <f t="shared" si="17"/>
        <v>6445</v>
      </c>
      <c r="F27" s="75">
        <f>SUM(Population!DO271:'Population'!DT271)</f>
        <v>534941</v>
      </c>
      <c r="G27" s="90">
        <f t="shared" si="7"/>
        <v>1.420998547718629E-2</v>
      </c>
      <c r="H27" s="115">
        <f t="shared" si="18"/>
        <v>7495</v>
      </c>
      <c r="I27" s="86">
        <f t="shared" si="15"/>
        <v>775046</v>
      </c>
      <c r="J27" s="90">
        <f t="shared" si="9"/>
        <v>1.8315451461425873E-2</v>
      </c>
      <c r="K27" s="115">
        <f t="shared" si="19"/>
        <v>13940</v>
      </c>
      <c r="L27" s="91"/>
      <c r="M27" s="1"/>
      <c r="N27" s="75">
        <f>SUM(Population!H271:K271,Population!CG271)</f>
        <v>99857</v>
      </c>
      <c r="O27" s="75">
        <f>Population!G271</f>
        <v>1189</v>
      </c>
      <c r="P27" s="86">
        <f t="shared" si="3"/>
        <v>101046</v>
      </c>
      <c r="Q27" s="87">
        <f t="shared" si="11"/>
        <v>-9.5374391044805388E-3</v>
      </c>
      <c r="R27" s="115">
        <f t="shared" si="20"/>
        <v>-973</v>
      </c>
      <c r="S27" s="89"/>
      <c r="T27" s="1"/>
      <c r="U27" s="78">
        <f t="shared" si="16"/>
        <v>876092</v>
      </c>
      <c r="V27" s="63">
        <f t="shared" si="13"/>
        <v>1.5023316437364228E-2</v>
      </c>
      <c r="W27" s="115">
        <f t="shared" si="21"/>
        <v>12967</v>
      </c>
    </row>
    <row r="28" spans="1:23" hidden="1">
      <c r="A28" s="58">
        <v>40238</v>
      </c>
      <c r="B28" s="58"/>
      <c r="C28" s="75">
        <f>Population!DK272+Population!DL272+Population!DM272+Population!DN272</f>
        <v>240811</v>
      </c>
      <c r="D28" s="90">
        <f t="shared" si="5"/>
        <v>2.9403802503071572E-3</v>
      </c>
      <c r="E28" s="115">
        <f t="shared" si="17"/>
        <v>706</v>
      </c>
      <c r="F28" s="75">
        <f>SUM(Population!DO272:'Population'!DT272)</f>
        <v>535993</v>
      </c>
      <c r="G28" s="90">
        <f t="shared" si="7"/>
        <v>1.9665720144838401E-3</v>
      </c>
      <c r="H28" s="115">
        <f t="shared" si="18"/>
        <v>1052</v>
      </c>
      <c r="I28" s="86">
        <f t="shared" si="15"/>
        <v>776804</v>
      </c>
      <c r="J28" s="90">
        <f t="shared" si="9"/>
        <v>2.2682524650149798E-3</v>
      </c>
      <c r="K28" s="115">
        <f t="shared" si="19"/>
        <v>1758</v>
      </c>
      <c r="L28" s="91"/>
      <c r="M28" s="1"/>
      <c r="N28" s="75">
        <f>SUM(Population!H272:K272,Population!CG272)</f>
        <v>99124</v>
      </c>
      <c r="O28" s="75">
        <f>Population!G272</f>
        <v>1149</v>
      </c>
      <c r="P28" s="86">
        <f t="shared" si="3"/>
        <v>100273</v>
      </c>
      <c r="Q28" s="87">
        <f t="shared" si="11"/>
        <v>-7.6499811966826989E-3</v>
      </c>
      <c r="R28" s="115">
        <f t="shared" si="20"/>
        <v>-773</v>
      </c>
      <c r="S28" s="89"/>
      <c r="T28" s="1"/>
      <c r="U28" s="78">
        <f t="shared" si="16"/>
        <v>877077</v>
      </c>
      <c r="V28" s="63">
        <f t="shared" si="13"/>
        <v>1.1243111454048206E-3</v>
      </c>
      <c r="W28" s="115">
        <f t="shared" si="21"/>
        <v>985</v>
      </c>
    </row>
    <row r="29" spans="1:23" hidden="1">
      <c r="A29" s="58">
        <v>40269</v>
      </c>
      <c r="B29" s="58"/>
      <c r="C29" s="75">
        <f>Population!DK273+Population!DL273+Population!DM273+Population!DN273</f>
        <v>242195</v>
      </c>
      <c r="D29" s="90">
        <f t="shared" si="5"/>
        <v>5.7472457653512509E-3</v>
      </c>
      <c r="E29" s="115">
        <f t="shared" si="17"/>
        <v>1384</v>
      </c>
      <c r="F29" s="75">
        <f>SUM(Population!DO273:'Population'!DT273)</f>
        <v>541879</v>
      </c>
      <c r="G29" s="90">
        <f t="shared" si="7"/>
        <v>1.0981486698520317E-2</v>
      </c>
      <c r="H29" s="115">
        <f t="shared" si="18"/>
        <v>5886</v>
      </c>
      <c r="I29" s="86">
        <f t="shared" si="15"/>
        <v>784074</v>
      </c>
      <c r="J29" s="90">
        <f t="shared" si="9"/>
        <v>9.3588601500507202E-3</v>
      </c>
      <c r="K29" s="115">
        <f t="shared" si="19"/>
        <v>7270</v>
      </c>
      <c r="L29" s="91"/>
      <c r="M29" s="1"/>
      <c r="N29" s="75">
        <f>SUM(Population!H273:K273,Population!CG273)</f>
        <v>98652</v>
      </c>
      <c r="O29" s="75">
        <f>Population!G273</f>
        <v>1170</v>
      </c>
      <c r="P29" s="86">
        <f t="shared" si="3"/>
        <v>99822</v>
      </c>
      <c r="Q29" s="87">
        <f t="shared" si="11"/>
        <v>-4.4977212210664886E-3</v>
      </c>
      <c r="R29" s="115">
        <f t="shared" si="20"/>
        <v>-451</v>
      </c>
      <c r="S29" s="89"/>
      <c r="T29" s="1"/>
      <c r="U29" s="78">
        <f t="shared" si="16"/>
        <v>883896</v>
      </c>
      <c r="V29" s="63">
        <f t="shared" si="13"/>
        <v>7.774687969243293E-3</v>
      </c>
      <c r="W29" s="115">
        <f t="shared" si="21"/>
        <v>6819</v>
      </c>
    </row>
    <row r="30" spans="1:23" hidden="1">
      <c r="A30" s="58">
        <v>40299</v>
      </c>
      <c r="B30" s="58"/>
      <c r="C30" s="75">
        <f>Population!DK274+Population!DL274+Population!DM274+Population!DN274</f>
        <v>243786</v>
      </c>
      <c r="D30" s="90">
        <f t="shared" si="5"/>
        <v>6.5690868927929975E-3</v>
      </c>
      <c r="E30" s="115">
        <f t="shared" si="17"/>
        <v>1591</v>
      </c>
      <c r="F30" s="75">
        <f>SUM(Population!DO274:'Population'!DT274)</f>
        <v>545061</v>
      </c>
      <c r="G30" s="90">
        <f t="shared" si="7"/>
        <v>5.8721596518780022E-3</v>
      </c>
      <c r="H30" s="115">
        <f t="shared" si="18"/>
        <v>3182</v>
      </c>
      <c r="I30" s="86">
        <f t="shared" si="15"/>
        <v>788847</v>
      </c>
      <c r="J30" s="90">
        <f t="shared" si="9"/>
        <v>6.087435624698689E-3</v>
      </c>
      <c r="K30" s="115">
        <f t="shared" si="19"/>
        <v>4773</v>
      </c>
      <c r="L30" s="91"/>
      <c r="M30" s="1"/>
      <c r="N30" s="75">
        <f>SUM(Population!H274:K274,Population!CG274)</f>
        <v>98694</v>
      </c>
      <c r="O30" s="75">
        <f>Population!G274</f>
        <v>1204</v>
      </c>
      <c r="P30" s="86">
        <f t="shared" si="3"/>
        <v>99898</v>
      </c>
      <c r="Q30" s="87">
        <f t="shared" si="11"/>
        <v>7.613552122778546E-4</v>
      </c>
      <c r="R30" s="115">
        <f t="shared" si="20"/>
        <v>76</v>
      </c>
      <c r="S30" s="89"/>
      <c r="T30" s="1"/>
      <c r="U30" s="78">
        <f t="shared" si="16"/>
        <v>888745</v>
      </c>
      <c r="V30" s="63">
        <f t="shared" si="13"/>
        <v>5.485939522296741E-3</v>
      </c>
      <c r="W30" s="115">
        <f t="shared" si="21"/>
        <v>4849</v>
      </c>
    </row>
    <row r="31" spans="1:23" hidden="1">
      <c r="A31" s="58">
        <v>40330</v>
      </c>
      <c r="B31" s="58"/>
      <c r="C31" s="75">
        <f>Population!DK275+Population!DL275+Population!DM275+Population!DN275</f>
        <v>244854</v>
      </c>
      <c r="D31" s="90">
        <f t="shared" si="5"/>
        <v>4.3808914375722974E-3</v>
      </c>
      <c r="E31" s="115">
        <f t="shared" si="17"/>
        <v>1068</v>
      </c>
      <c r="F31" s="75">
        <f>SUM(Population!DO275:'Population'!DT275)</f>
        <v>546139</v>
      </c>
      <c r="G31" s="90">
        <f t="shared" si="7"/>
        <v>1.9777602873806786E-3</v>
      </c>
      <c r="H31" s="115">
        <f t="shared" si="18"/>
        <v>1078</v>
      </c>
      <c r="I31" s="86">
        <f t="shared" si="15"/>
        <v>790993</v>
      </c>
      <c r="J31" s="90">
        <f t="shared" si="9"/>
        <v>2.7204261409373427E-3</v>
      </c>
      <c r="K31" s="115">
        <f t="shared" si="19"/>
        <v>2146</v>
      </c>
      <c r="L31" s="91"/>
      <c r="M31" s="1"/>
      <c r="N31" s="75">
        <f>SUM(Population!H275:K275,Population!CG275)</f>
        <v>98977</v>
      </c>
      <c r="O31" s="75">
        <f>Population!G275</f>
        <v>1231</v>
      </c>
      <c r="P31" s="86">
        <f t="shared" si="3"/>
        <v>100208</v>
      </c>
      <c r="Q31" s="87">
        <f t="shared" si="11"/>
        <v>3.1031652285331036E-3</v>
      </c>
      <c r="R31" s="115">
        <f t="shared" si="20"/>
        <v>310</v>
      </c>
      <c r="S31" s="89"/>
      <c r="T31" s="1"/>
      <c r="U31" s="78">
        <f t="shared" si="16"/>
        <v>891201</v>
      </c>
      <c r="V31" s="63">
        <f t="shared" si="13"/>
        <v>2.7634473330370355E-3</v>
      </c>
      <c r="W31" s="115">
        <f t="shared" si="21"/>
        <v>2456</v>
      </c>
    </row>
    <row r="32" spans="1:23" ht="6" hidden="1" customHeight="1">
      <c r="A32" s="58"/>
      <c r="B32" s="58"/>
      <c r="C32" s="75"/>
      <c r="D32" s="90"/>
      <c r="E32" s="115"/>
      <c r="F32" s="75"/>
      <c r="G32" s="90"/>
      <c r="H32" s="115"/>
      <c r="I32" s="86"/>
      <c r="J32" s="90"/>
      <c r="K32" s="115"/>
      <c r="L32" s="91"/>
      <c r="M32" s="1"/>
      <c r="N32" s="75"/>
      <c r="O32" s="75"/>
      <c r="P32" s="86"/>
      <c r="Q32" s="87"/>
      <c r="R32" s="115"/>
      <c r="S32" s="89"/>
      <c r="T32" s="1"/>
      <c r="U32" s="78"/>
      <c r="V32" s="63"/>
      <c r="W32" s="115"/>
    </row>
    <row r="33" spans="1:23" hidden="1">
      <c r="A33" s="58">
        <v>40360</v>
      </c>
      <c r="B33" s="58"/>
      <c r="C33" s="75">
        <f>Population!DK276+Population!DL276+Population!DM276+Population!DN276</f>
        <v>245248</v>
      </c>
      <c r="D33" s="90">
        <f>(C33-C31)/C31</f>
        <v>1.6091221707629853E-3</v>
      </c>
      <c r="E33" s="115">
        <f>C33-C31</f>
        <v>394</v>
      </c>
      <c r="F33" s="75">
        <f>SUM(Population!DO276:'Population'!DT276)</f>
        <v>543361</v>
      </c>
      <c r="G33" s="90">
        <f>(F33-F31)/F31</f>
        <v>-5.0866171432547395E-3</v>
      </c>
      <c r="H33" s="115">
        <f>F33-F31</f>
        <v>-2778</v>
      </c>
      <c r="I33" s="86">
        <f t="shared" ref="I33:I44" si="22">C33+F33</f>
        <v>788609</v>
      </c>
      <c r="J33" s="90">
        <f>(I33-I31)/I31</f>
        <v>-3.0139331195092752E-3</v>
      </c>
      <c r="K33" s="115">
        <f>I33-I31</f>
        <v>-2384</v>
      </c>
      <c r="L33" s="91"/>
      <c r="M33" s="1"/>
      <c r="N33" s="75">
        <f>SUM(Population!H276:K276,Population!CG276)</f>
        <v>98931</v>
      </c>
      <c r="O33" s="75">
        <f>Population!G276</f>
        <v>1196</v>
      </c>
      <c r="P33" s="86">
        <f t="shared" si="3"/>
        <v>100127</v>
      </c>
      <c r="Q33" s="87">
        <f>(P33-P31)/P31</f>
        <v>-8.0831869711001114E-4</v>
      </c>
      <c r="R33" s="115">
        <f>P33-P31</f>
        <v>-81</v>
      </c>
      <c r="S33" s="89"/>
      <c r="T33" s="1"/>
      <c r="U33" s="78">
        <f t="shared" ref="U33:U38" si="23">I33+P33</f>
        <v>888736</v>
      </c>
      <c r="V33" s="63">
        <f>(U33-U31)/U31</f>
        <v>-2.76593046910854E-3</v>
      </c>
      <c r="W33" s="115">
        <f>U33-U31</f>
        <v>-2465</v>
      </c>
    </row>
    <row r="34" spans="1:23" hidden="1">
      <c r="A34" s="58">
        <v>40391</v>
      </c>
      <c r="B34" s="58"/>
      <c r="C34" s="75">
        <f>Population!DK277+Population!DL277+Population!DM277+Population!DN277</f>
        <v>246861</v>
      </c>
      <c r="D34" s="87">
        <f t="shared" si="5"/>
        <v>6.5770159185803761E-3</v>
      </c>
      <c r="E34" s="115">
        <f t="shared" ref="E34:E44" si="24">C34-C33</f>
        <v>1613</v>
      </c>
      <c r="F34" s="75">
        <f>SUM(Population!DO277:'Population'!DT277)</f>
        <v>549261</v>
      </c>
      <c r="G34" s="87">
        <f t="shared" si="7"/>
        <v>1.0858342796041674E-2</v>
      </c>
      <c r="H34" s="115">
        <f t="shared" ref="H34:H43" si="25">F34-F33</f>
        <v>5900</v>
      </c>
      <c r="I34" s="86">
        <f t="shared" si="22"/>
        <v>796122</v>
      </c>
      <c r="J34" s="87">
        <f t="shared" si="9"/>
        <v>9.5269011639481666E-3</v>
      </c>
      <c r="K34" s="115">
        <f t="shared" ref="K34:K43" si="26">I34-I33</f>
        <v>7513</v>
      </c>
      <c r="L34" s="88"/>
      <c r="M34" s="1"/>
      <c r="N34" s="75">
        <f>SUM(Population!H277:K277,Population!CG277)</f>
        <v>99424</v>
      </c>
      <c r="O34" s="75">
        <f>Population!G277</f>
        <v>1196</v>
      </c>
      <c r="P34" s="86">
        <f t="shared" si="3"/>
        <v>100620</v>
      </c>
      <c r="Q34" s="87">
        <f t="shared" si="11"/>
        <v>4.9237468415112805E-3</v>
      </c>
      <c r="R34" s="115">
        <f t="shared" ref="R34:R43" si="27">P34-P33</f>
        <v>493</v>
      </c>
      <c r="S34" s="89"/>
      <c r="T34" s="1"/>
      <c r="U34" s="78">
        <f t="shared" si="23"/>
        <v>896742</v>
      </c>
      <c r="V34" s="63">
        <f t="shared" si="13"/>
        <v>9.0082994275015298E-3</v>
      </c>
      <c r="W34" s="115">
        <f t="shared" ref="W34:W43" si="28">U34-U33</f>
        <v>8006</v>
      </c>
    </row>
    <row r="35" spans="1:23" hidden="1">
      <c r="A35" s="58">
        <v>40422</v>
      </c>
      <c r="B35" s="58"/>
      <c r="C35" s="75">
        <f>Population!DK278+Population!DL278+Population!DM278+Population!DN278</f>
        <v>247736</v>
      </c>
      <c r="D35" s="87">
        <f t="shared" si="5"/>
        <v>3.5445048022976493E-3</v>
      </c>
      <c r="E35" s="115">
        <f t="shared" si="24"/>
        <v>875</v>
      </c>
      <c r="F35" s="75">
        <f>SUM(Population!DO278:'Population'!DT278)</f>
        <v>550755</v>
      </c>
      <c r="G35" s="87">
        <f t="shared" si="7"/>
        <v>2.7200183519310492E-3</v>
      </c>
      <c r="H35" s="115">
        <f t="shared" si="25"/>
        <v>1494</v>
      </c>
      <c r="I35" s="86">
        <f t="shared" si="22"/>
        <v>798491</v>
      </c>
      <c r="J35" s="87">
        <f t="shared" si="9"/>
        <v>2.9756745825388572E-3</v>
      </c>
      <c r="K35" s="115">
        <f t="shared" si="26"/>
        <v>2369</v>
      </c>
      <c r="L35" s="88"/>
      <c r="M35" s="1"/>
      <c r="N35" s="75">
        <f>SUM(Population!H278:K278,Population!CG278)</f>
        <v>100363</v>
      </c>
      <c r="O35" s="75">
        <f>Population!G278</f>
        <v>1257</v>
      </c>
      <c r="P35" s="86">
        <f t="shared" si="3"/>
        <v>101620</v>
      </c>
      <c r="Q35" s="87">
        <f t="shared" si="11"/>
        <v>9.9383820314052872E-3</v>
      </c>
      <c r="R35" s="115">
        <f t="shared" si="27"/>
        <v>1000</v>
      </c>
      <c r="S35" s="89"/>
      <c r="T35" s="1"/>
      <c r="U35" s="78">
        <f t="shared" si="23"/>
        <v>900111</v>
      </c>
      <c r="V35" s="63">
        <f t="shared" si="13"/>
        <v>3.7569334323584711E-3</v>
      </c>
      <c r="W35" s="115">
        <f t="shared" si="28"/>
        <v>3369</v>
      </c>
    </row>
    <row r="36" spans="1:23" hidden="1">
      <c r="A36" s="58">
        <v>40452</v>
      </c>
      <c r="B36" s="58"/>
      <c r="C36" s="75">
        <f>Population!DK279+Population!DL279+Population!DM279+Population!DN279</f>
        <v>249134</v>
      </c>
      <c r="D36" s="87">
        <f t="shared" si="5"/>
        <v>5.6431039493654534E-3</v>
      </c>
      <c r="E36" s="115">
        <f t="shared" si="24"/>
        <v>1398</v>
      </c>
      <c r="F36" s="75">
        <f>SUM(Population!DO279:'Population'!DT279)</f>
        <v>553539</v>
      </c>
      <c r="G36" s="87">
        <f t="shared" si="7"/>
        <v>5.0548792112645371E-3</v>
      </c>
      <c r="H36" s="115">
        <f t="shared" si="25"/>
        <v>2784</v>
      </c>
      <c r="I36" s="86">
        <f t="shared" si="22"/>
        <v>802673</v>
      </c>
      <c r="J36" s="87">
        <f t="shared" si="9"/>
        <v>5.2373790061503514E-3</v>
      </c>
      <c r="K36" s="115">
        <f t="shared" si="26"/>
        <v>4182</v>
      </c>
      <c r="L36" s="88"/>
      <c r="M36" s="1"/>
      <c r="N36" s="75">
        <f>SUM(Population!H279:K279,Population!CG279)</f>
        <v>101516</v>
      </c>
      <c r="O36" s="75">
        <f>Population!G279</f>
        <v>1264</v>
      </c>
      <c r="P36" s="86">
        <f t="shared" ref="P36:P41" si="29">SUM(N36:O36)</f>
        <v>102780</v>
      </c>
      <c r="Q36" s="87">
        <f t="shared" si="11"/>
        <v>1.1415075772485732E-2</v>
      </c>
      <c r="R36" s="115">
        <f t="shared" si="27"/>
        <v>1160</v>
      </c>
      <c r="S36" s="89"/>
      <c r="T36" s="1"/>
      <c r="U36" s="78">
        <f t="shared" si="23"/>
        <v>905453</v>
      </c>
      <c r="V36" s="63">
        <f t="shared" si="13"/>
        <v>5.9348235939789646E-3</v>
      </c>
      <c r="W36" s="115">
        <f t="shared" si="28"/>
        <v>5342</v>
      </c>
    </row>
    <row r="37" spans="1:23" hidden="1">
      <c r="A37" s="58">
        <v>40483</v>
      </c>
      <c r="B37" s="58"/>
      <c r="C37" s="75">
        <f>Population!DK280+Population!DL280+Population!DM280+Population!DN280</f>
        <v>250048</v>
      </c>
      <c r="D37" s="87">
        <f t="shared" si="5"/>
        <v>3.6687084059181005E-3</v>
      </c>
      <c r="E37" s="115">
        <f t="shared" si="24"/>
        <v>914</v>
      </c>
      <c r="F37" s="75">
        <f>SUM(Population!DO280:'Population'!DT280)</f>
        <v>555907</v>
      </c>
      <c r="G37" s="87">
        <f t="shared" si="7"/>
        <v>4.2779280231383873E-3</v>
      </c>
      <c r="H37" s="115">
        <f t="shared" si="25"/>
        <v>2368</v>
      </c>
      <c r="I37" s="86">
        <f t="shared" si="22"/>
        <v>805955</v>
      </c>
      <c r="J37" s="87">
        <f t="shared" ref="J37:J43" si="30">(I37-I36)/I36</f>
        <v>4.0888381694662709E-3</v>
      </c>
      <c r="K37" s="115">
        <f t="shared" si="26"/>
        <v>3282</v>
      </c>
      <c r="L37" s="88"/>
      <c r="M37" s="1"/>
      <c r="N37" s="75">
        <f>SUM(Population!H280:K280,Population!CG280)</f>
        <v>103502</v>
      </c>
      <c r="O37" s="75">
        <f>Population!G280</f>
        <v>1289</v>
      </c>
      <c r="P37" s="86">
        <f t="shared" si="29"/>
        <v>104791</v>
      </c>
      <c r="Q37" s="87">
        <f t="shared" ref="Q37:Q43" si="31">(P37-P36)/P36</f>
        <v>1.956606343646624E-2</v>
      </c>
      <c r="R37" s="115">
        <f t="shared" si="27"/>
        <v>2011</v>
      </c>
      <c r="S37" s="89"/>
      <c r="T37" s="1"/>
      <c r="U37" s="78">
        <f t="shared" si="23"/>
        <v>910746</v>
      </c>
      <c r="V37" s="63">
        <f t="shared" ref="V37:V43" si="32">(U37-U36)/U36</f>
        <v>5.8456927085116508E-3</v>
      </c>
      <c r="W37" s="115">
        <f t="shared" si="28"/>
        <v>5293</v>
      </c>
    </row>
    <row r="38" spans="1:23" hidden="1">
      <c r="A38" s="58">
        <v>40513</v>
      </c>
      <c r="B38" s="58"/>
      <c r="C38" s="75">
        <f>Population!DK281+Population!DL281+Population!DM281+Population!DN281</f>
        <v>251103</v>
      </c>
      <c r="D38" s="87">
        <f t="shared" si="5"/>
        <v>4.2191899155362171E-3</v>
      </c>
      <c r="E38" s="115">
        <f t="shared" si="24"/>
        <v>1055</v>
      </c>
      <c r="F38" s="75">
        <f>SUM(Population!DO281:'Population'!DT281)</f>
        <v>557101</v>
      </c>
      <c r="G38" s="87">
        <f t="shared" si="7"/>
        <v>2.1478412756090496E-3</v>
      </c>
      <c r="H38" s="115">
        <f t="shared" si="25"/>
        <v>1194</v>
      </c>
      <c r="I38" s="86">
        <f t="shared" si="22"/>
        <v>808204</v>
      </c>
      <c r="J38" s="87">
        <f t="shared" si="30"/>
        <v>2.7904783765843005E-3</v>
      </c>
      <c r="K38" s="115">
        <f t="shared" si="26"/>
        <v>2249</v>
      </c>
      <c r="L38" s="88"/>
      <c r="M38" s="1"/>
      <c r="N38" s="75">
        <f>SUM(Population!H281:K281,Population!CG281)</f>
        <v>104699</v>
      </c>
      <c r="O38" s="75">
        <f>Population!G281</f>
        <v>1292</v>
      </c>
      <c r="P38" s="86">
        <f t="shared" si="29"/>
        <v>105991</v>
      </c>
      <c r="Q38" s="87">
        <f t="shared" si="31"/>
        <v>1.1451365098147741E-2</v>
      </c>
      <c r="R38" s="115">
        <f t="shared" si="27"/>
        <v>1200</v>
      </c>
      <c r="S38" s="89"/>
      <c r="T38" s="1"/>
      <c r="U38" s="78">
        <f t="shared" si="23"/>
        <v>914195</v>
      </c>
      <c r="V38" s="63">
        <f t="shared" si="32"/>
        <v>3.787005378008797E-3</v>
      </c>
      <c r="W38" s="115">
        <f t="shared" si="28"/>
        <v>3449</v>
      </c>
    </row>
    <row r="39" spans="1:23" hidden="1">
      <c r="A39" s="58">
        <v>40544</v>
      </c>
      <c r="B39" s="58"/>
      <c r="C39" s="75">
        <f>Population!DK282+Population!DL282+Population!DM282+Population!DN282</f>
        <v>241989</v>
      </c>
      <c r="D39" s="87">
        <f t="shared" si="5"/>
        <v>-3.6295862653970681E-2</v>
      </c>
      <c r="E39" s="115">
        <f t="shared" si="24"/>
        <v>-9114</v>
      </c>
      <c r="F39" s="75">
        <f>SUM(Population!DO282:'Population'!DT282)</f>
        <v>553968</v>
      </c>
      <c r="G39" s="87">
        <f t="shared" si="7"/>
        <v>-5.6237558360153726E-3</v>
      </c>
      <c r="H39" s="115">
        <f t="shared" si="25"/>
        <v>-3133</v>
      </c>
      <c r="I39" s="86">
        <f t="shared" si="22"/>
        <v>795957</v>
      </c>
      <c r="J39" s="87">
        <f t="shared" si="30"/>
        <v>-1.5153352371430975E-2</v>
      </c>
      <c r="K39" s="115">
        <f t="shared" si="26"/>
        <v>-12247</v>
      </c>
      <c r="L39" s="88"/>
      <c r="M39" s="1"/>
      <c r="N39" s="75">
        <f>SUM(Population!H282:K282,Population!CG282)</f>
        <v>104945</v>
      </c>
      <c r="O39" s="75">
        <f>Population!G282</f>
        <v>1267</v>
      </c>
      <c r="P39" s="86">
        <f t="shared" si="29"/>
        <v>106212</v>
      </c>
      <c r="Q39" s="87">
        <f t="shared" si="31"/>
        <v>2.0850826957005786E-3</v>
      </c>
      <c r="R39" s="115">
        <f t="shared" si="27"/>
        <v>221</v>
      </c>
      <c r="S39" s="89"/>
      <c r="T39" s="1"/>
      <c r="U39" s="78">
        <f t="shared" ref="U39:U44" si="33">I39+P39</f>
        <v>902169</v>
      </c>
      <c r="V39" s="63">
        <f t="shared" si="32"/>
        <v>-1.315474269712698E-2</v>
      </c>
      <c r="W39" s="115">
        <f t="shared" si="28"/>
        <v>-12026</v>
      </c>
    </row>
    <row r="40" spans="1:23" hidden="1">
      <c r="A40" s="58">
        <v>40575</v>
      </c>
      <c r="B40" s="58"/>
      <c r="C40" s="75">
        <f>Population!DK283+Population!DL283+Population!DM283+Population!DN283</f>
        <v>249366</v>
      </c>
      <c r="D40" s="87">
        <f t="shared" si="5"/>
        <v>3.048485674968697E-2</v>
      </c>
      <c r="E40" s="115">
        <f t="shared" si="24"/>
        <v>7377</v>
      </c>
      <c r="F40" s="75">
        <f>SUM(Population!DO283:'Population'!DT283)</f>
        <v>557349</v>
      </c>
      <c r="G40" s="87">
        <f t="shared" si="7"/>
        <v>6.1032406203968461E-3</v>
      </c>
      <c r="H40" s="115">
        <f t="shared" si="25"/>
        <v>3381</v>
      </c>
      <c r="I40" s="86">
        <f t="shared" si="22"/>
        <v>806715</v>
      </c>
      <c r="J40" s="87">
        <f t="shared" si="30"/>
        <v>1.3515805502056015E-2</v>
      </c>
      <c r="K40" s="115">
        <f t="shared" si="26"/>
        <v>10758</v>
      </c>
      <c r="L40" s="88"/>
      <c r="M40" s="1"/>
      <c r="N40" s="75">
        <f>SUM(Population!H283:K283,Population!CG283)</f>
        <v>105300</v>
      </c>
      <c r="O40" s="75">
        <f>Population!G283</f>
        <v>1249</v>
      </c>
      <c r="P40" s="86">
        <f t="shared" si="29"/>
        <v>106549</v>
      </c>
      <c r="Q40" s="87">
        <f t="shared" si="31"/>
        <v>3.1728994840507663E-3</v>
      </c>
      <c r="R40" s="115">
        <f t="shared" si="27"/>
        <v>337</v>
      </c>
      <c r="S40" s="89"/>
      <c r="T40" s="1"/>
      <c r="U40" s="78">
        <f t="shared" si="33"/>
        <v>913264</v>
      </c>
      <c r="V40" s="63">
        <f t="shared" si="32"/>
        <v>1.2298139262155982E-2</v>
      </c>
      <c r="W40" s="115">
        <f t="shared" si="28"/>
        <v>11095</v>
      </c>
    </row>
    <row r="41" spans="1:23" hidden="1">
      <c r="A41" s="58">
        <v>40603</v>
      </c>
      <c r="B41" s="58"/>
      <c r="C41" s="75">
        <f>Population!DK284+Population!DL284+Population!DM284+Population!DN284</f>
        <v>250727</v>
      </c>
      <c r="D41" s="87">
        <f t="shared" si="5"/>
        <v>5.4578410849915387E-3</v>
      </c>
      <c r="E41" s="115">
        <f t="shared" si="24"/>
        <v>1361</v>
      </c>
      <c r="F41" s="75">
        <f>SUM(Population!DO284:'Population'!DT284)</f>
        <v>554961</v>
      </c>
      <c r="G41" s="87">
        <f t="shared" si="7"/>
        <v>-4.2845685557882044E-3</v>
      </c>
      <c r="H41" s="115">
        <f t="shared" si="25"/>
        <v>-2388</v>
      </c>
      <c r="I41" s="86">
        <f t="shared" si="22"/>
        <v>805688</v>
      </c>
      <c r="J41" s="87">
        <f t="shared" si="30"/>
        <v>-1.2730642172266537E-3</v>
      </c>
      <c r="K41" s="115">
        <f t="shared" si="26"/>
        <v>-1027</v>
      </c>
      <c r="L41" s="88"/>
      <c r="M41" s="1"/>
      <c r="N41" s="75">
        <f>SUM(Population!H284:K284,Population!CG284)</f>
        <v>104802</v>
      </c>
      <c r="O41" s="75">
        <f>Population!G284</f>
        <v>1259</v>
      </c>
      <c r="P41" s="86">
        <f t="shared" si="29"/>
        <v>106061</v>
      </c>
      <c r="Q41" s="87">
        <f t="shared" si="31"/>
        <v>-4.5800523702709548E-3</v>
      </c>
      <c r="R41" s="115">
        <f t="shared" si="27"/>
        <v>-488</v>
      </c>
      <c r="S41" s="89"/>
      <c r="T41" s="1"/>
      <c r="U41" s="78">
        <f t="shared" si="33"/>
        <v>911749</v>
      </c>
      <c r="V41" s="63">
        <f t="shared" si="32"/>
        <v>-1.6588850540478985E-3</v>
      </c>
      <c r="W41" s="115">
        <f t="shared" si="28"/>
        <v>-1515</v>
      </c>
    </row>
    <row r="42" spans="1:23" hidden="1">
      <c r="A42" s="58">
        <v>40634</v>
      </c>
      <c r="B42" s="58"/>
      <c r="C42" s="75">
        <f>Population!DK285+Population!DL285+Population!DM285+Population!DN285</f>
        <v>253023</v>
      </c>
      <c r="D42" s="87">
        <f t="shared" si="5"/>
        <v>9.1573703669728425E-3</v>
      </c>
      <c r="E42" s="115">
        <f t="shared" si="24"/>
        <v>2296</v>
      </c>
      <c r="F42" s="75">
        <f>SUM(Population!DO285:'Population'!DT285)</f>
        <v>560512</v>
      </c>
      <c r="G42" s="87">
        <f t="shared" si="7"/>
        <v>1.000250468050908E-2</v>
      </c>
      <c r="H42" s="115">
        <f t="shared" si="25"/>
        <v>5551</v>
      </c>
      <c r="I42" s="86">
        <f t="shared" si="22"/>
        <v>813535</v>
      </c>
      <c r="J42" s="87">
        <f t="shared" si="30"/>
        <v>9.7395021397861208E-3</v>
      </c>
      <c r="K42" s="115">
        <f t="shared" si="26"/>
        <v>7847</v>
      </c>
      <c r="L42" s="88"/>
      <c r="M42" s="1"/>
      <c r="N42" s="75">
        <f>SUM(Population!H285:K285,Population!CG285)</f>
        <v>106482</v>
      </c>
      <c r="O42" s="75">
        <f>Population!G285</f>
        <v>1240</v>
      </c>
      <c r="P42" s="86">
        <f>SUM(N42:O42)</f>
        <v>107722</v>
      </c>
      <c r="Q42" s="87">
        <f t="shared" si="31"/>
        <v>1.5660798974175237E-2</v>
      </c>
      <c r="R42" s="115">
        <f t="shared" si="27"/>
        <v>1661</v>
      </c>
      <c r="S42" s="89"/>
      <c r="T42" s="1"/>
      <c r="U42" s="78">
        <f t="shared" si="33"/>
        <v>921257</v>
      </c>
      <c r="V42" s="63">
        <f t="shared" si="32"/>
        <v>1.0428308668284801E-2</v>
      </c>
      <c r="W42" s="115">
        <f t="shared" si="28"/>
        <v>9508</v>
      </c>
    </row>
    <row r="43" spans="1:23" hidden="1">
      <c r="A43" s="58">
        <v>40664</v>
      </c>
      <c r="B43" s="58"/>
      <c r="C43" s="75">
        <f>Population!DK286+Population!DL286+Population!DM286+Population!DN286</f>
        <v>252344</v>
      </c>
      <c r="D43" s="87">
        <f t="shared" si="5"/>
        <v>-2.6835505072661378E-3</v>
      </c>
      <c r="E43" s="115">
        <f t="shared" si="24"/>
        <v>-679</v>
      </c>
      <c r="F43" s="75">
        <f>SUM(Population!DO286:'Population'!DT286)</f>
        <v>560312</v>
      </c>
      <c r="G43" s="87">
        <f t="shared" si="7"/>
        <v>-3.5681662480018271E-4</v>
      </c>
      <c r="H43" s="115">
        <f t="shared" si="25"/>
        <v>-200</v>
      </c>
      <c r="I43" s="86">
        <f t="shared" si="22"/>
        <v>812656</v>
      </c>
      <c r="J43" s="87">
        <f t="shared" si="30"/>
        <v>-1.0804698015451086E-3</v>
      </c>
      <c r="K43" s="115">
        <f t="shared" si="26"/>
        <v>-879</v>
      </c>
      <c r="L43" s="88"/>
      <c r="M43" s="1"/>
      <c r="N43" s="75">
        <f>SUM(Population!H286:K286,Population!CG286)</f>
        <v>105951</v>
      </c>
      <c r="O43" s="75">
        <f>Population!G286</f>
        <v>1257</v>
      </c>
      <c r="P43" s="86">
        <f>SUM(N43:O43)</f>
        <v>107208</v>
      </c>
      <c r="Q43" s="87">
        <f t="shared" si="31"/>
        <v>-4.7715415606839826E-3</v>
      </c>
      <c r="R43" s="115">
        <f t="shared" si="27"/>
        <v>-514</v>
      </c>
      <c r="S43" s="89"/>
      <c r="T43" s="1"/>
      <c r="U43" s="78">
        <f t="shared" si="33"/>
        <v>919864</v>
      </c>
      <c r="V43" s="63">
        <f t="shared" si="32"/>
        <v>-1.512064494489594E-3</v>
      </c>
      <c r="W43" s="115">
        <f t="shared" si="28"/>
        <v>-1393</v>
      </c>
    </row>
    <row r="44" spans="1:23" ht="13.5" hidden="1" customHeight="1">
      <c r="A44" s="58">
        <v>40695</v>
      </c>
      <c r="B44" s="58"/>
      <c r="C44" s="75">
        <f>Population!DK287+Population!DL287+Population!DM287+Population!DN287</f>
        <v>253943</v>
      </c>
      <c r="D44" s="87">
        <f>(C44-C43)/C43</f>
        <v>6.3365881495101922E-3</v>
      </c>
      <c r="E44" s="115">
        <f t="shared" si="24"/>
        <v>1599</v>
      </c>
      <c r="F44" s="75">
        <f>SUM(Population!DO287:'Population'!DT287)</f>
        <v>561683</v>
      </c>
      <c r="G44" s="87">
        <f>(F44-F43)/F43</f>
        <v>2.4468510401347821E-3</v>
      </c>
      <c r="H44" s="115">
        <f>F44-F43</f>
        <v>1371</v>
      </c>
      <c r="I44" s="86">
        <f t="shared" si="22"/>
        <v>815626</v>
      </c>
      <c r="J44" s="87">
        <f>(I44-I43)/I43</f>
        <v>3.6546829162646924E-3</v>
      </c>
      <c r="K44" s="115">
        <f>I44-I43</f>
        <v>2970</v>
      </c>
      <c r="L44" s="88"/>
      <c r="M44" s="1"/>
      <c r="N44" s="75">
        <f>SUM(Population!H287:K287,Population!CG287)</f>
        <v>107170</v>
      </c>
      <c r="O44" s="75">
        <f>Population!G287</f>
        <v>1247</v>
      </c>
      <c r="P44" s="86">
        <f>SUM(N44:O44)</f>
        <v>108417</v>
      </c>
      <c r="Q44" s="87">
        <f>(P44-P43)/P43</f>
        <v>1.1277143496753973E-2</v>
      </c>
      <c r="R44" s="115">
        <f>P44-P43</f>
        <v>1209</v>
      </c>
      <c r="S44" s="89"/>
      <c r="T44" s="1"/>
      <c r="U44" s="78">
        <f t="shared" si="33"/>
        <v>924043</v>
      </c>
      <c r="V44" s="63">
        <f>(U44-U43)/U43</f>
        <v>4.5430628875572912E-3</v>
      </c>
      <c r="W44" s="115">
        <f>U44-U43</f>
        <v>4179</v>
      </c>
    </row>
    <row r="45" spans="1:23" ht="6" hidden="1" customHeight="1">
      <c r="A45" s="58"/>
      <c r="B45" s="58"/>
      <c r="C45" s="75"/>
      <c r="D45" s="90"/>
      <c r="E45" s="115"/>
      <c r="F45" s="75"/>
      <c r="G45" s="90"/>
      <c r="H45" s="115"/>
      <c r="I45" s="86"/>
      <c r="J45" s="90"/>
      <c r="K45" s="115"/>
      <c r="L45" s="91"/>
      <c r="M45" s="1"/>
      <c r="N45" s="75"/>
      <c r="O45" s="75"/>
      <c r="P45" s="86"/>
      <c r="Q45" s="87"/>
      <c r="R45" s="115"/>
      <c r="S45" s="89"/>
      <c r="T45" s="1"/>
      <c r="U45" s="78"/>
      <c r="V45" s="63"/>
      <c r="W45" s="115"/>
    </row>
    <row r="46" spans="1:23" hidden="1">
      <c r="A46" s="58">
        <v>40725</v>
      </c>
      <c r="B46" s="58"/>
      <c r="C46" s="75">
        <f>Population!DK288+Population!DL288+Population!DM288+Population!DN288</f>
        <v>254331</v>
      </c>
      <c r="D46" s="87">
        <f>(C46-C44)/C44</f>
        <v>1.5279019307482388E-3</v>
      </c>
      <c r="E46" s="115">
        <f>C46-C44</f>
        <v>388</v>
      </c>
      <c r="F46" s="75">
        <f>SUM(Population!DO288:'Population'!DT288)</f>
        <v>563785</v>
      </c>
      <c r="G46" s="87">
        <f>(F46-F44)/F44</f>
        <v>3.7423244071834111E-3</v>
      </c>
      <c r="H46" s="115">
        <f>F46-F44</f>
        <v>2102</v>
      </c>
      <c r="I46" s="86">
        <f t="shared" ref="I46:I57" si="34">C46+F46</f>
        <v>818116</v>
      </c>
      <c r="J46" s="87">
        <f>(I46-I44)/I44</f>
        <v>3.0528698202362359E-3</v>
      </c>
      <c r="K46" s="115">
        <f>I46-I44</f>
        <v>2490</v>
      </c>
      <c r="L46" s="88"/>
      <c r="M46" s="1"/>
      <c r="N46" s="75">
        <f>SUM(Population!H288:K288,Population!CG288)</f>
        <v>107457</v>
      </c>
      <c r="O46" s="75">
        <f>Population!G288</f>
        <v>1248</v>
      </c>
      <c r="P46" s="86">
        <f>SUM(N46:O46)</f>
        <v>108705</v>
      </c>
      <c r="Q46" s="87">
        <f>(P46-P44)/P44</f>
        <v>2.6564099726057722E-3</v>
      </c>
      <c r="R46" s="115">
        <f>P46-P44</f>
        <v>288</v>
      </c>
      <c r="S46" s="89"/>
      <c r="T46" s="1"/>
      <c r="U46" s="78">
        <f>I46+P46</f>
        <v>926821</v>
      </c>
      <c r="V46" s="63">
        <f>(U46-U44)/U44</f>
        <v>3.0063536004276857E-3</v>
      </c>
      <c r="W46" s="115">
        <f>U46-U44</f>
        <v>2778</v>
      </c>
    </row>
    <row r="47" spans="1:23" hidden="1">
      <c r="A47" s="58">
        <v>40756</v>
      </c>
      <c r="B47" s="58"/>
      <c r="C47" s="75">
        <f>Population!DK289+Population!DL289+Population!DM289+Population!DN289</f>
        <v>255424</v>
      </c>
      <c r="D47" s="87">
        <f>(C47-C46)/C46</f>
        <v>4.2975492566773221E-3</v>
      </c>
      <c r="E47" s="115">
        <f t="shared" ref="E47:E57" si="35">C47-C46</f>
        <v>1093</v>
      </c>
      <c r="F47" s="75">
        <f>SUM(Population!DO289:'Population'!DT289)</f>
        <v>563994</v>
      </c>
      <c r="G47" s="87">
        <f>(F47-F46)/F46</f>
        <v>3.7070869214328157E-4</v>
      </c>
      <c r="H47" s="115">
        <f>F47-F46</f>
        <v>209</v>
      </c>
      <c r="I47" s="86">
        <f t="shared" si="34"/>
        <v>819418</v>
      </c>
      <c r="J47" s="87">
        <f>(I47-I46)/I46</f>
        <v>1.5914613575580968E-3</v>
      </c>
      <c r="K47" s="115">
        <f>I47-I46</f>
        <v>1302</v>
      </c>
      <c r="L47" s="88"/>
      <c r="M47" s="1"/>
      <c r="N47" s="75">
        <f>SUM(Population!H289:K289,Population!CG289)</f>
        <v>107568</v>
      </c>
      <c r="O47" s="75">
        <f>Population!G289</f>
        <v>1228</v>
      </c>
      <c r="P47" s="86">
        <f>SUM(N47:O47)</f>
        <v>108796</v>
      </c>
      <c r="Q47" s="87">
        <f>(P47-P46)/P46</f>
        <v>8.371280069913987E-4</v>
      </c>
      <c r="R47" s="115">
        <f>P47-P46</f>
        <v>91</v>
      </c>
      <c r="S47" s="89"/>
      <c r="T47" s="1"/>
      <c r="U47" s="78">
        <f>I47+P47</f>
        <v>928214</v>
      </c>
      <c r="V47" s="63">
        <f>(U47-U46)/U46</f>
        <v>1.5029870924374825E-3</v>
      </c>
      <c r="W47" s="115">
        <f>U47-U46</f>
        <v>1393</v>
      </c>
    </row>
    <row r="48" spans="1:23" hidden="1">
      <c r="A48" s="58">
        <v>40787</v>
      </c>
      <c r="B48" s="58"/>
      <c r="C48" s="75">
        <f>Population!DK290+Population!DL290+Population!DM290+Population!DN290</f>
        <v>256616</v>
      </c>
      <c r="D48" s="87">
        <f>(C48-C47)/C47</f>
        <v>4.6667501879228265E-3</v>
      </c>
      <c r="E48" s="115">
        <f t="shared" si="35"/>
        <v>1192</v>
      </c>
      <c r="F48" s="75">
        <f>SUM(Population!DO290:'Population'!DT290)</f>
        <v>565903</v>
      </c>
      <c r="G48" s="87">
        <f>(F48-F47)/F47</f>
        <v>3.3847877814302987E-3</v>
      </c>
      <c r="H48" s="115">
        <f>F48-F47</f>
        <v>1909</v>
      </c>
      <c r="I48" s="86">
        <f t="shared" si="34"/>
        <v>822519</v>
      </c>
      <c r="J48" s="87">
        <f>(I48-I47)/I47</f>
        <v>3.7843933133028564E-3</v>
      </c>
      <c r="K48" s="115">
        <f>I48-I47</f>
        <v>3101</v>
      </c>
      <c r="L48" s="88"/>
      <c r="M48" s="1"/>
      <c r="N48" s="75">
        <f>SUM(Population!H290:K290,Population!CG290)</f>
        <v>107584</v>
      </c>
      <c r="O48" s="75">
        <f>Population!G290</f>
        <v>1254</v>
      </c>
      <c r="P48" s="86">
        <f>SUM(N48:O48)</f>
        <v>108838</v>
      </c>
      <c r="Q48" s="87">
        <f>(P48-P47)/P47</f>
        <v>3.8604360454428473E-4</v>
      </c>
      <c r="R48" s="115">
        <f>P48-P47</f>
        <v>42</v>
      </c>
      <c r="S48" s="89"/>
      <c r="T48" s="1"/>
      <c r="U48" s="78">
        <f>I48+P48</f>
        <v>931357</v>
      </c>
      <c r="V48" s="63">
        <f>(U48-U47)/U47</f>
        <v>3.3860726082562856E-3</v>
      </c>
      <c r="W48" s="115">
        <f>U48-U47</f>
        <v>3143</v>
      </c>
    </row>
    <row r="49" spans="1:23" hidden="1">
      <c r="A49" s="58">
        <v>40817</v>
      </c>
      <c r="B49" s="58"/>
      <c r="C49" s="75">
        <f>Population!DK291+Population!DL291+Population!DM291+Population!DN291</f>
        <v>257371</v>
      </c>
      <c r="D49" s="87">
        <f>(C49-C48)/C48</f>
        <v>2.9421392274838671E-3</v>
      </c>
      <c r="E49" s="115">
        <f t="shared" si="35"/>
        <v>755</v>
      </c>
      <c r="F49" s="75">
        <f>SUM(Population!DO291:'Population'!DT291)</f>
        <v>566817</v>
      </c>
      <c r="G49" s="87">
        <f>(F49-F48)/F48</f>
        <v>1.6151177852034714E-3</v>
      </c>
      <c r="H49" s="115">
        <f>F49-F48</f>
        <v>914</v>
      </c>
      <c r="I49" s="86">
        <f t="shared" si="34"/>
        <v>824188</v>
      </c>
      <c r="J49" s="87">
        <f>(I49-I48)/I48</f>
        <v>2.0291324577304598E-3</v>
      </c>
      <c r="K49" s="115">
        <f>I49-I48</f>
        <v>1669</v>
      </c>
      <c r="L49" s="88"/>
      <c r="M49" s="1"/>
      <c r="N49" s="75">
        <f>SUM(Population!H291:K291,Population!CG291)</f>
        <v>107209</v>
      </c>
      <c r="O49" s="75">
        <f>Population!G291</f>
        <v>1250</v>
      </c>
      <c r="P49" s="86">
        <f>SUM(N49:O49)</f>
        <v>108459</v>
      </c>
      <c r="Q49" s="87">
        <f>(P49-P48)/P48</f>
        <v>-3.4822396589426485E-3</v>
      </c>
      <c r="R49" s="115">
        <f>P49-P48</f>
        <v>-379</v>
      </c>
      <c r="S49" s="89"/>
      <c r="T49" s="1"/>
      <c r="U49" s="78">
        <f>I49+P49</f>
        <v>932647</v>
      </c>
      <c r="V49" s="63">
        <f>(U49-U48)/U48</f>
        <v>1.3850757550541845E-3</v>
      </c>
      <c r="W49" s="115">
        <f>U49-U48</f>
        <v>1290</v>
      </c>
    </row>
    <row r="50" spans="1:23" hidden="1">
      <c r="A50" s="58">
        <v>40848</v>
      </c>
      <c r="B50" s="58"/>
      <c r="C50" s="75">
        <f>Population!DK292+Population!DL292+Population!DM292+Population!DN292</f>
        <v>258124</v>
      </c>
      <c r="D50" s="87">
        <f t="shared" ref="D50:D57" si="36">(C50-C49)/C49</f>
        <v>2.9257375539590708E-3</v>
      </c>
      <c r="E50" s="115">
        <f t="shared" si="35"/>
        <v>753</v>
      </c>
      <c r="F50" s="75">
        <f>SUM(Population!DO292:'Population'!DT292)</f>
        <v>570528</v>
      </c>
      <c r="G50" s="87">
        <f t="shared" ref="G50:G57" si="37">(F50-F49)/F49</f>
        <v>6.5470866258422033E-3</v>
      </c>
      <c r="H50" s="115">
        <f t="shared" ref="H50:H57" si="38">F50-F49</f>
        <v>3711</v>
      </c>
      <c r="I50" s="86">
        <f t="shared" si="34"/>
        <v>828652</v>
      </c>
      <c r="J50" s="87">
        <f t="shared" ref="J50:J51" si="39">(I50-I49)/I49</f>
        <v>5.4162399840813015E-3</v>
      </c>
      <c r="K50" s="115">
        <f t="shared" ref="K50:K51" si="40">I50-I49</f>
        <v>4464</v>
      </c>
      <c r="L50" s="88"/>
      <c r="M50" s="1"/>
      <c r="N50" s="75">
        <f>SUM(Population!H292:K292,Population!CG292)</f>
        <v>108514</v>
      </c>
      <c r="O50" s="75">
        <f>Population!G292</f>
        <v>1250</v>
      </c>
      <c r="P50" s="86">
        <f t="shared" ref="P50:P51" si="41">SUM(N50:O50)</f>
        <v>109764</v>
      </c>
      <c r="Q50" s="87">
        <f t="shared" ref="Q50:Q51" si="42">(P50-P49)/P49</f>
        <v>1.2032196498215915E-2</v>
      </c>
      <c r="R50" s="115">
        <f t="shared" ref="R50:R51" si="43">P50-P49</f>
        <v>1305</v>
      </c>
      <c r="S50" s="89"/>
      <c r="T50" s="1"/>
      <c r="U50" s="78">
        <f t="shared" ref="U50:U51" si="44">I50+P50</f>
        <v>938416</v>
      </c>
      <c r="V50" s="63">
        <f t="shared" ref="V50:V51" si="45">(U50-U49)/U49</f>
        <v>6.1856200684717796E-3</v>
      </c>
      <c r="W50" s="115">
        <f t="shared" ref="W50:W51" si="46">U50-U49</f>
        <v>5769</v>
      </c>
    </row>
    <row r="51" spans="1:23" hidden="1">
      <c r="A51" s="58">
        <v>40878</v>
      </c>
      <c r="B51" s="58"/>
      <c r="C51" s="75">
        <f>Population!DK293+Population!DL293+Population!DM293+Population!DN293</f>
        <v>259128</v>
      </c>
      <c r="D51" s="87">
        <f t="shared" si="36"/>
        <v>3.8896034464056036E-3</v>
      </c>
      <c r="E51" s="115">
        <f t="shared" si="35"/>
        <v>1004</v>
      </c>
      <c r="F51" s="75">
        <f>SUM(Population!DO293:'Population'!DT293)</f>
        <v>574159</v>
      </c>
      <c r="G51" s="87">
        <f t="shared" si="37"/>
        <v>6.364280105446183E-3</v>
      </c>
      <c r="H51" s="115">
        <f t="shared" si="38"/>
        <v>3631</v>
      </c>
      <c r="I51" s="86">
        <f t="shared" si="34"/>
        <v>833287</v>
      </c>
      <c r="J51" s="87">
        <f t="shared" si="39"/>
        <v>5.5934216052094246E-3</v>
      </c>
      <c r="K51" s="115">
        <f t="shared" si="40"/>
        <v>4635</v>
      </c>
      <c r="L51" s="88"/>
      <c r="M51" s="1"/>
      <c r="N51" s="75">
        <f>SUM(Population!H293:K293,Population!CG293)</f>
        <v>110066</v>
      </c>
      <c r="O51" s="75">
        <f>Population!G293</f>
        <v>1274</v>
      </c>
      <c r="P51" s="86">
        <f t="shared" si="41"/>
        <v>111340</v>
      </c>
      <c r="Q51" s="87">
        <f t="shared" si="42"/>
        <v>1.4358077329543384E-2</v>
      </c>
      <c r="R51" s="115">
        <f t="shared" si="43"/>
        <v>1576</v>
      </c>
      <c r="S51" s="89"/>
      <c r="T51" s="1"/>
      <c r="U51" s="78">
        <f t="shared" si="44"/>
        <v>944627</v>
      </c>
      <c r="V51" s="63">
        <f t="shared" si="45"/>
        <v>6.6185998533699339E-3</v>
      </c>
      <c r="W51" s="115">
        <f t="shared" si="46"/>
        <v>6211</v>
      </c>
    </row>
    <row r="52" spans="1:23" hidden="1">
      <c r="A52" s="58">
        <v>40909</v>
      </c>
      <c r="B52" s="58"/>
      <c r="C52" s="75">
        <f>Population!DK294+Population!DL294+Population!DM294+Population!DN294</f>
        <v>248743</v>
      </c>
      <c r="D52" s="87">
        <f t="shared" si="36"/>
        <v>-4.0076718841653543E-2</v>
      </c>
      <c r="E52" s="115">
        <f t="shared" si="35"/>
        <v>-10385</v>
      </c>
      <c r="F52" s="75">
        <f>SUM(Population!DO294:'Population'!DT294)</f>
        <v>576758</v>
      </c>
      <c r="G52" s="87">
        <f t="shared" si="37"/>
        <v>4.5266206747608239E-3</v>
      </c>
      <c r="H52" s="115">
        <f t="shared" si="38"/>
        <v>2599</v>
      </c>
      <c r="I52" s="86">
        <f t="shared" si="34"/>
        <v>825501</v>
      </c>
      <c r="J52" s="87">
        <f t="shared" ref="J52:J53" si="47">(I52-I51)/I51</f>
        <v>-9.3437195108048016E-3</v>
      </c>
      <c r="K52" s="115">
        <f t="shared" ref="K52:K53" si="48">I52-I51</f>
        <v>-7786</v>
      </c>
      <c r="L52" s="88"/>
      <c r="M52" s="1"/>
      <c r="N52" s="75">
        <f>SUM(Population!H294:K294,Population!CG294)</f>
        <v>111338</v>
      </c>
      <c r="O52" s="75">
        <f>Population!G294</f>
        <v>1329</v>
      </c>
      <c r="P52" s="86">
        <f t="shared" ref="P52:P53" si="49">SUM(N52:O52)</f>
        <v>112667</v>
      </c>
      <c r="Q52" s="87">
        <f t="shared" ref="Q52:Q53" si="50">(P52-P51)/P51</f>
        <v>1.191844799712592E-2</v>
      </c>
      <c r="R52" s="115">
        <f t="shared" ref="R52:R53" si="51">P52-P51</f>
        <v>1327</v>
      </c>
      <c r="S52" s="89"/>
      <c r="T52" s="1"/>
      <c r="U52" s="78">
        <f t="shared" ref="U52:U53" si="52">I52+P52</f>
        <v>938168</v>
      </c>
      <c r="V52" s="63">
        <f t="shared" ref="V52:V53" si="53">(U52-U51)/U51</f>
        <v>-6.8376195048415935E-3</v>
      </c>
      <c r="W52" s="115">
        <f t="shared" ref="W52:W53" si="54">U52-U51</f>
        <v>-6459</v>
      </c>
    </row>
    <row r="53" spans="1:23" hidden="1">
      <c r="A53" s="58">
        <v>40940</v>
      </c>
      <c r="B53" s="58"/>
      <c r="C53" s="75">
        <f>Population!DK295+Population!DL295+Population!DM295+Population!DN295</f>
        <v>257523</v>
      </c>
      <c r="D53" s="87">
        <f t="shared" si="36"/>
        <v>3.5297475707859113E-2</v>
      </c>
      <c r="E53" s="115">
        <f t="shared" si="35"/>
        <v>8780</v>
      </c>
      <c r="F53" s="75">
        <f>SUM(Population!DO295:'Population'!DT295)</f>
        <v>584035</v>
      </c>
      <c r="G53" s="87">
        <f t="shared" si="37"/>
        <v>1.2617076832917792E-2</v>
      </c>
      <c r="H53" s="115">
        <f t="shared" si="38"/>
        <v>7277</v>
      </c>
      <c r="I53" s="86">
        <f t="shared" si="34"/>
        <v>841558</v>
      </c>
      <c r="J53" s="87">
        <f t="shared" si="47"/>
        <v>1.9451218108760618E-2</v>
      </c>
      <c r="K53" s="115">
        <f t="shared" si="48"/>
        <v>16057</v>
      </c>
      <c r="L53" s="88"/>
      <c r="M53" s="1"/>
      <c r="N53" s="75">
        <f>SUM(Population!H295:K295,Population!CG295)</f>
        <v>112417</v>
      </c>
      <c r="O53" s="75">
        <f>Population!G295</f>
        <v>1380</v>
      </c>
      <c r="P53" s="86">
        <f t="shared" si="49"/>
        <v>113797</v>
      </c>
      <c r="Q53" s="87">
        <f t="shared" si="50"/>
        <v>1.0029556125573593E-2</v>
      </c>
      <c r="R53" s="115">
        <f t="shared" si="51"/>
        <v>1130</v>
      </c>
      <c r="S53" s="89"/>
      <c r="T53" s="1"/>
      <c r="U53" s="78">
        <f t="shared" si="52"/>
        <v>955355</v>
      </c>
      <c r="V53" s="63">
        <f t="shared" si="53"/>
        <v>1.8319746569910721E-2</v>
      </c>
      <c r="W53" s="115">
        <f t="shared" si="54"/>
        <v>17187</v>
      </c>
    </row>
    <row r="54" spans="1:23" hidden="1">
      <c r="A54" s="58">
        <v>40969</v>
      </c>
      <c r="B54" s="58"/>
      <c r="C54" s="75">
        <f>Population!DK296+Population!DL296+Population!DM296+Population!DN296</f>
        <v>259038</v>
      </c>
      <c r="D54" s="87">
        <f t="shared" si="36"/>
        <v>5.8829696764949148E-3</v>
      </c>
      <c r="E54" s="115">
        <f t="shared" si="35"/>
        <v>1515</v>
      </c>
      <c r="F54" s="75">
        <f>SUM(Population!DO296:'Population'!DT296)</f>
        <v>584277</v>
      </c>
      <c r="G54" s="87">
        <f t="shared" si="37"/>
        <v>4.1435872850086042E-4</v>
      </c>
      <c r="H54" s="115">
        <f t="shared" si="38"/>
        <v>242</v>
      </c>
      <c r="I54" s="86">
        <f t="shared" si="34"/>
        <v>843315</v>
      </c>
      <c r="J54" s="87">
        <f t="shared" ref="J54:J57" si="55">(I54-I53)/I53</f>
        <v>2.0877943053241727E-3</v>
      </c>
      <c r="K54" s="115">
        <f t="shared" ref="K54:K57" si="56">I54-I53</f>
        <v>1757</v>
      </c>
      <c r="L54" s="88"/>
      <c r="M54" s="1"/>
      <c r="N54" s="75">
        <f>SUM(Population!H296:K296,Population!CG296)</f>
        <v>111750</v>
      </c>
      <c r="O54" s="75">
        <f>Population!G296</f>
        <v>1398</v>
      </c>
      <c r="P54" s="86">
        <f t="shared" ref="P54:P57" si="57">SUM(N54:O54)</f>
        <v>113148</v>
      </c>
      <c r="Q54" s="87">
        <f t="shared" ref="Q54:Q57" si="58">(P54-P53)/P53</f>
        <v>-5.7031380440609155E-3</v>
      </c>
      <c r="R54" s="115">
        <f t="shared" ref="R54:R57" si="59">P54-P53</f>
        <v>-649</v>
      </c>
      <c r="S54" s="89"/>
      <c r="T54" s="1"/>
      <c r="U54" s="78">
        <f t="shared" ref="U54:U57" si="60">I54+P54</f>
        <v>956463</v>
      </c>
      <c r="V54" s="63">
        <f t="shared" ref="V54:V57" si="61">(U54-U53)/U53</f>
        <v>1.1597783023064724E-3</v>
      </c>
      <c r="W54" s="115">
        <f t="shared" ref="W54:W57" si="62">U54-U53</f>
        <v>1108</v>
      </c>
    </row>
    <row r="55" spans="1:23" hidden="1">
      <c r="A55" s="58">
        <v>41000</v>
      </c>
      <c r="B55" s="58"/>
      <c r="C55" s="75">
        <f>Population!DK297+Population!DL297+Population!DM297+Population!DN297</f>
        <v>260066</v>
      </c>
      <c r="D55" s="87">
        <f t="shared" si="36"/>
        <v>3.9685297137871667E-3</v>
      </c>
      <c r="E55" s="115">
        <f t="shared" si="35"/>
        <v>1028</v>
      </c>
      <c r="F55" s="75">
        <f>SUM(Population!DO297:'Population'!DT297)</f>
        <v>589612</v>
      </c>
      <c r="G55" s="87">
        <f t="shared" si="37"/>
        <v>9.1309430287346578E-3</v>
      </c>
      <c r="H55" s="115">
        <f t="shared" si="38"/>
        <v>5335</v>
      </c>
      <c r="I55" s="86">
        <f t="shared" si="34"/>
        <v>849678</v>
      </c>
      <c r="J55" s="87">
        <f t="shared" si="55"/>
        <v>7.545223315131357E-3</v>
      </c>
      <c r="K55" s="115">
        <f t="shared" si="56"/>
        <v>6363</v>
      </c>
      <c r="L55" s="88"/>
      <c r="M55" s="1"/>
      <c r="N55" s="75">
        <f>SUM(Population!H297:K297,Population!CG297)</f>
        <v>112140</v>
      </c>
      <c r="O55" s="75">
        <f>Population!G297</f>
        <v>1436</v>
      </c>
      <c r="P55" s="86">
        <f t="shared" si="57"/>
        <v>113576</v>
      </c>
      <c r="Q55" s="87">
        <f t="shared" si="58"/>
        <v>3.7826563439035598E-3</v>
      </c>
      <c r="R55" s="115">
        <f t="shared" si="59"/>
        <v>428</v>
      </c>
      <c r="S55" s="89"/>
      <c r="T55" s="1"/>
      <c r="U55" s="78">
        <f t="shared" si="60"/>
        <v>963254</v>
      </c>
      <c r="V55" s="63">
        <f t="shared" si="61"/>
        <v>7.1001178299631039E-3</v>
      </c>
      <c r="W55" s="115">
        <f t="shared" si="62"/>
        <v>6791</v>
      </c>
    </row>
    <row r="56" spans="1:23" hidden="1">
      <c r="A56" s="58">
        <v>41030</v>
      </c>
      <c r="B56" s="58"/>
      <c r="C56" s="75">
        <f>Population!DK298+Population!DL298+Population!DM298+Population!DN298</f>
        <v>260926</v>
      </c>
      <c r="D56" s="87">
        <f t="shared" si="36"/>
        <v>3.3068528758084486E-3</v>
      </c>
      <c r="E56" s="115">
        <f t="shared" si="35"/>
        <v>860</v>
      </c>
      <c r="F56" s="75">
        <f>SUM(Population!DO298:'Population'!DT298)</f>
        <v>593215</v>
      </c>
      <c r="G56" s="87">
        <f t="shared" si="37"/>
        <v>6.110798287687496E-3</v>
      </c>
      <c r="H56" s="115">
        <f t="shared" si="38"/>
        <v>3603</v>
      </c>
      <c r="I56" s="86">
        <f t="shared" si="34"/>
        <v>854141</v>
      </c>
      <c r="J56" s="87">
        <f t="shared" si="55"/>
        <v>5.2525780354440148E-3</v>
      </c>
      <c r="K56" s="115">
        <f t="shared" si="56"/>
        <v>4463</v>
      </c>
      <c r="L56" s="88"/>
      <c r="M56" s="1"/>
      <c r="N56" s="75">
        <f>SUM(Population!H298:K298,Population!CG298)</f>
        <v>112580</v>
      </c>
      <c r="O56" s="75">
        <f>Population!G298</f>
        <v>1471</v>
      </c>
      <c r="P56" s="86">
        <f t="shared" si="57"/>
        <v>114051</v>
      </c>
      <c r="Q56" s="87">
        <f t="shared" si="58"/>
        <v>4.182221596111855E-3</v>
      </c>
      <c r="R56" s="115">
        <f t="shared" si="59"/>
        <v>475</v>
      </c>
      <c r="S56" s="89"/>
      <c r="T56" s="1"/>
      <c r="U56" s="78">
        <f t="shared" si="60"/>
        <v>968192</v>
      </c>
      <c r="V56" s="63">
        <f t="shared" si="61"/>
        <v>5.1263737290475828E-3</v>
      </c>
      <c r="W56" s="115">
        <f t="shared" si="62"/>
        <v>4938</v>
      </c>
    </row>
    <row r="57" spans="1:23" hidden="1">
      <c r="A57" s="58">
        <v>41061</v>
      </c>
      <c r="B57" s="58"/>
      <c r="C57" s="75">
        <f>Population!DK299+Population!DL299+Population!DM299+Population!DN299</f>
        <v>261081</v>
      </c>
      <c r="D57" s="87">
        <f t="shared" si="36"/>
        <v>5.9403815641216281E-4</v>
      </c>
      <c r="E57" s="115">
        <f t="shared" si="35"/>
        <v>155</v>
      </c>
      <c r="F57" s="75">
        <f>SUM(Population!DO299:'Population'!DT299)</f>
        <v>597060</v>
      </c>
      <c r="G57" s="87">
        <f t="shared" si="37"/>
        <v>6.4816297632392973E-3</v>
      </c>
      <c r="H57" s="115">
        <f t="shared" si="38"/>
        <v>3845</v>
      </c>
      <c r="I57" s="86">
        <f t="shared" si="34"/>
        <v>858141</v>
      </c>
      <c r="J57" s="87">
        <f t="shared" si="55"/>
        <v>4.6830675497371039E-3</v>
      </c>
      <c r="K57" s="115">
        <f t="shared" si="56"/>
        <v>4000</v>
      </c>
      <c r="L57" s="88"/>
      <c r="M57" s="1"/>
      <c r="N57" s="75">
        <f>SUM(Population!H299:K299,Population!CG299)</f>
        <v>113159</v>
      </c>
      <c r="O57" s="75">
        <f>Population!G299</f>
        <v>1477</v>
      </c>
      <c r="P57" s="86">
        <f t="shared" si="57"/>
        <v>114636</v>
      </c>
      <c r="Q57" s="87">
        <f t="shared" si="58"/>
        <v>5.1292842675645109E-3</v>
      </c>
      <c r="R57" s="115">
        <f t="shared" si="59"/>
        <v>585</v>
      </c>
      <c r="S57" s="89"/>
      <c r="T57" s="1"/>
      <c r="U57" s="78">
        <f t="shared" si="60"/>
        <v>972777</v>
      </c>
      <c r="V57" s="63">
        <f t="shared" si="61"/>
        <v>4.7356309492332096E-3</v>
      </c>
      <c r="W57" s="115">
        <f t="shared" si="62"/>
        <v>4585</v>
      </c>
    </row>
    <row r="58" spans="1:23" ht="6" hidden="1" customHeight="1">
      <c r="A58" s="58"/>
      <c r="B58" s="58"/>
      <c r="C58" s="75"/>
      <c r="D58" s="90"/>
      <c r="E58" s="115"/>
      <c r="F58" s="75"/>
      <c r="G58" s="90"/>
      <c r="H58" s="115"/>
      <c r="I58" s="86"/>
      <c r="J58" s="90"/>
      <c r="K58" s="115"/>
      <c r="L58" s="91"/>
      <c r="M58" s="1"/>
      <c r="N58" s="75"/>
      <c r="O58" s="75"/>
      <c r="P58" s="86"/>
      <c r="Q58" s="87"/>
      <c r="R58" s="115"/>
      <c r="S58" s="89"/>
      <c r="T58" s="1"/>
      <c r="U58" s="78"/>
      <c r="V58" s="63"/>
      <c r="W58" s="115"/>
    </row>
    <row r="59" spans="1:23" hidden="1">
      <c r="A59" s="58">
        <v>41091</v>
      </c>
      <c r="B59" s="58"/>
      <c r="C59" s="75">
        <f>Population!DK300+Population!DL300+Population!DM300+Population!DN300</f>
        <v>261372</v>
      </c>
      <c r="D59" s="87">
        <f>(C59-C57)/C57</f>
        <v>1.114596619439944E-3</v>
      </c>
      <c r="E59" s="115">
        <f>C59-C57</f>
        <v>291</v>
      </c>
      <c r="F59" s="75">
        <f>SUM(Population!DO300:'Population'!DT300)</f>
        <v>600603</v>
      </c>
      <c r="G59" s="87">
        <f>(F59-F57)/F57</f>
        <v>5.9340769771882226E-3</v>
      </c>
      <c r="H59" s="115">
        <f>F59-F57</f>
        <v>3543</v>
      </c>
      <c r="I59" s="86">
        <f t="shared" ref="I59:I70" si="63">C59+F59</f>
        <v>861975</v>
      </c>
      <c r="J59" s="87">
        <f>(I59-I57)/I57</f>
        <v>4.4677972501022557E-3</v>
      </c>
      <c r="K59" s="115">
        <f>I59-I57</f>
        <v>3834</v>
      </c>
      <c r="L59" s="88"/>
      <c r="M59" s="1"/>
      <c r="N59" s="75">
        <f>SUM(Population!H300:K300,Population!CG300)</f>
        <v>113289</v>
      </c>
      <c r="O59" s="75">
        <f>Population!G300</f>
        <v>1483</v>
      </c>
      <c r="P59" s="86">
        <f t="shared" ref="P59:P63" si="64">SUM(N59:O59)</f>
        <v>114772</v>
      </c>
      <c r="Q59" s="87">
        <f>(P59-P57)/P57</f>
        <v>1.1863637949684218E-3</v>
      </c>
      <c r="R59" s="115">
        <f>P59-P57</f>
        <v>136</v>
      </c>
      <c r="S59" s="89"/>
      <c r="T59" s="1"/>
      <c r="U59" s="78">
        <f t="shared" ref="U59:U63" si="65">I59+P59</f>
        <v>976747</v>
      </c>
      <c r="V59" s="63">
        <f>(U59-U57)/U57</f>
        <v>4.0810997792916567E-3</v>
      </c>
      <c r="W59" s="115">
        <f>U59-U57</f>
        <v>3970</v>
      </c>
    </row>
    <row r="60" spans="1:23" hidden="1">
      <c r="A60" s="58">
        <v>41122</v>
      </c>
      <c r="B60" s="58"/>
      <c r="C60" s="75">
        <f>Population!DK301+Population!DL301+Population!DM301+Population!DN301</f>
        <v>262159</v>
      </c>
      <c r="D60" s="87">
        <f t="shared" ref="D60:D63" si="66">(C60-C59)/C59</f>
        <v>3.0110340816919944E-3</v>
      </c>
      <c r="E60" s="115">
        <f t="shared" ref="E60:E63" si="67">C60-C59</f>
        <v>787</v>
      </c>
      <c r="F60" s="75">
        <f>SUM(Population!DO301:'Population'!DT301)</f>
        <v>603412</v>
      </c>
      <c r="G60" s="87">
        <f t="shared" ref="G60:G63" si="68">(F60-F59)/F59</f>
        <v>4.6769663155195691E-3</v>
      </c>
      <c r="H60" s="115">
        <f t="shared" ref="H60:H63" si="69">F60-F59</f>
        <v>2809</v>
      </c>
      <c r="I60" s="86">
        <f t="shared" si="63"/>
        <v>865571</v>
      </c>
      <c r="J60" s="87">
        <f t="shared" ref="J60:J63" si="70">(I60-I59)/I59</f>
        <v>4.171814727805331E-3</v>
      </c>
      <c r="K60" s="115">
        <f t="shared" ref="K60:K63" si="71">I60-I59</f>
        <v>3596</v>
      </c>
      <c r="L60" s="88"/>
      <c r="M60" s="1"/>
      <c r="N60" s="75">
        <f>SUM(Population!H301:K301,Population!CG301)</f>
        <v>112627</v>
      </c>
      <c r="O60" s="75">
        <f>Population!G301</f>
        <v>1478</v>
      </c>
      <c r="P60" s="86">
        <f t="shared" si="64"/>
        <v>114105</v>
      </c>
      <c r="Q60" s="87">
        <f t="shared" ref="Q60:Q63" si="72">(P60-P59)/P59</f>
        <v>-5.8115219740006276E-3</v>
      </c>
      <c r="R60" s="115">
        <f t="shared" ref="R60:R63" si="73">P60-P59</f>
        <v>-667</v>
      </c>
      <c r="S60" s="89"/>
      <c r="T60" s="1"/>
      <c r="U60" s="78">
        <f t="shared" si="65"/>
        <v>979676</v>
      </c>
      <c r="V60" s="63">
        <f t="shared" ref="V60:V63" si="74">(U60-U59)/U59</f>
        <v>2.9987294560413292E-3</v>
      </c>
      <c r="W60" s="115">
        <f t="shared" ref="W60:W63" si="75">U60-U59</f>
        <v>2929</v>
      </c>
    </row>
    <row r="61" spans="1:23" hidden="1">
      <c r="A61" s="58">
        <v>41153</v>
      </c>
      <c r="B61" s="58"/>
      <c r="C61" s="75">
        <f>Population!DK302+Population!DL302+Population!DM302+Population!DN302</f>
        <v>263051</v>
      </c>
      <c r="D61" s="87">
        <f t="shared" si="66"/>
        <v>3.402515267452195E-3</v>
      </c>
      <c r="E61" s="115">
        <f t="shared" si="67"/>
        <v>892</v>
      </c>
      <c r="F61" s="75">
        <f>SUM(Population!DO302:'Population'!DT302)</f>
        <v>607945</v>
      </c>
      <c r="G61" s="87">
        <f t="shared" si="68"/>
        <v>7.5122801667848833E-3</v>
      </c>
      <c r="H61" s="115">
        <f t="shared" si="69"/>
        <v>4533</v>
      </c>
      <c r="I61" s="86">
        <f t="shared" si="63"/>
        <v>870996</v>
      </c>
      <c r="J61" s="87">
        <f t="shared" si="70"/>
        <v>6.2675390002668759E-3</v>
      </c>
      <c r="K61" s="115">
        <f t="shared" si="71"/>
        <v>5425</v>
      </c>
      <c r="L61" s="88"/>
      <c r="M61" s="1"/>
      <c r="N61" s="75">
        <f>SUM(Population!H302:K302,Population!CG302)</f>
        <v>112097</v>
      </c>
      <c r="O61" s="75">
        <f>Population!G302</f>
        <v>1492</v>
      </c>
      <c r="P61" s="86">
        <f t="shared" si="64"/>
        <v>113589</v>
      </c>
      <c r="Q61" s="87">
        <f t="shared" si="72"/>
        <v>-4.5221506507164451E-3</v>
      </c>
      <c r="R61" s="115">
        <f t="shared" si="73"/>
        <v>-516</v>
      </c>
      <c r="S61" s="89"/>
      <c r="T61" s="1"/>
      <c r="U61" s="78">
        <f t="shared" si="65"/>
        <v>984585</v>
      </c>
      <c r="V61" s="63">
        <f t="shared" si="74"/>
        <v>5.0108403186359569E-3</v>
      </c>
      <c r="W61" s="115">
        <f t="shared" si="75"/>
        <v>4909</v>
      </c>
    </row>
    <row r="62" spans="1:23" hidden="1">
      <c r="A62" s="58">
        <v>41183</v>
      </c>
      <c r="B62" s="58"/>
      <c r="C62" s="75">
        <f>Population!DK303+Population!DL303+Population!DM303+Population!DN303</f>
        <v>263542</v>
      </c>
      <c r="D62" s="87">
        <f t="shared" si="66"/>
        <v>1.8665581959391906E-3</v>
      </c>
      <c r="E62" s="115">
        <f t="shared" si="67"/>
        <v>491</v>
      </c>
      <c r="F62" s="75">
        <f>SUM(Population!DO303:'Population'!DT303)</f>
        <v>610526</v>
      </c>
      <c r="G62" s="87">
        <f t="shared" si="68"/>
        <v>4.2454498351002148E-3</v>
      </c>
      <c r="H62" s="115">
        <f t="shared" si="69"/>
        <v>2581</v>
      </c>
      <c r="I62" s="86">
        <f t="shared" si="63"/>
        <v>874068</v>
      </c>
      <c r="J62" s="87">
        <f t="shared" si="70"/>
        <v>3.5269966796632819E-3</v>
      </c>
      <c r="K62" s="115">
        <f t="shared" si="71"/>
        <v>3072</v>
      </c>
      <c r="L62" s="88"/>
      <c r="M62" s="1"/>
      <c r="N62" s="75">
        <f>SUM(Population!H303:K303,Population!CG303)</f>
        <v>112306</v>
      </c>
      <c r="O62" s="75">
        <f>Population!G303</f>
        <v>1488</v>
      </c>
      <c r="P62" s="86">
        <f t="shared" si="64"/>
        <v>113794</v>
      </c>
      <c r="Q62" s="87">
        <f t="shared" si="72"/>
        <v>1.8047522207255984E-3</v>
      </c>
      <c r="R62" s="115">
        <f t="shared" si="73"/>
        <v>205</v>
      </c>
      <c r="S62" s="89"/>
      <c r="T62" s="1"/>
      <c r="U62" s="78">
        <f t="shared" si="65"/>
        <v>987862</v>
      </c>
      <c r="V62" s="63">
        <f t="shared" si="74"/>
        <v>3.3283058344378597E-3</v>
      </c>
      <c r="W62" s="115">
        <f t="shared" si="75"/>
        <v>3277</v>
      </c>
    </row>
    <row r="63" spans="1:23" hidden="1">
      <c r="A63" s="58">
        <v>41214</v>
      </c>
      <c r="B63" s="58"/>
      <c r="C63" s="75">
        <f>Population!DK304+Population!DL304+Population!DM304+Population!DN304</f>
        <v>264567</v>
      </c>
      <c r="D63" s="87">
        <f t="shared" si="66"/>
        <v>3.8893231439391064E-3</v>
      </c>
      <c r="E63" s="115">
        <f t="shared" si="67"/>
        <v>1025</v>
      </c>
      <c r="F63" s="75">
        <f>SUM(Population!DO304:'Population'!DT304)</f>
        <v>614840</v>
      </c>
      <c r="G63" s="87">
        <f t="shared" si="68"/>
        <v>7.0660381376059329E-3</v>
      </c>
      <c r="H63" s="115">
        <f t="shared" si="69"/>
        <v>4314</v>
      </c>
      <c r="I63" s="86">
        <f t="shared" si="63"/>
        <v>879407</v>
      </c>
      <c r="J63" s="87">
        <f t="shared" si="70"/>
        <v>6.1082204130571078E-3</v>
      </c>
      <c r="K63" s="115">
        <f t="shared" si="71"/>
        <v>5339</v>
      </c>
      <c r="L63" s="88"/>
      <c r="M63" s="1"/>
      <c r="N63" s="75">
        <f>SUM(Population!H304:K304,Population!CG304)</f>
        <v>113600</v>
      </c>
      <c r="O63" s="75">
        <f>Population!G304</f>
        <v>1501</v>
      </c>
      <c r="P63" s="86">
        <f t="shared" si="64"/>
        <v>115101</v>
      </c>
      <c r="Q63" s="87">
        <f t="shared" si="72"/>
        <v>1.1485667082622985E-2</v>
      </c>
      <c r="R63" s="115">
        <f t="shared" si="73"/>
        <v>1307</v>
      </c>
      <c r="S63" s="89"/>
      <c r="T63" s="1"/>
      <c r="U63" s="78">
        <f t="shared" si="65"/>
        <v>994508</v>
      </c>
      <c r="V63" s="63">
        <f t="shared" si="74"/>
        <v>6.7276603412217495E-3</v>
      </c>
      <c r="W63" s="115">
        <f t="shared" si="75"/>
        <v>6646</v>
      </c>
    </row>
    <row r="64" spans="1:23" hidden="1">
      <c r="A64" s="58">
        <v>41244</v>
      </c>
      <c r="B64" s="58"/>
      <c r="C64" s="75">
        <f>Population!DK305+Population!DL305+Population!DM305+Population!DN305</f>
        <v>264988</v>
      </c>
      <c r="D64" s="87">
        <f t="shared" ref="D64:D66" si="76">(C64-C63)/C63</f>
        <v>1.5912793356692256E-3</v>
      </c>
      <c r="E64" s="115">
        <f t="shared" ref="E64:E66" si="77">C64-C63</f>
        <v>421</v>
      </c>
      <c r="F64" s="75">
        <f>SUM(Population!DO305:'Population'!DT305)</f>
        <v>615961</v>
      </c>
      <c r="G64" s="87">
        <f t="shared" ref="G64:G66" si="78">(F64-F63)/F63</f>
        <v>1.823238566131026E-3</v>
      </c>
      <c r="H64" s="115">
        <f t="shared" ref="H64:H66" si="79">F64-F63</f>
        <v>1121</v>
      </c>
      <c r="I64" s="86">
        <f t="shared" si="63"/>
        <v>880949</v>
      </c>
      <c r="J64" s="87">
        <f t="shared" ref="J64:J66" si="80">(I64-I63)/I63</f>
        <v>1.753454316374557E-3</v>
      </c>
      <c r="K64" s="115">
        <f t="shared" ref="K64:K66" si="81">I64-I63</f>
        <v>1542</v>
      </c>
      <c r="L64" s="88"/>
      <c r="M64" s="1"/>
      <c r="N64" s="75">
        <f>SUM(Population!H305:K305,Population!CG305)</f>
        <v>114617</v>
      </c>
      <c r="O64" s="75">
        <f>Population!G305</f>
        <v>1471</v>
      </c>
      <c r="P64" s="86">
        <f t="shared" ref="P64:P66" si="82">SUM(N64:O64)</f>
        <v>116088</v>
      </c>
      <c r="Q64" s="87">
        <f t="shared" ref="Q64:Q66" si="83">(P64-P63)/P63</f>
        <v>8.5750775405947811E-3</v>
      </c>
      <c r="R64" s="115">
        <f t="shared" ref="R64:R66" si="84">P64-P63</f>
        <v>987</v>
      </c>
      <c r="S64" s="89"/>
      <c r="T64" s="1"/>
      <c r="U64" s="78">
        <f t="shared" ref="U64:U66" si="85">I64+P64</f>
        <v>997037</v>
      </c>
      <c r="V64" s="63">
        <f t="shared" ref="V64:V66" si="86">(U64-U63)/U63</f>
        <v>2.54296596910231E-3</v>
      </c>
      <c r="W64" s="115">
        <f t="shared" ref="W64:W66" si="87">U64-U63</f>
        <v>2529</v>
      </c>
    </row>
    <row r="65" spans="1:24" hidden="1">
      <c r="A65" s="58">
        <v>41275</v>
      </c>
      <c r="B65" s="58"/>
      <c r="C65" s="75">
        <f>Population!DK306+Population!DL306+Population!DM306+Population!DN306</f>
        <v>253265</v>
      </c>
      <c r="D65" s="87">
        <f t="shared" si="76"/>
        <v>-4.4239739157999607E-2</v>
      </c>
      <c r="E65" s="115">
        <f t="shared" si="77"/>
        <v>-11723</v>
      </c>
      <c r="F65" s="75">
        <f>SUM(Population!DO306:'Population'!DT306)</f>
        <v>613338</v>
      </c>
      <c r="G65" s="87">
        <f t="shared" si="78"/>
        <v>-4.2583864887549699E-3</v>
      </c>
      <c r="H65" s="115">
        <f t="shared" si="79"/>
        <v>-2623</v>
      </c>
      <c r="I65" s="86">
        <f t="shared" si="63"/>
        <v>866603</v>
      </c>
      <c r="J65" s="87">
        <f t="shared" si="80"/>
        <v>-1.6284711146729264E-2</v>
      </c>
      <c r="K65" s="115">
        <f t="shared" si="81"/>
        <v>-14346</v>
      </c>
      <c r="L65" s="88"/>
      <c r="M65" s="1"/>
      <c r="N65" s="75">
        <f>SUM(Population!H306:K306,Population!CG306)</f>
        <v>114558</v>
      </c>
      <c r="O65" s="75">
        <f>Population!G306</f>
        <v>1468</v>
      </c>
      <c r="P65" s="86">
        <f t="shared" si="82"/>
        <v>116026</v>
      </c>
      <c r="Q65" s="87">
        <f t="shared" si="83"/>
        <v>-5.3407759630625046E-4</v>
      </c>
      <c r="R65" s="115">
        <f t="shared" si="84"/>
        <v>-62</v>
      </c>
      <c r="S65" s="89"/>
      <c r="T65" s="1"/>
      <c r="U65" s="78">
        <f t="shared" si="85"/>
        <v>982629</v>
      </c>
      <c r="V65" s="63">
        <f t="shared" si="86"/>
        <v>-1.4450817773061581E-2</v>
      </c>
      <c r="W65" s="115">
        <f t="shared" si="87"/>
        <v>-14408</v>
      </c>
    </row>
    <row r="66" spans="1:24" hidden="1">
      <c r="A66" s="58">
        <v>41306</v>
      </c>
      <c r="B66" s="58"/>
      <c r="C66" s="75">
        <f>Population!DK307+Population!DL307+Population!DM307+Population!DN307</f>
        <v>261843</v>
      </c>
      <c r="D66" s="87">
        <f t="shared" si="76"/>
        <v>3.3869662211517583E-2</v>
      </c>
      <c r="E66" s="115">
        <f t="shared" si="77"/>
        <v>8578</v>
      </c>
      <c r="F66" s="75">
        <f>SUM(Population!DO307:'Population'!DT307)</f>
        <v>618645</v>
      </c>
      <c r="G66" s="87">
        <f t="shared" si="78"/>
        <v>8.6526515559120741E-3</v>
      </c>
      <c r="H66" s="115">
        <f t="shared" si="79"/>
        <v>5307</v>
      </c>
      <c r="I66" s="86">
        <f t="shared" si="63"/>
        <v>880488</v>
      </c>
      <c r="J66" s="87">
        <f t="shared" si="80"/>
        <v>1.6022330871229385E-2</v>
      </c>
      <c r="K66" s="115">
        <f t="shared" si="81"/>
        <v>13885</v>
      </c>
      <c r="L66" s="88"/>
      <c r="M66" s="1"/>
      <c r="N66" s="75">
        <f>SUM(Population!H307:K307,Population!CG307)</f>
        <v>115270</v>
      </c>
      <c r="O66" s="75">
        <f>Population!G307</f>
        <v>1476</v>
      </c>
      <c r="P66" s="86">
        <f t="shared" si="82"/>
        <v>116746</v>
      </c>
      <c r="Q66" s="87">
        <f t="shared" si="83"/>
        <v>6.2055056625239169E-3</v>
      </c>
      <c r="R66" s="115">
        <f t="shared" si="84"/>
        <v>720</v>
      </c>
      <c r="S66" s="89"/>
      <c r="T66" s="1"/>
      <c r="U66" s="78">
        <f t="shared" si="85"/>
        <v>997234</v>
      </c>
      <c r="V66" s="63">
        <f t="shared" si="86"/>
        <v>1.4863188446504225E-2</v>
      </c>
      <c r="W66" s="115">
        <f t="shared" si="87"/>
        <v>14605</v>
      </c>
    </row>
    <row r="67" spans="1:24" hidden="1">
      <c r="A67" s="58">
        <v>41334</v>
      </c>
      <c r="B67" s="58"/>
      <c r="C67" s="75">
        <f>Population!DK308+Population!DL308+Population!DM308+Population!DN308</f>
        <v>263467</v>
      </c>
      <c r="D67" s="87">
        <f t="shared" ref="D67:D70" si="88">(C67-C66)/C66</f>
        <v>6.202189861863789E-3</v>
      </c>
      <c r="E67" s="115">
        <f t="shared" ref="E67:E70" si="89">C67-C66</f>
        <v>1624</v>
      </c>
      <c r="F67" s="75">
        <f>SUM(Population!DO308:'Population'!DT308)</f>
        <v>619629</v>
      </c>
      <c r="G67" s="87">
        <f t="shared" ref="G67:G70" si="90">(F67-F66)/F66</f>
        <v>1.5905729457119995E-3</v>
      </c>
      <c r="H67" s="115">
        <f t="shared" ref="H67:H70" si="91">F67-F66</f>
        <v>984</v>
      </c>
      <c r="I67" s="86">
        <f t="shared" si="63"/>
        <v>883096</v>
      </c>
      <c r="J67" s="87">
        <f t="shared" ref="J67:J70" si="92">(I67-I66)/I66</f>
        <v>2.9619938034362763E-3</v>
      </c>
      <c r="K67" s="115">
        <f t="shared" ref="K67:K70" si="93">I67-I66</f>
        <v>2608</v>
      </c>
      <c r="L67" s="88"/>
      <c r="M67" s="1"/>
      <c r="N67" s="75">
        <f>SUM(Population!H308:K308,Population!CG308)</f>
        <v>114238</v>
      </c>
      <c r="O67" s="75">
        <f>Population!G308</f>
        <v>1518</v>
      </c>
      <c r="P67" s="86">
        <f t="shared" ref="P67:P72" si="94">SUM(N67:O67)</f>
        <v>115756</v>
      </c>
      <c r="Q67" s="87">
        <f t="shared" ref="Q67:Q70" si="95">(P67-P66)/P66</f>
        <v>-8.4799479211279186E-3</v>
      </c>
      <c r="R67" s="115">
        <f t="shared" ref="R67:R70" si="96">P67-P66</f>
        <v>-990</v>
      </c>
      <c r="S67" s="89"/>
      <c r="T67" s="1"/>
      <c r="U67" s="78">
        <f t="shared" ref="U67:U72" si="97">I67+P67</f>
        <v>998852</v>
      </c>
      <c r="V67" s="63">
        <f t="shared" ref="V67:V70" si="98">(U67-U66)/U66</f>
        <v>1.6224878012582804E-3</v>
      </c>
      <c r="W67" s="115">
        <f t="shared" ref="W67:W70" si="99">U67-U66</f>
        <v>1618</v>
      </c>
    </row>
    <row r="68" spans="1:24" hidden="1">
      <c r="A68" s="58">
        <v>41365</v>
      </c>
      <c r="B68" s="58"/>
      <c r="C68" s="75">
        <f>Population!DK309+Population!DL309+Population!DM309+Population!DN309</f>
        <v>265184</v>
      </c>
      <c r="D68" s="87">
        <f t="shared" si="88"/>
        <v>6.5169451961725753E-3</v>
      </c>
      <c r="E68" s="115">
        <f t="shared" si="89"/>
        <v>1717</v>
      </c>
      <c r="F68" s="75">
        <f>SUM(Population!DO309:'Population'!DT309)</f>
        <v>621817</v>
      </c>
      <c r="G68" s="87">
        <f t="shared" si="90"/>
        <v>3.5311452498188434E-3</v>
      </c>
      <c r="H68" s="115">
        <f t="shared" si="91"/>
        <v>2188</v>
      </c>
      <c r="I68" s="86">
        <f t="shared" si="63"/>
        <v>887001</v>
      </c>
      <c r="J68" s="87">
        <f t="shared" si="92"/>
        <v>4.4219428012356524E-3</v>
      </c>
      <c r="K68" s="115">
        <f t="shared" si="93"/>
        <v>3905</v>
      </c>
      <c r="L68" s="88"/>
      <c r="M68" s="1"/>
      <c r="N68" s="75">
        <f>SUM(Population!H309:K309,Population!CG309)</f>
        <v>113841</v>
      </c>
      <c r="O68" s="75">
        <f>Population!G309</f>
        <v>1544</v>
      </c>
      <c r="P68" s="86">
        <f t="shared" si="94"/>
        <v>115385</v>
      </c>
      <c r="Q68" s="87">
        <f t="shared" si="95"/>
        <v>-3.2050174504993263E-3</v>
      </c>
      <c r="R68" s="115">
        <f t="shared" si="96"/>
        <v>-371</v>
      </c>
      <c r="S68" s="89"/>
      <c r="T68" s="1"/>
      <c r="U68" s="78">
        <f t="shared" si="97"/>
        <v>1002386</v>
      </c>
      <c r="V68" s="63">
        <f t="shared" si="98"/>
        <v>3.53806169482566E-3</v>
      </c>
      <c r="W68" s="115">
        <f t="shared" si="99"/>
        <v>3534</v>
      </c>
    </row>
    <row r="69" spans="1:24" hidden="1">
      <c r="A69" s="58">
        <v>41395</v>
      </c>
      <c r="B69" s="58"/>
      <c r="C69" s="75">
        <f>Population!DK310+Population!DL310+Population!DM310+Population!DN310</f>
        <v>265618</v>
      </c>
      <c r="D69" s="87">
        <f t="shared" si="88"/>
        <v>1.6365994931820925E-3</v>
      </c>
      <c r="E69" s="115">
        <f t="shared" si="89"/>
        <v>434</v>
      </c>
      <c r="F69" s="75">
        <f>SUM(Population!DO310:'Population'!DT310)</f>
        <v>623195</v>
      </c>
      <c r="G69" s="87">
        <f t="shared" si="90"/>
        <v>2.2160860832045443E-3</v>
      </c>
      <c r="H69" s="115">
        <f t="shared" si="91"/>
        <v>1378</v>
      </c>
      <c r="I69" s="86">
        <f t="shared" si="63"/>
        <v>888813</v>
      </c>
      <c r="J69" s="87">
        <f t="shared" si="92"/>
        <v>2.0428387341164217E-3</v>
      </c>
      <c r="K69" s="115">
        <f t="shared" si="93"/>
        <v>1812</v>
      </c>
      <c r="L69" s="88"/>
      <c r="M69" s="1"/>
      <c r="N69" s="75">
        <f>SUM(Population!H310:K310,Population!CG310)</f>
        <v>113446</v>
      </c>
      <c r="O69" s="75">
        <f>Population!G310</f>
        <v>1578</v>
      </c>
      <c r="P69" s="86">
        <f t="shared" si="94"/>
        <v>115024</v>
      </c>
      <c r="Q69" s="87">
        <f t="shared" si="95"/>
        <v>-3.1286562378125406E-3</v>
      </c>
      <c r="R69" s="115">
        <f t="shared" si="96"/>
        <v>-361</v>
      </c>
      <c r="S69" s="89"/>
      <c r="T69" s="1"/>
      <c r="U69" s="78">
        <f t="shared" si="97"/>
        <v>1003837</v>
      </c>
      <c r="V69" s="63">
        <f t="shared" si="98"/>
        <v>1.4475461548744694E-3</v>
      </c>
      <c r="W69" s="115">
        <f t="shared" si="99"/>
        <v>1451</v>
      </c>
    </row>
    <row r="70" spans="1:24" hidden="1">
      <c r="A70" s="58">
        <v>41426</v>
      </c>
      <c r="B70" s="58"/>
      <c r="C70" s="75">
        <f>Population!DK311+Population!DL311+Population!DM311+Population!DN311</f>
        <v>265817</v>
      </c>
      <c r="D70" s="87">
        <f t="shared" si="88"/>
        <v>7.4919621411199543E-4</v>
      </c>
      <c r="E70" s="115">
        <f t="shared" si="89"/>
        <v>199</v>
      </c>
      <c r="F70" s="75">
        <f>SUM(Population!DO311:'Population'!DT311)</f>
        <v>624473</v>
      </c>
      <c r="G70" s="87">
        <f t="shared" si="90"/>
        <v>2.0507224865411308E-3</v>
      </c>
      <c r="H70" s="115">
        <f t="shared" si="91"/>
        <v>1278</v>
      </c>
      <c r="I70" s="86">
        <f t="shared" si="63"/>
        <v>890290</v>
      </c>
      <c r="J70" s="87">
        <f t="shared" si="92"/>
        <v>1.661766873346812E-3</v>
      </c>
      <c r="K70" s="115">
        <f t="shared" si="93"/>
        <v>1477</v>
      </c>
      <c r="L70" s="88"/>
      <c r="M70" s="1"/>
      <c r="N70" s="75">
        <f>SUM(Population!H311:K311,Population!CG311)</f>
        <v>114121</v>
      </c>
      <c r="O70" s="75">
        <f>Population!G311</f>
        <v>1616</v>
      </c>
      <c r="P70" s="86">
        <f t="shared" si="94"/>
        <v>115737</v>
      </c>
      <c r="Q70" s="87">
        <f t="shared" si="95"/>
        <v>6.1987063569342053E-3</v>
      </c>
      <c r="R70" s="115">
        <f t="shared" si="96"/>
        <v>713</v>
      </c>
      <c r="S70" s="89"/>
      <c r="T70" s="1"/>
      <c r="U70" s="78">
        <f t="shared" si="97"/>
        <v>1006027</v>
      </c>
      <c r="V70" s="63">
        <f t="shared" si="98"/>
        <v>2.181629089184798E-3</v>
      </c>
      <c r="W70" s="115">
        <f t="shared" si="99"/>
        <v>2190</v>
      </c>
    </row>
    <row r="71" spans="1:24" s="150" customFormat="1" ht="7.5" hidden="1" customHeight="1">
      <c r="A71" s="58"/>
      <c r="B71" s="58"/>
      <c r="C71" s="75"/>
      <c r="D71" s="87"/>
      <c r="E71" s="115"/>
      <c r="F71" s="75"/>
      <c r="G71" s="87"/>
      <c r="H71" s="115"/>
      <c r="I71" s="86"/>
      <c r="J71" s="87"/>
      <c r="K71" s="115"/>
      <c r="L71" s="88"/>
      <c r="M71" s="1"/>
      <c r="N71" s="75"/>
      <c r="O71" s="75"/>
      <c r="P71" s="86"/>
      <c r="Q71" s="87"/>
      <c r="R71" s="115"/>
      <c r="S71" s="89"/>
      <c r="T71" s="1"/>
      <c r="U71" s="78"/>
      <c r="V71" s="63"/>
      <c r="W71" s="115"/>
    </row>
    <row r="72" spans="1:24" s="136" customFormat="1" hidden="1">
      <c r="A72" s="58">
        <v>41456</v>
      </c>
      <c r="B72" s="58"/>
      <c r="C72" s="75">
        <f>Population!DK312+Population!DL312+Population!DM312+Population!DN312</f>
        <v>265486</v>
      </c>
      <c r="D72" s="87">
        <f>(C72-C70)/C70</f>
        <v>-1.2452175744967402E-3</v>
      </c>
      <c r="E72" s="115">
        <f>C72-C70</f>
        <v>-331</v>
      </c>
      <c r="F72" s="75">
        <f>SUM(Population!DO312:'Population'!DT312)</f>
        <v>622664</v>
      </c>
      <c r="G72" s="87">
        <f>(F72-F70)/F70</f>
        <v>-2.8968426176952406E-3</v>
      </c>
      <c r="H72" s="115">
        <f>F72-F70</f>
        <v>-1809</v>
      </c>
      <c r="I72" s="86">
        <f t="shared" ref="I72:I78" si="100">C72+F72</f>
        <v>888150</v>
      </c>
      <c r="J72" s="87">
        <f>(I72-I70)/I70</f>
        <v>-2.4037111502993405E-3</v>
      </c>
      <c r="K72" s="115">
        <f>I72-I70</f>
        <v>-2140</v>
      </c>
      <c r="L72" s="88"/>
      <c r="M72" s="1"/>
      <c r="N72" s="75">
        <f>SUM(Population!H312:L312,Population!CG312)</f>
        <v>113637</v>
      </c>
      <c r="O72" s="75">
        <f>Population!G312</f>
        <v>1553</v>
      </c>
      <c r="P72" s="86">
        <f t="shared" si="94"/>
        <v>115190</v>
      </c>
      <c r="Q72" s="87">
        <f>(P72-P70)/P70</f>
        <v>-4.72623275184254E-3</v>
      </c>
      <c r="R72" s="115">
        <f>P72-P70</f>
        <v>-547</v>
      </c>
      <c r="S72" s="89"/>
      <c r="T72" s="1"/>
      <c r="U72" s="78">
        <f t="shared" si="97"/>
        <v>1003340</v>
      </c>
      <c r="V72" s="63">
        <f>(U72-U70)/U70</f>
        <v>-2.6709024708084375E-3</v>
      </c>
      <c r="W72" s="115">
        <f>U72-U70</f>
        <v>-2687</v>
      </c>
      <c r="X72" s="6"/>
    </row>
    <row r="73" spans="1:24" s="136" customFormat="1" hidden="1">
      <c r="A73" s="58">
        <v>41487</v>
      </c>
      <c r="B73" s="58"/>
      <c r="C73" s="75">
        <f>Population!DK313+Population!DL313+Population!DM313+Population!DN313</f>
        <v>266067</v>
      </c>
      <c r="D73" s="63">
        <f t="shared" ref="D73" si="101">(C73-C72)/C72</f>
        <v>2.1884393150674612E-3</v>
      </c>
      <c r="E73" s="115">
        <f t="shared" ref="E73" si="102">C73-C72</f>
        <v>581</v>
      </c>
      <c r="F73" s="75">
        <f>SUM(Population!DO313:'Population'!DT313)</f>
        <v>622713</v>
      </c>
      <c r="G73" s="63">
        <f t="shared" ref="G73" si="103">(F73-F72)/F72</f>
        <v>7.8694127169709512E-5</v>
      </c>
      <c r="H73" s="115">
        <f t="shared" ref="H73" si="104">F73-F72</f>
        <v>49</v>
      </c>
      <c r="I73" s="86">
        <f t="shared" si="100"/>
        <v>888780</v>
      </c>
      <c r="J73" s="63">
        <f t="shared" ref="J73" si="105">(I73-I72)/I72</f>
        <v>7.093396385745651E-4</v>
      </c>
      <c r="K73" s="115">
        <f t="shared" ref="K73" si="106">I73-I72</f>
        <v>630</v>
      </c>
      <c r="L73" s="88"/>
      <c r="M73" s="1"/>
      <c r="N73" s="75">
        <f>SUM(Population!H313:L313,Population!CG313)</f>
        <v>113170</v>
      </c>
      <c r="O73" s="75">
        <f>Population!G313</f>
        <v>1560</v>
      </c>
      <c r="P73" s="86">
        <f t="shared" ref="P73" si="107">SUM(N73:O73)</f>
        <v>114730</v>
      </c>
      <c r="Q73" s="87">
        <f t="shared" ref="Q73" si="108">(P73-P72)/P72</f>
        <v>-3.9934022050525219E-3</v>
      </c>
      <c r="R73" s="115">
        <f t="shared" ref="R73" si="109">P73-P72</f>
        <v>-460</v>
      </c>
      <c r="S73" s="89"/>
      <c r="T73" s="1"/>
      <c r="U73" s="78">
        <f t="shared" ref="U73:U75" si="110">I73+P73</f>
        <v>1003510</v>
      </c>
      <c r="V73" s="63">
        <f t="shared" ref="V73" si="111">(U73-U72)/U72</f>
        <v>1.6943409013893597E-4</v>
      </c>
      <c r="W73" s="115">
        <f t="shared" ref="W73" si="112">U73-U72</f>
        <v>170</v>
      </c>
      <c r="X73" s="6"/>
    </row>
    <row r="74" spans="1:24" s="136" customFormat="1" hidden="1">
      <c r="A74" s="58">
        <v>41518</v>
      </c>
      <c r="B74" s="58"/>
      <c r="C74" s="75">
        <f>Population!DK314+Population!DL314+Population!DM314+Population!DN314</f>
        <v>266534</v>
      </c>
      <c r="D74" s="63">
        <f t="shared" ref="D74:D75" si="113">(C74-C73)/C73</f>
        <v>1.7551969992520681E-3</v>
      </c>
      <c r="E74" s="115">
        <f t="shared" ref="E74:E75" si="114">C74-C73</f>
        <v>467</v>
      </c>
      <c r="F74" s="75">
        <f>SUM(Population!DO314:'Population'!DT314)</f>
        <v>621655</v>
      </c>
      <c r="G74" s="63">
        <f t="shared" ref="G74:G75" si="115">(F74-F73)/F73</f>
        <v>-1.699017043164347E-3</v>
      </c>
      <c r="H74" s="115">
        <f t="shared" ref="H74:H75" si="116">F74-F73</f>
        <v>-1058</v>
      </c>
      <c r="I74" s="86">
        <f t="shared" si="100"/>
        <v>888189</v>
      </c>
      <c r="J74" s="63">
        <f t="shared" ref="J74:J75" si="117">(I74-I73)/I73</f>
        <v>-6.6495645716600283E-4</v>
      </c>
      <c r="K74" s="115">
        <f t="shared" ref="K74:K75" si="118">I74-I73</f>
        <v>-591</v>
      </c>
      <c r="L74" s="88"/>
      <c r="M74" s="1"/>
      <c r="N74" s="75">
        <f>SUM(Population!H314:L314,Population!CG314)</f>
        <v>113220</v>
      </c>
      <c r="O74" s="75">
        <f>Population!G314</f>
        <v>1549</v>
      </c>
      <c r="P74" s="86">
        <f t="shared" ref="P74:P75" si="119">SUM(N74:O74)</f>
        <v>114769</v>
      </c>
      <c r="Q74" s="87">
        <f t="shared" ref="Q74:Q75" si="120">(P74-P73)/P73</f>
        <v>3.3992852784799093E-4</v>
      </c>
      <c r="R74" s="115">
        <f t="shared" ref="R74:R75" si="121">P74-P73</f>
        <v>39</v>
      </c>
      <c r="S74" s="89"/>
      <c r="T74" s="1"/>
      <c r="U74" s="78">
        <f t="shared" si="110"/>
        <v>1002958</v>
      </c>
      <c r="V74" s="63">
        <f t="shared" ref="V74:V76" si="122">(U74-U73)/U73</f>
        <v>-5.5006925690825209E-4</v>
      </c>
      <c r="W74" s="115">
        <f t="shared" ref="W74:W76" si="123">U74-U73</f>
        <v>-552</v>
      </c>
      <c r="X74" s="6"/>
    </row>
    <row r="75" spans="1:24" s="136" customFormat="1" hidden="1">
      <c r="A75" s="58">
        <v>41548</v>
      </c>
      <c r="B75" s="58"/>
      <c r="C75" s="75">
        <f>Population!DK315+Population!DL315+Population!DM315+Population!DN315</f>
        <v>267089</v>
      </c>
      <c r="D75" s="63">
        <f t="shared" si="113"/>
        <v>2.0822859372537838E-3</v>
      </c>
      <c r="E75" s="115">
        <f t="shared" si="114"/>
        <v>555</v>
      </c>
      <c r="F75" s="75">
        <f>SUM(Population!DO315:'Population'!DT315)</f>
        <v>622188</v>
      </c>
      <c r="G75" s="63">
        <f t="shared" si="115"/>
        <v>8.5738874456088988E-4</v>
      </c>
      <c r="H75" s="115">
        <f t="shared" si="116"/>
        <v>533</v>
      </c>
      <c r="I75" s="86">
        <f t="shared" si="100"/>
        <v>889277</v>
      </c>
      <c r="J75" s="63">
        <f t="shared" si="117"/>
        <v>1.224964506428249E-3</v>
      </c>
      <c r="K75" s="115">
        <f t="shared" si="118"/>
        <v>1088</v>
      </c>
      <c r="L75" s="88"/>
      <c r="M75" s="1"/>
      <c r="N75" s="75">
        <f>SUM(Population!H315:L315,Population!CG315)</f>
        <v>113467</v>
      </c>
      <c r="O75" s="75">
        <f>Population!G315</f>
        <v>1564</v>
      </c>
      <c r="P75" s="86">
        <f t="shared" si="119"/>
        <v>115031</v>
      </c>
      <c r="Q75" s="87">
        <f t="shared" si="120"/>
        <v>2.2828464132300533E-3</v>
      </c>
      <c r="R75" s="115">
        <f t="shared" si="121"/>
        <v>262</v>
      </c>
      <c r="S75" s="89"/>
      <c r="T75" s="1"/>
      <c r="U75" s="78">
        <f t="shared" si="110"/>
        <v>1004308</v>
      </c>
      <c r="V75" s="63">
        <f t="shared" si="122"/>
        <v>1.3460184773440164E-3</v>
      </c>
      <c r="W75" s="115">
        <f t="shared" si="123"/>
        <v>1350</v>
      </c>
      <c r="X75" s="6"/>
    </row>
    <row r="76" spans="1:24" s="136" customFormat="1" hidden="1">
      <c r="A76" s="58">
        <v>41579</v>
      </c>
      <c r="B76" s="58"/>
      <c r="C76" s="75">
        <f>Population!DK316+Population!DL316+Population!DM316+Population!DN316</f>
        <v>268082</v>
      </c>
      <c r="D76" s="63">
        <f t="shared" ref="D76" si="124">(C76-C75)/C75</f>
        <v>3.7178618363167336E-3</v>
      </c>
      <c r="E76" s="115">
        <f t="shared" ref="E76" si="125">C76-C75</f>
        <v>993</v>
      </c>
      <c r="F76" s="75">
        <f>SUM(Population!DO316:'Population'!DT316)</f>
        <v>623783</v>
      </c>
      <c r="G76" s="63">
        <f t="shared" ref="G76" si="126">(F76-F75)/F75</f>
        <v>2.5635338515046899E-3</v>
      </c>
      <c r="H76" s="115">
        <f t="shared" ref="H76" si="127">F76-F75</f>
        <v>1595</v>
      </c>
      <c r="I76" s="86">
        <f t="shared" si="100"/>
        <v>891865</v>
      </c>
      <c r="J76" s="63">
        <f t="shared" ref="J76" si="128">(I76-I75)/I75</f>
        <v>2.9102293211226648E-3</v>
      </c>
      <c r="K76" s="115">
        <f t="shared" ref="K76" si="129">I76-I75</f>
        <v>2588</v>
      </c>
      <c r="L76" s="88"/>
      <c r="M76" s="1"/>
      <c r="N76" s="75">
        <f>SUM(Population!H316:L316,Population!CG316)</f>
        <v>114156</v>
      </c>
      <c r="O76" s="75">
        <f>Population!G316</f>
        <v>1508</v>
      </c>
      <c r="P76" s="86">
        <f t="shared" ref="P76" si="130">SUM(N76:O76)</f>
        <v>115664</v>
      </c>
      <c r="Q76" s="87">
        <f t="shared" ref="Q76" si="131">(P76-P75)/P75</f>
        <v>5.5028644452365019E-3</v>
      </c>
      <c r="R76" s="115">
        <f t="shared" ref="R76" si="132">P76-P75</f>
        <v>633</v>
      </c>
      <c r="S76" s="89"/>
      <c r="T76" s="1"/>
      <c r="U76" s="78">
        <f t="shared" ref="U76:U81" si="133">I76+P76</f>
        <v>1007529</v>
      </c>
      <c r="V76" s="63">
        <f t="shared" si="122"/>
        <v>3.20718345368154E-3</v>
      </c>
      <c r="W76" s="115">
        <f t="shared" si="123"/>
        <v>3221</v>
      </c>
      <c r="X76" s="6"/>
    </row>
    <row r="77" spans="1:24" s="136" customFormat="1" hidden="1">
      <c r="A77" s="58">
        <v>41609</v>
      </c>
      <c r="B77" s="58"/>
      <c r="C77" s="75">
        <f>Population!DK317+Population!DL317+Population!DM317+Population!DN317</f>
        <v>268458</v>
      </c>
      <c r="D77" s="63">
        <f t="shared" ref="D77" si="134">(C77-C76)/C76</f>
        <v>1.4025559343782872E-3</v>
      </c>
      <c r="E77" s="115">
        <f t="shared" ref="E77" si="135">C77-C76</f>
        <v>376</v>
      </c>
      <c r="F77" s="75">
        <f>SUM(Population!DO317:'Population'!DT317)</f>
        <v>617569</v>
      </c>
      <c r="G77" s="63">
        <f t="shared" ref="G77" si="136">(F77-F76)/F76</f>
        <v>-9.9617976123106914E-3</v>
      </c>
      <c r="H77" s="115">
        <f t="shared" ref="H77" si="137">F77-F76</f>
        <v>-6214</v>
      </c>
      <c r="I77" s="86">
        <f t="shared" si="100"/>
        <v>886027</v>
      </c>
      <c r="J77" s="63">
        <f t="shared" ref="J77:J78" si="138">(I77-I76)/I76</f>
        <v>-6.5458337304412665E-3</v>
      </c>
      <c r="K77" s="115">
        <f t="shared" ref="K77:K78" si="139">I77-I76</f>
        <v>-5838</v>
      </c>
      <c r="L77" s="88"/>
      <c r="M77" s="1"/>
      <c r="N77" s="75">
        <f>SUM(Population!H317:L317,Population!CG317)</f>
        <v>113378</v>
      </c>
      <c r="O77" s="75">
        <f>Population!G317</f>
        <v>1421</v>
      </c>
      <c r="P77" s="86">
        <f t="shared" ref="P77" si="140">SUM(N77:O77)</f>
        <v>114799</v>
      </c>
      <c r="Q77" s="87">
        <f t="shared" ref="Q77:Q78" si="141">(P77-P76)/P76</f>
        <v>-7.4785585834831929E-3</v>
      </c>
      <c r="R77" s="115">
        <f t="shared" ref="R77:R78" si="142">P77-P76</f>
        <v>-865</v>
      </c>
      <c r="S77" s="89"/>
      <c r="T77" s="1"/>
      <c r="U77" s="78">
        <f t="shared" si="133"/>
        <v>1000826</v>
      </c>
      <c r="V77" s="63">
        <f t="shared" ref="V77:V78" si="143">(U77-U76)/U76</f>
        <v>-6.6529102388119847E-3</v>
      </c>
      <c r="W77" s="115">
        <f t="shared" ref="W77:W78" si="144">U77-U76</f>
        <v>-6703</v>
      </c>
      <c r="X77" s="6"/>
    </row>
    <row r="78" spans="1:24" s="136" customFormat="1" hidden="1">
      <c r="A78" s="58">
        <v>41640</v>
      </c>
      <c r="B78" s="58"/>
      <c r="C78" s="75">
        <f>Population!DK318+Population!DL318+Population!DM318+Population!DN318</f>
        <v>255883</v>
      </c>
      <c r="D78" s="63">
        <f t="shared" ref="D78" si="145">(C78-C77)/C77</f>
        <v>-4.6841591608370772E-2</v>
      </c>
      <c r="E78" s="115">
        <f t="shared" ref="E78" si="146">C78-C77</f>
        <v>-12575</v>
      </c>
      <c r="F78" s="75">
        <f>SUM(Population!DO318:'Population'!DT318)</f>
        <v>614846</v>
      </c>
      <c r="G78" s="63">
        <f t="shared" ref="G78" si="147">(F78-F77)/F77</f>
        <v>-4.4092239085834943E-3</v>
      </c>
      <c r="H78" s="115">
        <f t="shared" ref="H78" si="148">F78-F77</f>
        <v>-2723</v>
      </c>
      <c r="I78" s="86">
        <f t="shared" si="100"/>
        <v>870729</v>
      </c>
      <c r="J78" s="63">
        <f t="shared" si="138"/>
        <v>-1.7265839528592244E-2</v>
      </c>
      <c r="K78" s="115">
        <f t="shared" si="139"/>
        <v>-15298</v>
      </c>
      <c r="L78" s="88"/>
      <c r="M78" s="1"/>
      <c r="N78" s="75">
        <f>SUM(Population!H318:L318,Population!CG318)</f>
        <v>114900</v>
      </c>
      <c r="O78" s="75">
        <f>Population!G318</f>
        <v>1351</v>
      </c>
      <c r="P78" s="86">
        <f t="shared" ref="P78" si="149">SUM(N78:O78)</f>
        <v>116251</v>
      </c>
      <c r="Q78" s="87">
        <f t="shared" si="141"/>
        <v>1.2648193799597557E-2</v>
      </c>
      <c r="R78" s="115">
        <f t="shared" si="142"/>
        <v>1452</v>
      </c>
      <c r="S78" s="89"/>
      <c r="T78" s="1"/>
      <c r="U78" s="78">
        <f t="shared" si="133"/>
        <v>986980</v>
      </c>
      <c r="V78" s="63">
        <f t="shared" si="143"/>
        <v>-1.3834572642996885E-2</v>
      </c>
      <c r="W78" s="115">
        <f t="shared" si="144"/>
        <v>-13846</v>
      </c>
    </row>
    <row r="79" spans="1:24" s="136" customFormat="1" hidden="1">
      <c r="A79" s="58">
        <v>41671</v>
      </c>
      <c r="B79" s="58"/>
      <c r="C79" s="75">
        <f>Population!DK319+Population!DL319+Population!DM319+Population!DN319</f>
        <v>265385</v>
      </c>
      <c r="D79" s="63">
        <f t="shared" ref="D79" si="150">(C79-C78)/C78</f>
        <v>3.7134158971092256E-2</v>
      </c>
      <c r="E79" s="115">
        <f t="shared" ref="E79" si="151">C79-C78</f>
        <v>9502</v>
      </c>
      <c r="F79" s="75">
        <f>SUM(Population!DO319:'Population'!DT319)</f>
        <v>617094</v>
      </c>
      <c r="G79" s="63">
        <f t="shared" ref="G79" si="152">(F79-F78)/F78</f>
        <v>3.6562000891280093E-3</v>
      </c>
      <c r="H79" s="115">
        <f t="shared" ref="H79" si="153">F79-F78</f>
        <v>2248</v>
      </c>
      <c r="I79" s="86">
        <f t="shared" ref="I79" si="154">C79+F79</f>
        <v>882479</v>
      </c>
      <c r="J79" s="63">
        <f t="shared" ref="J79" si="155">(I79-I78)/I78</f>
        <v>1.3494439716605281E-2</v>
      </c>
      <c r="K79" s="115">
        <f t="shared" ref="K79" si="156">I79-I78</f>
        <v>11750</v>
      </c>
      <c r="L79" s="88"/>
      <c r="M79" s="1"/>
      <c r="N79" s="75">
        <f>SUM(Population!H319:L319,Population!CG319)</f>
        <v>115400</v>
      </c>
      <c r="O79" s="75">
        <f>Population!G319</f>
        <v>1236</v>
      </c>
      <c r="P79" s="86">
        <f t="shared" ref="P79" si="157">SUM(N79:O79)</f>
        <v>116636</v>
      </c>
      <c r="Q79" s="87">
        <f t="shared" ref="Q79" si="158">(P79-P78)/P78</f>
        <v>3.3117994683916699E-3</v>
      </c>
      <c r="R79" s="115">
        <f t="shared" ref="R79" si="159">P79-P78</f>
        <v>385</v>
      </c>
      <c r="S79" s="89"/>
      <c r="T79" s="1"/>
      <c r="U79" s="78">
        <f t="shared" si="133"/>
        <v>999115</v>
      </c>
      <c r="V79" s="63">
        <f>(U79-U78)/U78</f>
        <v>1.2295081967213115E-2</v>
      </c>
      <c r="W79" s="115">
        <f t="shared" ref="W79" si="160">U79-U78</f>
        <v>12135</v>
      </c>
      <c r="X79" s="36"/>
    </row>
    <row r="80" spans="1:24" s="136" customFormat="1" hidden="1">
      <c r="A80" s="58">
        <v>41699</v>
      </c>
      <c r="B80" s="58"/>
      <c r="C80" s="75">
        <f>Population!DK320+Population!DL320+Population!DM320+Population!DN320</f>
        <v>266837</v>
      </c>
      <c r="D80" s="63">
        <f t="shared" ref="D80" si="161">(C80-C79)/C79</f>
        <v>5.4712964184109878E-3</v>
      </c>
      <c r="E80" s="115">
        <f t="shared" ref="E80" si="162">C80-C79</f>
        <v>1452</v>
      </c>
      <c r="F80" s="75">
        <f>SUM(Population!DO320:'Population'!DT320)</f>
        <v>620542</v>
      </c>
      <c r="G80" s="63">
        <f t="shared" ref="G80" si="163">(F80-F79)/F79</f>
        <v>5.5874793791545535E-3</v>
      </c>
      <c r="H80" s="115">
        <f t="shared" ref="H80" si="164">F80-F79</f>
        <v>3448</v>
      </c>
      <c r="I80" s="86">
        <f t="shared" ref="I80" si="165">C80+F80</f>
        <v>887379</v>
      </c>
      <c r="J80" s="63">
        <f t="shared" ref="J80" si="166">(I80-I79)/I79</f>
        <v>5.5525400604433646E-3</v>
      </c>
      <c r="K80" s="115">
        <f t="shared" ref="K80" si="167">I80-I79</f>
        <v>4900</v>
      </c>
      <c r="L80" s="88"/>
      <c r="M80" s="1"/>
      <c r="N80" s="75">
        <f>SUM(Population!H320:L320,Population!CG320)</f>
        <v>113086</v>
      </c>
      <c r="O80" s="75">
        <f>Population!G320</f>
        <v>1014</v>
      </c>
      <c r="P80" s="86">
        <f t="shared" ref="P80" si="168">SUM(N80:O80)</f>
        <v>114100</v>
      </c>
      <c r="Q80" s="87">
        <f t="shared" ref="Q80" si="169">(P80-P79)/P79</f>
        <v>-2.174285812270654E-2</v>
      </c>
      <c r="R80" s="115">
        <f t="shared" ref="R80" si="170">P80-P79</f>
        <v>-2536</v>
      </c>
      <c r="S80" s="89"/>
      <c r="T80" s="1"/>
      <c r="U80" s="78">
        <f t="shared" si="133"/>
        <v>1001479</v>
      </c>
      <c r="V80" s="63">
        <f>(U80-U79)/U79</f>
        <v>2.3660939931839679E-3</v>
      </c>
      <c r="W80" s="115">
        <f t="shared" ref="W80" si="171">U80-U79</f>
        <v>2364</v>
      </c>
      <c r="X80" s="36"/>
    </row>
    <row r="81" spans="1:24" s="136" customFormat="1" hidden="1">
      <c r="A81" s="58">
        <v>41730</v>
      </c>
      <c r="B81" s="58"/>
      <c r="C81" s="75">
        <f>Population!DK321+Population!DL321+Population!DM321+Population!DN321</f>
        <v>267291</v>
      </c>
      <c r="D81" s="63">
        <f t="shared" ref="D81" si="172">(C81-C80)/C80</f>
        <v>1.7014132223042531E-3</v>
      </c>
      <c r="E81" s="115">
        <f t="shared" ref="E81" si="173">C81-C80</f>
        <v>454</v>
      </c>
      <c r="F81" s="75">
        <f>SUM(Population!DO321:'Population'!DT321)</f>
        <v>624162</v>
      </c>
      <c r="G81" s="63">
        <f t="shared" ref="G81" si="174">(F81-F80)/F80</f>
        <v>5.8336099732169619E-3</v>
      </c>
      <c r="H81" s="115">
        <f t="shared" ref="H81" si="175">F81-F80</f>
        <v>3620</v>
      </c>
      <c r="I81" s="86">
        <f t="shared" ref="I81" si="176">C81+F81</f>
        <v>891453</v>
      </c>
      <c r="J81" s="63">
        <f t="shared" ref="J81" si="177">(I81-I80)/I80</f>
        <v>4.5910484697068562E-3</v>
      </c>
      <c r="K81" s="115">
        <f t="shared" ref="K81" si="178">I81-I80</f>
        <v>4074</v>
      </c>
      <c r="L81" s="88"/>
      <c r="M81" s="1"/>
      <c r="N81" s="75">
        <f>SUM(Population!H321:L321,Population!CG321)</f>
        <v>112732</v>
      </c>
      <c r="O81" s="75">
        <f>Population!G321</f>
        <v>814</v>
      </c>
      <c r="P81" s="86">
        <f t="shared" ref="P81" si="179">SUM(N81:O81)</f>
        <v>113546</v>
      </c>
      <c r="Q81" s="87">
        <f t="shared" ref="Q81" si="180">(P81-P80)/P80</f>
        <v>-4.8553900087642422E-3</v>
      </c>
      <c r="R81" s="115">
        <f t="shared" ref="R81" si="181">P81-P80</f>
        <v>-554</v>
      </c>
      <c r="S81" s="89"/>
      <c r="T81" s="1"/>
      <c r="U81" s="78">
        <f t="shared" si="133"/>
        <v>1004999</v>
      </c>
      <c r="V81" s="63">
        <f>(U81-U80)/U80</f>
        <v>3.5148016084211452E-3</v>
      </c>
      <c r="W81" s="115">
        <f t="shared" ref="W81" si="182">U81-U80</f>
        <v>3520</v>
      </c>
    </row>
    <row r="82" spans="1:24" s="136" customFormat="1" hidden="1">
      <c r="A82" s="58">
        <v>41760</v>
      </c>
      <c r="B82" s="58"/>
      <c r="C82" s="75">
        <f>Population!DK322+Population!DL322+Population!DM322+Population!DN322</f>
        <v>268075</v>
      </c>
      <c r="D82" s="63">
        <f t="shared" ref="D82" si="183">(C82-C81)/C81</f>
        <v>2.9331328028253849E-3</v>
      </c>
      <c r="E82" s="115">
        <f t="shared" ref="E82" si="184">C82-C81</f>
        <v>784</v>
      </c>
      <c r="F82" s="75">
        <f>SUM(Population!DO322:'Population'!DT322)</f>
        <v>632165</v>
      </c>
      <c r="G82" s="63">
        <f t="shared" ref="G82" si="185">(F82-F81)/F81</f>
        <v>1.2821991726506901E-2</v>
      </c>
      <c r="H82" s="115">
        <f t="shared" ref="H82" si="186">F82-F81</f>
        <v>8003</v>
      </c>
      <c r="I82" s="86">
        <f t="shared" ref="I82" si="187">C82+F82</f>
        <v>900240</v>
      </c>
      <c r="J82" s="63">
        <f t="shared" ref="J82" si="188">(I82-I81)/I81</f>
        <v>9.8569414203553071E-3</v>
      </c>
      <c r="K82" s="115">
        <f t="shared" ref="K82" si="189">I82-I81</f>
        <v>8787</v>
      </c>
      <c r="L82" s="88"/>
      <c r="M82" s="1"/>
      <c r="N82" s="75">
        <f>SUM(Population!H322:L322,Population!CG322)</f>
        <v>114765</v>
      </c>
      <c r="O82" s="75">
        <f>Population!G322</f>
        <v>634</v>
      </c>
      <c r="P82" s="86">
        <f t="shared" ref="P82" si="190">SUM(N82:O82)</f>
        <v>115399</v>
      </c>
      <c r="Q82" s="87">
        <f t="shared" ref="Q82" si="191">(P82-P81)/P81</f>
        <v>1.6319377168724569E-2</v>
      </c>
      <c r="R82" s="115">
        <f t="shared" ref="R82" si="192">P82-P81</f>
        <v>1853</v>
      </c>
      <c r="S82" s="89"/>
      <c r="T82" s="1"/>
      <c r="U82" s="78">
        <f t="shared" ref="U82" si="193">I82+P82</f>
        <v>1015639</v>
      </c>
      <c r="V82" s="63">
        <f>(U82-U81)/U81</f>
        <v>1.0587075211020111E-2</v>
      </c>
      <c r="W82" s="115">
        <f t="shared" ref="W82" si="194">U82-U81</f>
        <v>10640</v>
      </c>
      <c r="X82" s="151"/>
    </row>
    <row r="83" spans="1:24" s="136" customFormat="1" hidden="1">
      <c r="A83" s="58">
        <v>41791</v>
      </c>
      <c r="B83" s="58"/>
      <c r="C83" s="75">
        <f>Population!DK323+Population!DL323+Population!DM323+Population!DN323</f>
        <v>269008</v>
      </c>
      <c r="D83" s="63">
        <f t="shared" ref="D83" si="195">(C83-C82)/C82</f>
        <v>3.4803692996362959E-3</v>
      </c>
      <c r="E83" s="115">
        <f t="shared" ref="E83" si="196">C83-C82</f>
        <v>933</v>
      </c>
      <c r="F83" s="75">
        <f>SUM(Population!DO323:'Population'!DT323)</f>
        <v>637566</v>
      </c>
      <c r="G83" s="63">
        <f t="shared" ref="G83" si="197">(F83-F82)/F82</f>
        <v>8.5436555329700316E-3</v>
      </c>
      <c r="H83" s="115">
        <f t="shared" ref="H83" si="198">F83-F82</f>
        <v>5401</v>
      </c>
      <c r="I83" s="86">
        <f t="shared" ref="I83" si="199">C83+F83</f>
        <v>906574</v>
      </c>
      <c r="J83" s="63">
        <f t="shared" ref="J83" si="200">(I83-I82)/I82</f>
        <v>7.0359015373678132E-3</v>
      </c>
      <c r="K83" s="115">
        <f t="shared" ref="K83" si="201">I83-I82</f>
        <v>6334</v>
      </c>
      <c r="L83" s="88"/>
      <c r="M83" s="1"/>
      <c r="N83" s="75">
        <f>SUM(Population!H323:L323,Population!CG323)</f>
        <v>115563</v>
      </c>
      <c r="O83" s="75">
        <f>Population!G323</f>
        <v>452</v>
      </c>
      <c r="P83" s="86">
        <f t="shared" ref="P83" si="202">SUM(N83:O83)</f>
        <v>116015</v>
      </c>
      <c r="Q83" s="87">
        <f t="shared" ref="Q83" si="203">(P83-P82)/P82</f>
        <v>5.3380011958509173E-3</v>
      </c>
      <c r="R83" s="115">
        <f t="shared" ref="R83" si="204">P83-P82</f>
        <v>616</v>
      </c>
      <c r="S83" s="89"/>
      <c r="T83" s="1"/>
      <c r="U83" s="78">
        <f>I83+P83</f>
        <v>1022589</v>
      </c>
      <c r="V83" s="63">
        <f>(U83-U82)/U82</f>
        <v>6.842982595193765E-3</v>
      </c>
      <c r="W83" s="115">
        <f t="shared" ref="W83" si="205">U83-U82</f>
        <v>6950</v>
      </c>
      <c r="X83" s="171"/>
    </row>
    <row r="84" spans="1:24" s="172" customFormat="1" ht="7.5" hidden="1" customHeight="1">
      <c r="A84" s="58"/>
      <c r="B84" s="58"/>
      <c r="M84" s="1"/>
      <c r="T84" s="1"/>
      <c r="V84" s="63"/>
      <c r="W84" s="115"/>
    </row>
    <row r="85" spans="1:24" s="172" customFormat="1" hidden="1">
      <c r="A85" s="58">
        <v>41821</v>
      </c>
      <c r="B85" s="58"/>
      <c r="C85" s="75">
        <f>Population!DK324+Population!DL324+Population!DM324+Population!DN324</f>
        <v>269689</v>
      </c>
      <c r="D85" s="63">
        <f>(C85-C83)/C83</f>
        <v>2.5315232260750609E-3</v>
      </c>
      <c r="E85" s="115">
        <f>C85-C83</f>
        <v>681</v>
      </c>
      <c r="F85" s="75">
        <f>SUM(Population!DO324:'Population'!DT324)</f>
        <v>641130</v>
      </c>
      <c r="G85" s="63">
        <f>(F85-F83)/F83</f>
        <v>5.5900095048983167E-3</v>
      </c>
      <c r="H85" s="115">
        <f>F85-F83</f>
        <v>3564</v>
      </c>
      <c r="I85" s="86">
        <f t="shared" ref="I85" si="206">C85+F85</f>
        <v>910819</v>
      </c>
      <c r="J85" s="63">
        <f>(I85-I83)/I83</f>
        <v>4.682463869469012E-3</v>
      </c>
      <c r="K85" s="115">
        <f>I85-I83</f>
        <v>4245</v>
      </c>
      <c r="L85" s="88"/>
      <c r="M85" s="1"/>
      <c r="N85" s="75">
        <f>SUM(Population!H324:L324,Population!O324,Population!CG324)</f>
        <v>115493</v>
      </c>
      <c r="O85" s="75">
        <f>Population!G324</f>
        <v>287</v>
      </c>
      <c r="P85" s="86">
        <f t="shared" ref="P85" si="207">SUM(N85:O85)</f>
        <v>115780</v>
      </c>
      <c r="Q85" s="87">
        <f>(P85-P83)/P83</f>
        <v>-2.0256001379132011E-3</v>
      </c>
      <c r="R85" s="115">
        <f>P85-P83</f>
        <v>-235</v>
      </c>
      <c r="S85" s="89"/>
      <c r="T85" s="1"/>
      <c r="U85" s="78">
        <f t="shared" ref="U85:U90" si="208">I85+P85</f>
        <v>1026599</v>
      </c>
      <c r="V85" s="63">
        <f>(U85-U83)/U83</f>
        <v>3.9214190647464424E-3</v>
      </c>
      <c r="W85" s="115">
        <f>U85-U83</f>
        <v>4010</v>
      </c>
    </row>
    <row r="86" spans="1:24" s="172" customFormat="1" hidden="1">
      <c r="A86" s="58">
        <v>41852</v>
      </c>
      <c r="B86" s="58"/>
      <c r="C86" s="75">
        <f>Population!DK325+Population!DL325+Population!DM325+Population!DN325</f>
        <v>270000</v>
      </c>
      <c r="D86" s="63">
        <f t="shared" ref="D86:D91" si="209">(C86-C85)/C85</f>
        <v>1.1531801445368553E-3</v>
      </c>
      <c r="E86" s="115">
        <f t="shared" ref="E86:E91" si="210">C86-C85</f>
        <v>311</v>
      </c>
      <c r="F86" s="75">
        <f>SUM(Population!DO325:'Population'!DT325)</f>
        <v>644206</v>
      </c>
      <c r="G86" s="63">
        <f t="shared" ref="G86:G91" si="211">(F86-F85)/F85</f>
        <v>4.7977789215915652E-3</v>
      </c>
      <c r="H86" s="115">
        <f t="shared" ref="H86:H91" si="212">F86-F85</f>
        <v>3076</v>
      </c>
      <c r="I86" s="86">
        <f t="shared" ref="I86" si="213">C86+F86</f>
        <v>914206</v>
      </c>
      <c r="J86" s="63">
        <f t="shared" ref="J86:J91" si="214">(I86-I85)/I85</f>
        <v>3.7186312538495573E-3</v>
      </c>
      <c r="K86" s="115">
        <f t="shared" ref="K86:K91" si="215">I86-I85</f>
        <v>3387</v>
      </c>
      <c r="L86" s="88"/>
      <c r="M86" s="1"/>
      <c r="N86" s="75">
        <f>SUM(Population!H325:L325,Population!O325,Population!CG325)</f>
        <v>114813</v>
      </c>
      <c r="O86" s="75">
        <f>Population!G325</f>
        <v>170</v>
      </c>
      <c r="P86" s="86">
        <f t="shared" ref="P86" si="216">SUM(N86:O86)</f>
        <v>114983</v>
      </c>
      <c r="Q86" s="87">
        <f t="shared" ref="Q86:Q91" si="217">(P86-P85)/P85</f>
        <v>-6.8837450336845744E-3</v>
      </c>
      <c r="R86" s="115">
        <f t="shared" ref="R86:R91" si="218">P86-P85</f>
        <v>-797</v>
      </c>
      <c r="S86" s="89"/>
      <c r="T86" s="1"/>
      <c r="U86" s="78">
        <f t="shared" si="208"/>
        <v>1029189</v>
      </c>
      <c r="V86" s="63">
        <f t="shared" ref="V86:V91" si="219">(U86-U85)/U85</f>
        <v>2.5228935543479001E-3</v>
      </c>
      <c r="W86" s="115">
        <f t="shared" ref="W86:W91" si="220">U86-U85</f>
        <v>2590</v>
      </c>
      <c r="X86" s="175"/>
    </row>
    <row r="87" spans="1:24" s="172" customFormat="1" hidden="1">
      <c r="A87" s="58">
        <v>41883</v>
      </c>
      <c r="B87" s="58"/>
      <c r="C87" s="75">
        <f>Population!DK326+Population!DL326+Population!DM326+Population!DN326</f>
        <v>270009</v>
      </c>
      <c r="D87" s="63">
        <f t="shared" si="209"/>
        <v>3.3333333333333335E-5</v>
      </c>
      <c r="E87" s="115">
        <f t="shared" si="210"/>
        <v>9</v>
      </c>
      <c r="F87" s="75">
        <f>SUM(Population!DO326:'Population'!DT326)</f>
        <v>640041</v>
      </c>
      <c r="G87" s="63">
        <f t="shared" si="211"/>
        <v>-6.4653232040682643E-3</v>
      </c>
      <c r="H87" s="115">
        <f t="shared" si="212"/>
        <v>-4165</v>
      </c>
      <c r="I87" s="86">
        <f t="shared" ref="I87" si="221">C87+F87</f>
        <v>910050</v>
      </c>
      <c r="J87" s="63">
        <f t="shared" si="214"/>
        <v>-4.5460213562369973E-3</v>
      </c>
      <c r="K87" s="115">
        <f t="shared" si="215"/>
        <v>-4156</v>
      </c>
      <c r="L87" s="88"/>
      <c r="M87" s="1"/>
      <c r="N87" s="75">
        <f>SUM(Population!H326:L326,Population!O326,Population!CG326)</f>
        <v>112481</v>
      </c>
      <c r="O87" s="75">
        <f>Population!G326</f>
        <v>83</v>
      </c>
      <c r="P87" s="86">
        <f t="shared" ref="P87" si="222">SUM(N87:O87)</f>
        <v>112564</v>
      </c>
      <c r="Q87" s="87">
        <f t="shared" si="217"/>
        <v>-2.1037892558030319E-2</v>
      </c>
      <c r="R87" s="115">
        <f t="shared" si="218"/>
        <v>-2419</v>
      </c>
      <c r="S87" s="89"/>
      <c r="T87" s="1"/>
      <c r="U87" s="78">
        <f t="shared" si="208"/>
        <v>1022614</v>
      </c>
      <c r="V87" s="63">
        <f t="shared" si="219"/>
        <v>-6.3885253340251399E-3</v>
      </c>
      <c r="W87" s="115">
        <f t="shared" si="220"/>
        <v>-6575</v>
      </c>
      <c r="X87" s="176"/>
    </row>
    <row r="88" spans="1:24" s="172" customFormat="1" hidden="1">
      <c r="A88" s="58">
        <v>41913</v>
      </c>
      <c r="B88" s="58"/>
      <c r="C88" s="75">
        <f>Population!DK327+Population!DL327+Population!DM327+Population!DN327</f>
        <v>270792</v>
      </c>
      <c r="D88" s="63">
        <f t="shared" si="209"/>
        <v>2.8999033365554481E-3</v>
      </c>
      <c r="E88" s="115">
        <f t="shared" si="210"/>
        <v>783</v>
      </c>
      <c r="F88" s="75">
        <f>SUM(Population!DO327:'Population'!DT327)</f>
        <v>649023</v>
      </c>
      <c r="G88" s="63">
        <f t="shared" si="211"/>
        <v>1.4033475980445003E-2</v>
      </c>
      <c r="H88" s="115">
        <f t="shared" si="212"/>
        <v>8982</v>
      </c>
      <c r="I88" s="86">
        <f t="shared" ref="I88" si="223">C88+F88</f>
        <v>919815</v>
      </c>
      <c r="J88" s="63">
        <f t="shared" si="214"/>
        <v>1.0730179660458217E-2</v>
      </c>
      <c r="K88" s="115">
        <f t="shared" si="215"/>
        <v>9765</v>
      </c>
      <c r="L88" s="88"/>
      <c r="M88" s="1"/>
      <c r="N88" s="75">
        <f>SUM(Population!H327:L327,Population!O327,Population!CG327)</f>
        <v>112108</v>
      </c>
      <c r="O88" s="75">
        <f>Population!G327</f>
        <v>23</v>
      </c>
      <c r="P88" s="86">
        <f t="shared" ref="P88" si="224">SUM(N88:O88)</f>
        <v>112131</v>
      </c>
      <c r="Q88" s="87">
        <f t="shared" si="217"/>
        <v>-3.8467005436907003E-3</v>
      </c>
      <c r="R88" s="115">
        <f t="shared" si="218"/>
        <v>-433</v>
      </c>
      <c r="S88" s="89"/>
      <c r="T88" s="1"/>
      <c r="U88" s="78">
        <f t="shared" si="208"/>
        <v>1031946</v>
      </c>
      <c r="V88" s="63">
        <f t="shared" si="219"/>
        <v>9.1256329367679304E-3</v>
      </c>
      <c r="W88" s="115">
        <f t="shared" si="220"/>
        <v>9332</v>
      </c>
      <c r="X88" s="177"/>
    </row>
    <row r="89" spans="1:24" s="172" customFormat="1" hidden="1">
      <c r="A89" s="58">
        <v>41944</v>
      </c>
      <c r="B89" s="58"/>
      <c r="C89" s="75">
        <f>Population!DK328+Population!DL328+Population!DM328+Population!DN328</f>
        <v>271765</v>
      </c>
      <c r="D89" s="63">
        <f t="shared" si="209"/>
        <v>3.5931637566840968E-3</v>
      </c>
      <c r="E89" s="115">
        <f t="shared" si="210"/>
        <v>973</v>
      </c>
      <c r="F89" s="75">
        <f>SUM(Population!DO328:'Population'!DT328)</f>
        <v>659501</v>
      </c>
      <c r="G89" s="63">
        <f t="shared" si="211"/>
        <v>1.6144266073775504E-2</v>
      </c>
      <c r="H89" s="115">
        <f t="shared" si="212"/>
        <v>10478</v>
      </c>
      <c r="I89" s="86">
        <f t="shared" ref="I89" si="225">C89+F89</f>
        <v>931266</v>
      </c>
      <c r="J89" s="63">
        <f t="shared" si="214"/>
        <v>1.2449242510722264E-2</v>
      </c>
      <c r="K89" s="115">
        <f t="shared" si="215"/>
        <v>11451</v>
      </c>
      <c r="L89" s="88"/>
      <c r="M89" s="1"/>
      <c r="N89" s="75">
        <f>SUM(Population!H328:L328,Population!O328,Population!CG328)</f>
        <v>111085</v>
      </c>
      <c r="O89" s="75">
        <f>Population!G328</f>
        <v>7</v>
      </c>
      <c r="P89" s="86">
        <f t="shared" ref="P89" si="226">SUM(N89:O89)</f>
        <v>111092</v>
      </c>
      <c r="Q89" s="87">
        <f t="shared" si="217"/>
        <v>-9.2659478645512831E-3</v>
      </c>
      <c r="R89" s="115">
        <f t="shared" si="218"/>
        <v>-1039</v>
      </c>
      <c r="S89" s="89"/>
      <c r="T89" s="1"/>
      <c r="U89" s="78">
        <f t="shared" si="208"/>
        <v>1042358</v>
      </c>
      <c r="V89" s="63">
        <f t="shared" si="219"/>
        <v>1.0089675234944464E-2</v>
      </c>
      <c r="W89" s="115">
        <f t="shared" si="220"/>
        <v>10412</v>
      </c>
      <c r="X89" s="178"/>
    </row>
    <row r="90" spans="1:24" s="172" customFormat="1" hidden="1">
      <c r="A90" s="58">
        <v>41974</v>
      </c>
      <c r="B90" s="58"/>
      <c r="C90" s="75">
        <f>Population!DK329+Population!DL329+Population!DM329+Population!DN329</f>
        <v>271747</v>
      </c>
      <c r="D90" s="63">
        <f t="shared" si="209"/>
        <v>-6.623369455227862E-5</v>
      </c>
      <c r="E90" s="115">
        <f t="shared" si="210"/>
        <v>-18</v>
      </c>
      <c r="F90" s="75">
        <f>SUM(Population!DO329:'Population'!DT329)</f>
        <v>658590</v>
      </c>
      <c r="G90" s="63">
        <f t="shared" si="211"/>
        <v>-1.38134741266503E-3</v>
      </c>
      <c r="H90" s="115">
        <f t="shared" si="212"/>
        <v>-911</v>
      </c>
      <c r="I90" s="86">
        <f t="shared" ref="I90" si="227">C90+F90</f>
        <v>930337</v>
      </c>
      <c r="J90" s="63">
        <f t="shared" si="214"/>
        <v>-9.9756675321551521E-4</v>
      </c>
      <c r="K90" s="115">
        <f t="shared" si="215"/>
        <v>-929</v>
      </c>
      <c r="L90" s="88"/>
      <c r="M90" s="1"/>
      <c r="N90" s="75">
        <f>SUM(Population!H329:L329,Population!O329,Population!CG329)</f>
        <v>109627</v>
      </c>
      <c r="O90" s="75">
        <f>Population!G329</f>
        <v>3</v>
      </c>
      <c r="P90" s="86">
        <f t="shared" ref="P90" si="228">SUM(N90:O90)</f>
        <v>109630</v>
      </c>
      <c r="Q90" s="87">
        <f t="shared" si="217"/>
        <v>-1.3160263565333237E-2</v>
      </c>
      <c r="R90" s="115">
        <f t="shared" si="218"/>
        <v>-1462</v>
      </c>
      <c r="S90" s="89"/>
      <c r="T90" s="1"/>
      <c r="U90" s="78">
        <f t="shared" si="208"/>
        <v>1039967</v>
      </c>
      <c r="V90" s="63">
        <f t="shared" si="219"/>
        <v>-2.2938376258444795E-3</v>
      </c>
      <c r="W90" s="115">
        <f t="shared" si="220"/>
        <v>-2391</v>
      </c>
      <c r="X90" s="179"/>
    </row>
    <row r="91" spans="1:24" s="172" customFormat="1" hidden="1">
      <c r="A91" s="58">
        <v>42005</v>
      </c>
      <c r="B91" s="58"/>
      <c r="C91" s="75">
        <f>Population!DK330+Population!DL330+Population!DM330+Population!DN330</f>
        <v>260203</v>
      </c>
      <c r="D91" s="63">
        <f t="shared" si="209"/>
        <v>-4.2480689759224574E-2</v>
      </c>
      <c r="E91" s="115">
        <f t="shared" si="210"/>
        <v>-11544</v>
      </c>
      <c r="F91" s="75">
        <f>SUM(Population!DO330:'Population'!DT330)</f>
        <v>659321</v>
      </c>
      <c r="G91" s="63">
        <f t="shared" si="211"/>
        <v>1.1099470080019435E-3</v>
      </c>
      <c r="H91" s="115">
        <f t="shared" si="212"/>
        <v>731</v>
      </c>
      <c r="I91" s="86">
        <f t="shared" ref="I91" si="229">C91+F91</f>
        <v>919524</v>
      </c>
      <c r="J91" s="63">
        <f t="shared" si="214"/>
        <v>-1.1622670064718484E-2</v>
      </c>
      <c r="K91" s="115">
        <f t="shared" si="215"/>
        <v>-10813</v>
      </c>
      <c r="L91" s="88"/>
      <c r="M91" s="1"/>
      <c r="N91" s="75">
        <f>SUM(Population!H330:L330,Population!O330,Population!CG330)</f>
        <v>108724</v>
      </c>
      <c r="O91" s="75">
        <f>Population!G330</f>
        <v>173</v>
      </c>
      <c r="P91" s="86">
        <f t="shared" ref="P91" si="230">SUM(N91:O91)</f>
        <v>108897</v>
      </c>
      <c r="Q91" s="87">
        <f t="shared" si="217"/>
        <v>-6.6861260603849311E-3</v>
      </c>
      <c r="R91" s="115">
        <f t="shared" si="218"/>
        <v>-733</v>
      </c>
      <c r="S91" s="89"/>
      <c r="T91" s="1"/>
      <c r="U91" s="78">
        <f t="shared" ref="U91" si="231">I91+P91</f>
        <v>1028421</v>
      </c>
      <c r="V91" s="63">
        <f t="shared" si="219"/>
        <v>-1.1102275360660482E-2</v>
      </c>
      <c r="W91" s="115">
        <f t="shared" si="220"/>
        <v>-11546</v>
      </c>
      <c r="X91" s="180"/>
    </row>
    <row r="92" spans="1:24" s="172" customFormat="1" hidden="1">
      <c r="A92" s="58">
        <v>42036</v>
      </c>
      <c r="B92" s="58"/>
      <c r="C92" s="75">
        <f>Population!DK331+Population!DL331+Population!DM331+Population!DN331</f>
        <v>269202</v>
      </c>
      <c r="D92" s="63">
        <f t="shared" ref="D92" si="232">(C92-C91)/C91</f>
        <v>3.4584535920031668E-2</v>
      </c>
      <c r="E92" s="115">
        <f t="shared" ref="E92" si="233">C92-C91</f>
        <v>8999</v>
      </c>
      <c r="F92" s="75">
        <f>SUM(Population!DO331:'Population'!DT331)</f>
        <v>671165</v>
      </c>
      <c r="G92" s="63">
        <f t="shared" ref="G92" si="234">(F92-F91)/F91</f>
        <v>1.7963935624680544E-2</v>
      </c>
      <c r="H92" s="115">
        <f t="shared" ref="H92" si="235">F92-F91</f>
        <v>11844</v>
      </c>
      <c r="I92" s="86">
        <f t="shared" ref="I92" si="236">C92+F92</f>
        <v>940367</v>
      </c>
      <c r="J92" s="63">
        <f t="shared" ref="J92" si="237">(I92-I91)/I91</f>
        <v>2.2667162575419456E-2</v>
      </c>
      <c r="K92" s="115">
        <f t="shared" ref="K92" si="238">I92-I91</f>
        <v>20843</v>
      </c>
      <c r="L92" s="88"/>
      <c r="M92" s="1"/>
      <c r="N92" s="75">
        <f>SUM(Population!H331:L331,Population!O331,Population!CG331)</f>
        <v>109049</v>
      </c>
      <c r="O92" s="75">
        <f>Population!G331</f>
        <v>326</v>
      </c>
      <c r="P92" s="86">
        <f t="shared" ref="P92" si="239">SUM(N92:O92)</f>
        <v>109375</v>
      </c>
      <c r="Q92" s="87">
        <f t="shared" ref="Q92" si="240">(P92-P91)/P91</f>
        <v>4.3894689477212414E-3</v>
      </c>
      <c r="R92" s="115">
        <f t="shared" ref="R92" si="241">P92-P91</f>
        <v>478</v>
      </c>
      <c r="S92" s="89"/>
      <c r="T92" s="1"/>
      <c r="U92" s="78">
        <f t="shared" ref="U92" si="242">I92+P92</f>
        <v>1049742</v>
      </c>
      <c r="V92" s="63">
        <f t="shared" ref="V92" si="243">(U92-U91)/U91</f>
        <v>2.0731782023120881E-2</v>
      </c>
      <c r="W92" s="115">
        <f t="shared" ref="W92" si="244">U92-U91</f>
        <v>21321</v>
      </c>
      <c r="X92" s="181"/>
    </row>
    <row r="93" spans="1:24" s="172" customFormat="1" hidden="1">
      <c r="A93" s="58">
        <v>42064</v>
      </c>
      <c r="B93" s="58"/>
      <c r="C93" s="75">
        <f>Population!DK332+Population!DL332+Population!DM332+Population!DN332</f>
        <v>270275</v>
      </c>
      <c r="D93" s="63">
        <f t="shared" ref="D93" si="245">(C93-C92)/C92</f>
        <v>3.9858544884510518E-3</v>
      </c>
      <c r="E93" s="115">
        <f t="shared" ref="E93" si="246">C93-C92</f>
        <v>1073</v>
      </c>
      <c r="F93" s="75">
        <f>SUM(Population!DO332:'Population'!DT332)</f>
        <v>678948</v>
      </c>
      <c r="G93" s="63">
        <f t="shared" ref="G93" si="247">(F93-F92)/F92</f>
        <v>1.1596254274284267E-2</v>
      </c>
      <c r="H93" s="115">
        <f t="shared" ref="H93" si="248">F93-F92</f>
        <v>7783</v>
      </c>
      <c r="I93" s="86">
        <f t="shared" ref="I93" si="249">C93+F93</f>
        <v>949223</v>
      </c>
      <c r="J93" s="63">
        <f t="shared" ref="J93" si="250">(I93-I92)/I92</f>
        <v>9.4175997243629347E-3</v>
      </c>
      <c r="K93" s="115">
        <f t="shared" ref="K93" si="251">I93-I92</f>
        <v>8856</v>
      </c>
      <c r="L93" s="88"/>
      <c r="M93" s="1"/>
      <c r="N93" s="75">
        <f>SUM(Population!H332:L332,Population!O332,Population!CG332)</f>
        <v>108304</v>
      </c>
      <c r="O93" s="75">
        <f>Population!G332</f>
        <v>493</v>
      </c>
      <c r="P93" s="86">
        <f t="shared" ref="P93" si="252">SUM(N93:O93)</f>
        <v>108797</v>
      </c>
      <c r="Q93" s="87">
        <f t="shared" ref="Q93" si="253">(P93-P92)/P92</f>
        <v>-5.2845714285714284E-3</v>
      </c>
      <c r="R93" s="115">
        <f t="shared" ref="R93" si="254">P93-P92</f>
        <v>-578</v>
      </c>
      <c r="S93" s="89"/>
      <c r="T93" s="1"/>
      <c r="U93" s="78">
        <f t="shared" ref="U93" si="255">I93+P93</f>
        <v>1058020</v>
      </c>
      <c r="V93" s="63">
        <f t="shared" ref="V93" si="256">(U93-U92)/U92</f>
        <v>7.8857471645413825E-3</v>
      </c>
      <c r="W93" s="115">
        <f t="shared" ref="W93" si="257">U93-U92</f>
        <v>8278</v>
      </c>
      <c r="X93" s="182"/>
    </row>
    <row r="94" spans="1:24" s="172" customFormat="1" hidden="1">
      <c r="A94" s="58">
        <v>42095</v>
      </c>
      <c r="B94" s="58"/>
      <c r="C94" s="75">
        <f>Population!DK333+Population!DL333+Population!DM333+Population!DN333</f>
        <v>271850</v>
      </c>
      <c r="D94" s="63">
        <f t="shared" ref="D94" si="258">(C94-C93)/C93</f>
        <v>5.827398020534641E-3</v>
      </c>
      <c r="E94" s="115">
        <f t="shared" ref="E94" si="259">C94-C93</f>
        <v>1575</v>
      </c>
      <c r="F94" s="75">
        <f>SUM(Population!DO333:'Population'!DT333)</f>
        <v>693527</v>
      </c>
      <c r="G94" s="63">
        <f t="shared" ref="G94" si="260">(F94-F93)/F93</f>
        <v>2.1472925761619445E-2</v>
      </c>
      <c r="H94" s="115">
        <f t="shared" ref="H94" si="261">F94-F93</f>
        <v>14579</v>
      </c>
      <c r="I94" s="86">
        <f t="shared" ref="I94" si="262">C94+F94</f>
        <v>965377</v>
      </c>
      <c r="J94" s="63">
        <f t="shared" ref="J94" si="263">(I94-I93)/I93</f>
        <v>1.7018129564917831E-2</v>
      </c>
      <c r="K94" s="115">
        <f t="shared" ref="K94" si="264">I94-I93</f>
        <v>16154</v>
      </c>
      <c r="L94" s="88"/>
      <c r="M94" s="1"/>
      <c r="N94" s="75">
        <f>SUM(Population!H333:L333,Population!O333,Population!CG333)</f>
        <v>107534</v>
      </c>
      <c r="O94" s="75">
        <f>Population!G333</f>
        <v>658</v>
      </c>
      <c r="P94" s="86">
        <f t="shared" ref="P94" si="265">SUM(N94:O94)</f>
        <v>108192</v>
      </c>
      <c r="Q94" s="87">
        <f t="shared" ref="Q94" si="266">(P94-P93)/P93</f>
        <v>-5.5608150960044858E-3</v>
      </c>
      <c r="R94" s="115">
        <f t="shared" ref="R94" si="267">P94-P93</f>
        <v>-605</v>
      </c>
      <c r="S94" s="89"/>
      <c r="T94" s="1"/>
      <c r="U94" s="78">
        <f t="shared" ref="U94" si="268">I94+P94</f>
        <v>1073569</v>
      </c>
      <c r="V94" s="63">
        <f t="shared" ref="V94" si="269">(U94-U93)/U93</f>
        <v>1.4696319540273341E-2</v>
      </c>
      <c r="W94" s="115">
        <f t="shared" ref="W94" si="270">U94-U93</f>
        <v>15549</v>
      </c>
      <c r="X94" s="185"/>
    </row>
    <row r="95" spans="1:24" s="172" customFormat="1" hidden="1">
      <c r="A95" s="58">
        <v>42125</v>
      </c>
      <c r="B95" s="58"/>
      <c r="C95" s="75">
        <f>Population!DK334+Population!DL334+Population!DM334+Population!DN334</f>
        <v>272434</v>
      </c>
      <c r="D95" s="63">
        <f t="shared" ref="D95" si="271">(C95-C94)/C94</f>
        <v>2.1482435166452086E-3</v>
      </c>
      <c r="E95" s="115">
        <f t="shared" ref="E95" si="272">C95-C94</f>
        <v>584</v>
      </c>
      <c r="F95" s="75">
        <f>SUM(Population!DO334:'Population'!DT334)</f>
        <v>702627</v>
      </c>
      <c r="G95" s="63">
        <f t="shared" ref="G95" si="273">(F95-F94)/F94</f>
        <v>1.312133485790748E-2</v>
      </c>
      <c r="H95" s="115">
        <f t="shared" ref="H95" si="274">F95-F94</f>
        <v>9100</v>
      </c>
      <c r="I95" s="86">
        <f t="shared" ref="I95" si="275">C95+F95</f>
        <v>975061</v>
      </c>
      <c r="J95" s="63">
        <f t="shared" ref="J95" si="276">(I95-I94)/I94</f>
        <v>1.0031314191243422E-2</v>
      </c>
      <c r="K95" s="115">
        <f t="shared" ref="K95" si="277">I95-I94</f>
        <v>9684</v>
      </c>
      <c r="L95" s="88"/>
      <c r="M95" s="1"/>
      <c r="N95" s="75">
        <f>SUM(Population!H334:L334,Population!O334,Population!CG334)</f>
        <v>105827</v>
      </c>
      <c r="O95" s="75">
        <f>Population!G334</f>
        <v>807</v>
      </c>
      <c r="P95" s="86">
        <f t="shared" ref="P95" si="278">SUM(N95:O95)</f>
        <v>106634</v>
      </c>
      <c r="Q95" s="87">
        <f t="shared" ref="Q95" si="279">(P95-P94)/P94</f>
        <v>-1.4400325347530317E-2</v>
      </c>
      <c r="R95" s="115">
        <f t="shared" ref="R95" si="280">P95-P94</f>
        <v>-1558</v>
      </c>
      <c r="S95" s="89"/>
      <c r="T95" s="1"/>
      <c r="U95" s="78">
        <f t="shared" ref="U95" si="281">I95+P95</f>
        <v>1081695</v>
      </c>
      <c r="V95" s="63">
        <f t="shared" ref="V95" si="282">(U95-U94)/U94</f>
        <v>7.5691455323318758E-3</v>
      </c>
      <c r="W95" s="115">
        <f t="shared" ref="W95" si="283">U95-U94</f>
        <v>8126</v>
      </c>
      <c r="X95" s="186"/>
    </row>
    <row r="96" spans="1:24" s="188" customFormat="1" hidden="1">
      <c r="A96" s="58">
        <v>42156</v>
      </c>
      <c r="B96" s="58"/>
      <c r="C96" s="75">
        <f>Population!DK335+Population!DL335+Population!DM335+Population!DN335</f>
        <v>272451</v>
      </c>
      <c r="D96" s="63">
        <f>(C96-C95)/C95</f>
        <v>6.2400434600673929E-5</v>
      </c>
      <c r="E96" s="115">
        <f>C96-C95</f>
        <v>17</v>
      </c>
      <c r="F96" s="75">
        <f>SUM(Population!DO335:'Population'!DT335)</f>
        <v>709171</v>
      </c>
      <c r="G96" s="63">
        <f>(F96-F95)/F95</f>
        <v>9.3136187479274206E-3</v>
      </c>
      <c r="H96" s="115">
        <f>F96-F95</f>
        <v>6544</v>
      </c>
      <c r="I96" s="86">
        <f t="shared" ref="I96" si="284">C96+F96</f>
        <v>981622</v>
      </c>
      <c r="J96" s="63">
        <f>(I96-I95)/I95</f>
        <v>6.7288097872851031E-3</v>
      </c>
      <c r="K96" s="115">
        <f>I96-I95</f>
        <v>6561</v>
      </c>
      <c r="L96" s="88"/>
      <c r="M96" s="1"/>
      <c r="N96" s="75">
        <f>SUM(Population!H335:L335,Population!O335,Population!CG335)</f>
        <v>105818</v>
      </c>
      <c r="O96" s="75">
        <f>Population!G335</f>
        <v>885</v>
      </c>
      <c r="P96" s="86">
        <f t="shared" ref="P96" si="285">SUM(N96:O96)</f>
        <v>106703</v>
      </c>
      <c r="Q96" s="87">
        <f>(P96-P95)/P95</f>
        <v>6.4707316615713565E-4</v>
      </c>
      <c r="R96" s="115">
        <f>P96-P95</f>
        <v>69</v>
      </c>
      <c r="S96" s="89"/>
      <c r="T96" s="1"/>
      <c r="U96" s="78">
        <f>I96+P96</f>
        <v>1088325</v>
      </c>
      <c r="V96" s="63">
        <f>(U96-U95)/U95</f>
        <v>6.1292693411728813E-3</v>
      </c>
      <c r="W96" s="115">
        <f>U96-U95</f>
        <v>6630</v>
      </c>
    </row>
    <row r="97" spans="1:25" s="188" customFormat="1" ht="7.5" hidden="1" customHeight="1">
      <c r="A97" s="58"/>
      <c r="B97" s="58"/>
      <c r="M97" s="1"/>
      <c r="T97" s="1"/>
    </row>
    <row r="98" spans="1:25" s="188" customFormat="1" hidden="1">
      <c r="A98" s="58">
        <v>42186</v>
      </c>
      <c r="B98" s="58"/>
      <c r="C98" s="75">
        <f>Population!DK336+Population!DL336+Population!DM336+Population!DN336</f>
        <v>272856</v>
      </c>
      <c r="D98" s="63">
        <f>(C98-C96)/C96</f>
        <v>1.4865058304062014E-3</v>
      </c>
      <c r="E98" s="115">
        <f>C98-C96</f>
        <v>405</v>
      </c>
      <c r="F98" s="75">
        <f>SUM(Population!DO336:'Population'!DT336)</f>
        <v>711778</v>
      </c>
      <c r="G98" s="63">
        <f>(F98-F96)/F96</f>
        <v>3.6761232481305637E-3</v>
      </c>
      <c r="H98" s="115">
        <f>F98-F96</f>
        <v>2607</v>
      </c>
      <c r="I98" s="86">
        <f t="shared" ref="I98" si="286">C98+F98</f>
        <v>984634</v>
      </c>
      <c r="J98" s="63">
        <f>(I98-I96)/I96</f>
        <v>3.06839088773479E-3</v>
      </c>
      <c r="K98" s="115">
        <f>I98-I96</f>
        <v>3012</v>
      </c>
      <c r="L98" s="88"/>
      <c r="M98" s="1"/>
      <c r="N98" s="75">
        <f>SUM(Population!H336:L336,Population!O336,Population!CG336)</f>
        <v>106713</v>
      </c>
      <c r="O98" s="75">
        <f>Population!G336</f>
        <v>937</v>
      </c>
      <c r="P98" s="86">
        <f t="shared" ref="P98" si="287">SUM(N98:O98)</f>
        <v>107650</v>
      </c>
      <c r="Q98" s="87">
        <f>(P98-P96)/P96</f>
        <v>8.8751019184090413E-3</v>
      </c>
      <c r="R98" s="115">
        <f>P98-P96</f>
        <v>947</v>
      </c>
      <c r="S98" s="89"/>
      <c r="T98" s="1"/>
      <c r="U98" s="78">
        <f t="shared" ref="U98:U103" si="288">I98+P98</f>
        <v>1092284</v>
      </c>
      <c r="V98" s="63">
        <f>(U98-U96)/U96</f>
        <v>3.6377001355293683E-3</v>
      </c>
      <c r="W98" s="115">
        <f>U98-U96</f>
        <v>3959</v>
      </c>
      <c r="X98" s="189"/>
    </row>
    <row r="99" spans="1:25" s="188" customFormat="1" hidden="1">
      <c r="A99" s="58">
        <v>42217</v>
      </c>
      <c r="B99" s="58"/>
      <c r="C99" s="75">
        <f>Population!DK337+Population!DL337+Population!DM337+Population!DN337</f>
        <v>272745</v>
      </c>
      <c r="D99" s="63">
        <f t="shared" ref="D99:D104" si="289">(C99-C98)/C98</f>
        <v>-4.0680798663031052E-4</v>
      </c>
      <c r="E99" s="115">
        <f t="shared" ref="E99:E104" si="290">C99-C98</f>
        <v>-111</v>
      </c>
      <c r="F99" s="75">
        <f>SUM(Population!DO337:'Population'!DT337)</f>
        <v>713169</v>
      </c>
      <c r="G99" s="63">
        <f t="shared" ref="G99:G104" si="291">(F99-F98)/F98</f>
        <v>1.9542610195875682E-3</v>
      </c>
      <c r="H99" s="115">
        <f t="shared" ref="H99:H104" si="292">F99-F98</f>
        <v>1391</v>
      </c>
      <c r="I99" s="86">
        <f t="shared" ref="I99" si="293">C99+F99</f>
        <v>985914</v>
      </c>
      <c r="J99" s="63">
        <f t="shared" ref="J99:J104" si="294">(I99-I98)/I98</f>
        <v>1.2999754223396714E-3</v>
      </c>
      <c r="K99" s="115">
        <f t="shared" ref="K99:K104" si="295">I99-I98</f>
        <v>1280</v>
      </c>
      <c r="L99" s="88"/>
      <c r="M99" s="1"/>
      <c r="N99" s="75">
        <f>SUM(Population!H337:L337,Population!O337,Population!CG337)</f>
        <v>106578</v>
      </c>
      <c r="O99" s="75">
        <f>Population!G337</f>
        <v>1037</v>
      </c>
      <c r="P99" s="86">
        <f t="shared" ref="P99" si="296">SUM(N99:O99)</f>
        <v>107615</v>
      </c>
      <c r="Q99" s="87">
        <f t="shared" ref="Q99:Q104" si="297">(P99-P98)/P98</f>
        <v>-3.2512772875058058E-4</v>
      </c>
      <c r="R99" s="115">
        <f t="shared" ref="R99:R104" si="298">P99-P98</f>
        <v>-35</v>
      </c>
      <c r="S99" s="89"/>
      <c r="T99" s="1"/>
      <c r="U99" s="78">
        <f t="shared" si="288"/>
        <v>1093529</v>
      </c>
      <c r="V99" s="63">
        <f t="shared" ref="V99:V104" si="299">(U99-U98)/U98</f>
        <v>1.1398134551087447E-3</v>
      </c>
      <c r="W99" s="115">
        <f t="shared" ref="W99:W104" si="300">U99-U98</f>
        <v>1245</v>
      </c>
      <c r="X99" s="194"/>
    </row>
    <row r="100" spans="1:25" s="188" customFormat="1" hidden="1">
      <c r="A100" s="58">
        <v>42248</v>
      </c>
      <c r="B100" s="58"/>
      <c r="C100" s="75">
        <f>Population!DK338+Population!DL338+Population!DM338+Population!DN338</f>
        <v>273375</v>
      </c>
      <c r="D100" s="63">
        <f t="shared" si="289"/>
        <v>2.3098498597591156E-3</v>
      </c>
      <c r="E100" s="115">
        <f t="shared" si="290"/>
        <v>630</v>
      </c>
      <c r="F100" s="75">
        <f>SUM(Population!DO338:'Population'!DT338)</f>
        <v>717762</v>
      </c>
      <c r="G100" s="63">
        <f t="shared" si="291"/>
        <v>6.4402687161107678E-3</v>
      </c>
      <c r="H100" s="115">
        <f t="shared" si="292"/>
        <v>4593</v>
      </c>
      <c r="I100" s="86">
        <f t="shared" ref="I100" si="301">C100+F100</f>
        <v>991137</v>
      </c>
      <c r="J100" s="63">
        <f t="shared" si="294"/>
        <v>5.2976223078280661E-3</v>
      </c>
      <c r="K100" s="115">
        <f t="shared" si="295"/>
        <v>5223</v>
      </c>
      <c r="L100" s="88"/>
      <c r="M100" s="1"/>
      <c r="N100" s="75">
        <f>SUM(Population!H338:L338,Population!O338,Population!CG338)</f>
        <v>107018</v>
      </c>
      <c r="O100" s="75">
        <f>Population!G338</f>
        <v>1121</v>
      </c>
      <c r="P100" s="86">
        <f t="shared" ref="P100" si="302">SUM(N100:O100)</f>
        <v>108139</v>
      </c>
      <c r="Q100" s="87">
        <f t="shared" si="297"/>
        <v>4.8692096826650558E-3</v>
      </c>
      <c r="R100" s="115">
        <f t="shared" si="298"/>
        <v>524</v>
      </c>
      <c r="S100" s="89"/>
      <c r="T100" s="1"/>
      <c r="U100" s="78">
        <f t="shared" si="288"/>
        <v>1099276</v>
      </c>
      <c r="V100" s="63">
        <f t="shared" si="299"/>
        <v>5.2554619036166393E-3</v>
      </c>
      <c r="W100" s="115">
        <f t="shared" si="300"/>
        <v>5747</v>
      </c>
      <c r="X100" s="195"/>
      <c r="Y100" s="195"/>
    </row>
    <row r="101" spans="1:25" s="188" customFormat="1" hidden="1">
      <c r="A101" s="58">
        <v>42278</v>
      </c>
      <c r="B101" s="58"/>
      <c r="C101" s="75">
        <f>Population!DK339+Population!DL339+Population!DM339+Population!DN339</f>
        <v>273534</v>
      </c>
      <c r="D101" s="63">
        <f t="shared" si="289"/>
        <v>5.8161865569272971E-4</v>
      </c>
      <c r="E101" s="115">
        <f t="shared" si="290"/>
        <v>159</v>
      </c>
      <c r="F101" s="75">
        <f>SUM(Population!DO339:'Population'!DT339)</f>
        <v>717614</v>
      </c>
      <c r="G101" s="63">
        <f t="shared" si="291"/>
        <v>-2.0619648295674612E-4</v>
      </c>
      <c r="H101" s="115">
        <f t="shared" si="292"/>
        <v>-148</v>
      </c>
      <c r="I101" s="86">
        <f t="shared" ref="I101" si="303">C101+F101</f>
        <v>991148</v>
      </c>
      <c r="J101" s="63">
        <f t="shared" si="294"/>
        <v>1.1098364807286985E-5</v>
      </c>
      <c r="K101" s="115">
        <f t="shared" si="295"/>
        <v>11</v>
      </c>
      <c r="L101" s="88"/>
      <c r="M101" s="1"/>
      <c r="N101" s="75">
        <f>SUM(Population!H339:L339,Population!O339,Population!CG339)</f>
        <v>106848</v>
      </c>
      <c r="O101" s="75">
        <f>Population!G339</f>
        <v>1083</v>
      </c>
      <c r="P101" s="86">
        <f t="shared" ref="P101" si="304">SUM(N101:O101)</f>
        <v>107931</v>
      </c>
      <c r="Q101" s="87">
        <f t="shared" si="297"/>
        <v>-1.9234503740556137E-3</v>
      </c>
      <c r="R101" s="115">
        <f t="shared" si="298"/>
        <v>-208</v>
      </c>
      <c r="S101" s="89"/>
      <c r="T101" s="1"/>
      <c r="U101" s="78">
        <f t="shared" si="288"/>
        <v>1099079</v>
      </c>
      <c r="V101" s="63">
        <f t="shared" si="299"/>
        <v>-1.7920886110494544E-4</v>
      </c>
      <c r="W101" s="115">
        <f t="shared" si="300"/>
        <v>-197</v>
      </c>
      <c r="X101" s="196"/>
    </row>
    <row r="102" spans="1:25" s="188" customFormat="1" hidden="1">
      <c r="A102" s="58">
        <v>42309</v>
      </c>
      <c r="B102" s="58"/>
      <c r="C102" s="75">
        <f>Population!DK340+Population!DL340+Population!DM340+Population!DN340</f>
        <v>274879</v>
      </c>
      <c r="D102" s="63">
        <f t="shared" si="289"/>
        <v>4.9171218203221539E-3</v>
      </c>
      <c r="E102" s="115">
        <f t="shared" si="290"/>
        <v>1345</v>
      </c>
      <c r="F102" s="75">
        <f>SUM(Population!DO340:'Population'!DT340)</f>
        <v>717844</v>
      </c>
      <c r="G102" s="63">
        <f t="shared" si="291"/>
        <v>3.2050656759762214E-4</v>
      </c>
      <c r="H102" s="115">
        <f t="shared" si="292"/>
        <v>230</v>
      </c>
      <c r="I102" s="86">
        <f t="shared" ref="I102" si="305">C102+F102</f>
        <v>992723</v>
      </c>
      <c r="J102" s="63">
        <f t="shared" si="294"/>
        <v>1.5890664159136677E-3</v>
      </c>
      <c r="K102" s="115">
        <f t="shared" si="295"/>
        <v>1575</v>
      </c>
      <c r="L102" s="88"/>
      <c r="M102" s="1"/>
      <c r="N102" s="75">
        <f>SUM(Population!H340:L340,Population!O340,Population!CG340)</f>
        <v>106573</v>
      </c>
      <c r="O102" s="75">
        <f>Population!G340</f>
        <v>1070</v>
      </c>
      <c r="P102" s="86">
        <f t="shared" ref="P102" si="306">SUM(N102:O102)</f>
        <v>107643</v>
      </c>
      <c r="Q102" s="87">
        <f t="shared" si="297"/>
        <v>-2.6683714595435973E-3</v>
      </c>
      <c r="R102" s="115">
        <f t="shared" si="298"/>
        <v>-288</v>
      </c>
      <c r="S102" s="89"/>
      <c r="T102" s="1"/>
      <c r="U102" s="78">
        <f t="shared" si="288"/>
        <v>1100366</v>
      </c>
      <c r="V102" s="63">
        <f t="shared" si="299"/>
        <v>1.1709804299781909E-3</v>
      </c>
      <c r="W102" s="115">
        <f t="shared" si="300"/>
        <v>1287</v>
      </c>
      <c r="X102" s="197"/>
    </row>
    <row r="103" spans="1:25" s="188" customFormat="1" hidden="1">
      <c r="A103" s="58">
        <v>42339</v>
      </c>
      <c r="B103" s="58"/>
      <c r="C103" s="75">
        <f>Population!DK341+Population!DL341+Population!DM341+Population!DN341</f>
        <v>275461</v>
      </c>
      <c r="D103" s="63">
        <f t="shared" si="289"/>
        <v>2.1172952462719962E-3</v>
      </c>
      <c r="E103" s="115">
        <f t="shared" si="290"/>
        <v>582</v>
      </c>
      <c r="F103" s="75">
        <f>SUM(Population!DO341:'Population'!DT341)</f>
        <v>713531</v>
      </c>
      <c r="G103" s="63">
        <f t="shared" si="291"/>
        <v>-6.0082692061227787E-3</v>
      </c>
      <c r="H103" s="115">
        <f t="shared" si="292"/>
        <v>-4313</v>
      </c>
      <c r="I103" s="86">
        <f t="shared" ref="I103" si="307">C103+F103</f>
        <v>988992</v>
      </c>
      <c r="J103" s="63">
        <f t="shared" si="294"/>
        <v>-3.7583495093797565E-3</v>
      </c>
      <c r="K103" s="115">
        <f t="shared" si="295"/>
        <v>-3731</v>
      </c>
      <c r="L103" s="88"/>
      <c r="M103" s="1"/>
      <c r="N103" s="75">
        <f>SUM(Population!H341:L341,Population!O341,Population!CG341)</f>
        <v>106008</v>
      </c>
      <c r="O103" s="75">
        <f>Population!G341</f>
        <v>1042</v>
      </c>
      <c r="P103" s="86">
        <f t="shared" ref="P103" si="308">SUM(N103:O103)</f>
        <v>107050</v>
      </c>
      <c r="Q103" s="87">
        <f t="shared" si="297"/>
        <v>-5.5089508839404324E-3</v>
      </c>
      <c r="R103" s="115">
        <f t="shared" si="298"/>
        <v>-593</v>
      </c>
      <c r="S103" s="89"/>
      <c r="T103" s="1"/>
      <c r="U103" s="78">
        <f t="shared" si="288"/>
        <v>1096042</v>
      </c>
      <c r="V103" s="63">
        <f t="shared" si="299"/>
        <v>-3.9296016052840603E-3</v>
      </c>
      <c r="W103" s="115">
        <f t="shared" si="300"/>
        <v>-4324</v>
      </c>
      <c r="X103" s="198"/>
    </row>
    <row r="104" spans="1:25" s="188" customFormat="1" hidden="1">
      <c r="A104" s="58">
        <v>42370</v>
      </c>
      <c r="B104" s="58"/>
      <c r="C104" s="75">
        <f>Population!DK342+Population!DL342+Population!DM342+Population!DN342</f>
        <v>274178</v>
      </c>
      <c r="D104" s="63">
        <f t="shared" si="289"/>
        <v>-4.6576466360029184E-3</v>
      </c>
      <c r="E104" s="115">
        <f t="shared" si="290"/>
        <v>-1283</v>
      </c>
      <c r="F104" s="75">
        <f>SUM(Population!DO342:'Population'!DT342)</f>
        <v>713003</v>
      </c>
      <c r="G104" s="63">
        <f t="shared" si="291"/>
        <v>-7.399818648383882E-4</v>
      </c>
      <c r="H104" s="115">
        <f t="shared" si="292"/>
        <v>-528</v>
      </c>
      <c r="I104" s="86">
        <f t="shared" ref="I104" si="309">C104+F104</f>
        <v>987181</v>
      </c>
      <c r="J104" s="63">
        <f t="shared" si="294"/>
        <v>-1.8311573804439267E-3</v>
      </c>
      <c r="K104" s="115">
        <f t="shared" si="295"/>
        <v>-1811</v>
      </c>
      <c r="L104" s="88"/>
      <c r="M104" s="1"/>
      <c r="N104" s="75">
        <f>SUM(Population!H342:L342,Population!O342,Population!CG342)</f>
        <v>106377</v>
      </c>
      <c r="O104" s="75">
        <f>Population!G342</f>
        <v>1053</v>
      </c>
      <c r="P104" s="86">
        <f t="shared" ref="P104" si="310">SUM(N104:O104)</f>
        <v>107430</v>
      </c>
      <c r="Q104" s="87">
        <f t="shared" si="297"/>
        <v>3.5497431106959365E-3</v>
      </c>
      <c r="R104" s="115">
        <f t="shared" si="298"/>
        <v>380</v>
      </c>
      <c r="S104" s="89"/>
      <c r="T104" s="1"/>
      <c r="U104" s="78">
        <f t="shared" ref="U104" si="311">I104+P104</f>
        <v>1094611</v>
      </c>
      <c r="V104" s="63">
        <f t="shared" si="299"/>
        <v>-1.3056069019252911E-3</v>
      </c>
      <c r="W104" s="115">
        <f t="shared" si="300"/>
        <v>-1431</v>
      </c>
      <c r="X104" s="199"/>
    </row>
    <row r="105" spans="1:25" s="188" customFormat="1" hidden="1">
      <c r="A105" s="58">
        <v>42401</v>
      </c>
      <c r="B105" s="58"/>
      <c r="C105" s="75">
        <f>Population!DK343+Population!DL343+Population!DM343+Population!DN343</f>
        <v>275626</v>
      </c>
      <c r="D105" s="63">
        <f t="shared" ref="D105" si="312">(C105-C104)/C104</f>
        <v>5.2812406538817851E-3</v>
      </c>
      <c r="E105" s="115">
        <f t="shared" ref="E105" si="313">C105-C104</f>
        <v>1448</v>
      </c>
      <c r="F105" s="75">
        <f>SUM(Population!DO343:'Population'!DT343)</f>
        <v>713150</v>
      </c>
      <c r="G105" s="63">
        <f t="shared" ref="G105" si="314">(F105-F104)/F104</f>
        <v>2.0617024051792208E-4</v>
      </c>
      <c r="H105" s="115">
        <f t="shared" ref="H105" si="315">F105-F104</f>
        <v>147</v>
      </c>
      <c r="I105" s="86">
        <f t="shared" ref="I105" si="316">C105+F105</f>
        <v>988776</v>
      </c>
      <c r="J105" s="63">
        <f t="shared" ref="J105" si="317">(I105-I104)/I104</f>
        <v>1.6157118096883955E-3</v>
      </c>
      <c r="K105" s="115">
        <f t="shared" ref="K105" si="318">I105-I104</f>
        <v>1595</v>
      </c>
      <c r="L105" s="88"/>
      <c r="M105" s="1"/>
      <c r="N105" s="75">
        <f>SUM(Population!H343:L343,Population!O343,Population!CG343)</f>
        <v>106692</v>
      </c>
      <c r="O105" s="75">
        <f>Population!G343</f>
        <v>1040</v>
      </c>
      <c r="P105" s="86">
        <f t="shared" ref="P105" si="319">SUM(N105:O105)</f>
        <v>107732</v>
      </c>
      <c r="Q105" s="87">
        <f t="shared" ref="Q105" si="320">(P105-P104)/P104</f>
        <v>2.8111328306804429E-3</v>
      </c>
      <c r="R105" s="115">
        <f t="shared" ref="R105" si="321">P105-P104</f>
        <v>302</v>
      </c>
      <c r="S105" s="89"/>
      <c r="T105" s="1"/>
      <c r="U105" s="78">
        <f t="shared" ref="U105" si="322">I105+P105</f>
        <v>1096508</v>
      </c>
      <c r="V105" s="63">
        <f t="shared" ref="V105" si="323">(U105-U104)/U104</f>
        <v>1.733035754254251E-3</v>
      </c>
      <c r="W105" s="115">
        <f t="shared" ref="W105" si="324">U105-U104</f>
        <v>1897</v>
      </c>
      <c r="X105" s="201"/>
    </row>
    <row r="106" spans="1:25" s="188" customFormat="1" hidden="1">
      <c r="A106" s="58">
        <v>42430</v>
      </c>
      <c r="B106" s="58"/>
      <c r="C106" s="75">
        <f>Population!DK344+Population!DL344+Population!DM344+Population!DN344</f>
        <v>276661</v>
      </c>
      <c r="D106" s="63">
        <f t="shared" ref="D106" si="325">(C106-C105)/C105</f>
        <v>3.7550884169127731E-3</v>
      </c>
      <c r="E106" s="115">
        <f t="shared" ref="E106" si="326">C106-C105</f>
        <v>1035</v>
      </c>
      <c r="F106" s="75">
        <f>SUM(Population!DO344:'Population'!DT344)</f>
        <v>716044</v>
      </c>
      <c r="G106" s="63">
        <f t="shared" ref="G106" si="327">(F106-F105)/F105</f>
        <v>4.058052303162028E-3</v>
      </c>
      <c r="H106" s="115">
        <f t="shared" ref="H106" si="328">F106-F105</f>
        <v>2894</v>
      </c>
      <c r="I106" s="86">
        <f t="shared" ref="I106" si="329">C106+F106</f>
        <v>992705</v>
      </c>
      <c r="J106" s="63">
        <f t="shared" ref="J106" si="330">(I106-I105)/I105</f>
        <v>3.973599682840198E-3</v>
      </c>
      <c r="K106" s="115">
        <f t="shared" ref="K106" si="331">I106-I105</f>
        <v>3929</v>
      </c>
      <c r="L106" s="88"/>
      <c r="M106" s="1"/>
      <c r="N106" s="75">
        <f>SUM(Population!H344:L344,Population!O344,Population!CG344)</f>
        <v>107540</v>
      </c>
      <c r="O106" s="75">
        <f>Population!G344</f>
        <v>1070</v>
      </c>
      <c r="P106" s="86">
        <f t="shared" ref="P106" si="332">SUM(N106:O106)</f>
        <v>108610</v>
      </c>
      <c r="Q106" s="87">
        <f t="shared" ref="Q106" si="333">(P106-P105)/P105</f>
        <v>8.1498533397690569E-3</v>
      </c>
      <c r="R106" s="115">
        <f t="shared" ref="R106" si="334">P106-P105</f>
        <v>878</v>
      </c>
      <c r="S106" s="89"/>
      <c r="T106" s="1"/>
      <c r="U106" s="78">
        <f t="shared" ref="U106" si="335">I106+P106</f>
        <v>1101315</v>
      </c>
      <c r="V106" s="63">
        <f t="shared" ref="V106" si="336">(U106-U105)/U105</f>
        <v>4.3839169436064307E-3</v>
      </c>
      <c r="W106" s="115">
        <f t="shared" ref="W106" si="337">U106-U105</f>
        <v>4807</v>
      </c>
      <c r="X106" s="202"/>
    </row>
    <row r="107" spans="1:25" s="188" customFormat="1" hidden="1">
      <c r="A107" s="58">
        <v>42461</v>
      </c>
      <c r="B107" s="58"/>
      <c r="C107" s="75">
        <f>Population!DK345+Population!DL345+Population!DM345+Population!DN345</f>
        <v>278130</v>
      </c>
      <c r="D107" s="63">
        <f t="shared" ref="D107" si="338">(C107-C106)/C106</f>
        <v>5.3097473080773944E-3</v>
      </c>
      <c r="E107" s="115">
        <f t="shared" ref="E107" si="339">C107-C106</f>
        <v>1469</v>
      </c>
      <c r="F107" s="75">
        <f>SUM(Population!DO345:'Population'!DT345)</f>
        <v>721012</v>
      </c>
      <c r="G107" s="63">
        <f t="shared" ref="G107" si="340">(F107-F106)/F106</f>
        <v>6.9381211210484276E-3</v>
      </c>
      <c r="H107" s="115">
        <f t="shared" ref="H107" si="341">F107-F106</f>
        <v>4968</v>
      </c>
      <c r="I107" s="86">
        <f t="shared" ref="I107" si="342">C107+F107</f>
        <v>999142</v>
      </c>
      <c r="J107" s="63">
        <f t="shared" ref="J107" si="343">(I107-I106)/I106</f>
        <v>6.4843029903143435E-3</v>
      </c>
      <c r="K107" s="115">
        <f t="shared" ref="K107" si="344">I107-I106</f>
        <v>6437</v>
      </c>
      <c r="L107" s="88"/>
      <c r="M107" s="1"/>
      <c r="N107" s="75">
        <f>SUM(Population!H345:L345,Population!O345,Population!CG345)</f>
        <v>108830</v>
      </c>
      <c r="O107" s="75">
        <f>Population!G345</f>
        <v>1098</v>
      </c>
      <c r="P107" s="86">
        <f t="shared" ref="P107" si="345">SUM(N107:O107)</f>
        <v>109928</v>
      </c>
      <c r="Q107" s="87">
        <f t="shared" ref="Q107" si="346">(P107-P106)/P106</f>
        <v>1.2135162508056348E-2</v>
      </c>
      <c r="R107" s="115">
        <f t="shared" ref="R107" si="347">P107-P106</f>
        <v>1318</v>
      </c>
      <c r="S107" s="89"/>
      <c r="T107" s="1"/>
      <c r="U107" s="78">
        <f t="shared" ref="U107" si="348">I107+P107</f>
        <v>1109070</v>
      </c>
      <c r="V107" s="63">
        <f t="shared" ref="V107" si="349">(U107-U106)/U106</f>
        <v>7.0415821086610101E-3</v>
      </c>
      <c r="W107" s="115">
        <f t="shared" ref="W107" si="350">U107-U106</f>
        <v>7755</v>
      </c>
      <c r="X107" s="203"/>
    </row>
    <row r="108" spans="1:25" s="188" customFormat="1" hidden="1">
      <c r="A108" s="58">
        <v>42491</v>
      </c>
      <c r="B108" s="58"/>
      <c r="C108" s="75">
        <f>Population!DK346+Population!DL346+Population!DM346+Population!DN346</f>
        <v>278378</v>
      </c>
      <c r="D108" s="63">
        <f t="shared" ref="D108" si="351">(C108-C107)/C107</f>
        <v>8.9166936324740231E-4</v>
      </c>
      <c r="E108" s="115">
        <f t="shared" ref="E108" si="352">C108-C107</f>
        <v>248</v>
      </c>
      <c r="F108" s="75">
        <f>SUM(Population!DO346:'Population'!DT346)</f>
        <v>717539</v>
      </c>
      <c r="G108" s="63">
        <f t="shared" ref="G108" si="353">(F108-F107)/F107</f>
        <v>-4.816840773801268E-3</v>
      </c>
      <c r="H108" s="115">
        <f t="shared" ref="H108" si="354">F108-F107</f>
        <v>-3473</v>
      </c>
      <c r="I108" s="86">
        <f t="shared" ref="I108" si="355">C108+F108</f>
        <v>995917</v>
      </c>
      <c r="J108" s="63">
        <f t="shared" ref="J108" si="356">(I108-I107)/I107</f>
        <v>-3.2277694261676516E-3</v>
      </c>
      <c r="K108" s="115">
        <f t="shared" ref="K108" si="357">I108-I107</f>
        <v>-3225</v>
      </c>
      <c r="L108" s="88"/>
      <c r="M108" s="1"/>
      <c r="N108" s="75">
        <f>SUM(Population!H346:L346,Population!O346,Population!CG346)</f>
        <v>109930</v>
      </c>
      <c r="O108" s="75">
        <f>Population!G346</f>
        <v>1077</v>
      </c>
      <c r="P108" s="86">
        <f t="shared" ref="P108" si="358">SUM(N108:O108)</f>
        <v>111007</v>
      </c>
      <c r="Q108" s="87">
        <f t="shared" ref="Q108" si="359">(P108-P107)/P107</f>
        <v>9.8155156102175973E-3</v>
      </c>
      <c r="R108" s="115">
        <f t="shared" ref="R108" si="360">P108-P107</f>
        <v>1079</v>
      </c>
      <c r="S108" s="89"/>
      <c r="T108" s="1"/>
      <c r="U108" s="78">
        <f t="shared" ref="U108" si="361">I108+P108</f>
        <v>1106924</v>
      </c>
      <c r="V108" s="63">
        <f t="shared" ref="V108" si="362">(U108-U107)/U107</f>
        <v>-1.9349545114375106E-3</v>
      </c>
      <c r="W108" s="115">
        <f t="shared" ref="W108" si="363">U108-U107</f>
        <v>-2146</v>
      </c>
      <c r="X108" s="204"/>
    </row>
    <row r="109" spans="1:25" s="172" customFormat="1" hidden="1">
      <c r="A109" s="58">
        <v>42522</v>
      </c>
      <c r="C109" s="75">
        <f>Population!DK347+Population!DL347+Population!DM347+Population!DN347</f>
        <v>278752</v>
      </c>
      <c r="D109" s="63">
        <f t="shared" ref="D109" si="364">(C109-C108)/C108</f>
        <v>1.3434969717434568E-3</v>
      </c>
      <c r="E109" s="115">
        <f t="shared" ref="E109" si="365">C109-C108</f>
        <v>374</v>
      </c>
      <c r="F109" s="75">
        <f>SUM(Population!DO347:'Population'!DT347)</f>
        <v>716313</v>
      </c>
      <c r="G109" s="63">
        <f t="shared" ref="G109" si="366">(F109-F108)/F108</f>
        <v>-1.7086179287815713E-3</v>
      </c>
      <c r="H109" s="115">
        <f t="shared" ref="H109" si="367">F109-F108</f>
        <v>-1226</v>
      </c>
      <c r="I109" s="86">
        <f t="shared" ref="I109" si="368">C109+F109</f>
        <v>995065</v>
      </c>
      <c r="J109" s="63">
        <f t="shared" ref="J109" si="369">(I109-I108)/I108</f>
        <v>-8.554929778284737E-4</v>
      </c>
      <c r="K109" s="115">
        <f t="shared" ref="K109" si="370">I109-I108</f>
        <v>-852</v>
      </c>
      <c r="L109" s="88"/>
      <c r="M109" s="1"/>
      <c r="N109" s="75">
        <f>SUM(Population!H347:L347,Population!O347,Population!CG347)</f>
        <v>110762</v>
      </c>
      <c r="O109" s="75">
        <f>Population!G347</f>
        <v>1093</v>
      </c>
      <c r="P109" s="86">
        <f t="shared" ref="P109" si="371">SUM(N109:O109)</f>
        <v>111855</v>
      </c>
      <c r="Q109" s="87">
        <f t="shared" ref="Q109" si="372">(P109-P108)/P108</f>
        <v>7.6391578909438141E-3</v>
      </c>
      <c r="R109" s="115">
        <f t="shared" ref="R109" si="373">P109-P108</f>
        <v>848</v>
      </c>
      <c r="S109" s="89"/>
      <c r="T109" s="1"/>
      <c r="U109" s="78">
        <f t="shared" ref="U109" si="374">I109+P109</f>
        <v>1106920</v>
      </c>
      <c r="V109" s="63">
        <f t="shared" ref="V109" si="375">(U109-U108)/U108</f>
        <v>-3.6136175563995359E-6</v>
      </c>
      <c r="W109" s="115">
        <f t="shared" ref="W109" si="376">U109-U108</f>
        <v>-4</v>
      </c>
      <c r="X109" s="242"/>
    </row>
    <row r="110" spans="1:25" s="243" customFormat="1" ht="7.5" hidden="1" customHeight="1">
      <c r="A110" s="58"/>
      <c r="C110" s="75"/>
      <c r="D110" s="63"/>
      <c r="E110" s="115"/>
      <c r="F110" s="75"/>
      <c r="G110" s="63"/>
      <c r="H110" s="115"/>
      <c r="I110" s="86"/>
      <c r="J110" s="63"/>
      <c r="K110" s="115"/>
      <c r="L110" s="88"/>
      <c r="M110" s="1"/>
      <c r="N110" s="75"/>
      <c r="O110" s="75"/>
      <c r="P110" s="86"/>
      <c r="Q110" s="87"/>
      <c r="R110" s="115"/>
      <c r="S110" s="89"/>
      <c r="T110" s="1"/>
      <c r="U110" s="78"/>
      <c r="V110" s="63"/>
      <c r="W110" s="115"/>
    </row>
    <row r="111" spans="1:25" s="243" customFormat="1" hidden="1">
      <c r="A111" s="58">
        <v>42552</v>
      </c>
      <c r="C111" s="75">
        <f>Population!DK348+Population!DL348+Population!DM348+Population!DN348</f>
        <v>279708</v>
      </c>
      <c r="D111" s="63">
        <f>(C111-C109)/C109</f>
        <v>3.4295718057628286E-3</v>
      </c>
      <c r="E111" s="115">
        <f>C111-C109</f>
        <v>956</v>
      </c>
      <c r="F111" s="75">
        <f>SUM(Population!DO348:'Population'!DT348)</f>
        <v>720154</v>
      </c>
      <c r="G111" s="63">
        <f>(F111-F109)/F109</f>
        <v>5.3621810577219736E-3</v>
      </c>
      <c r="H111" s="115">
        <f>F111-F109</f>
        <v>3841</v>
      </c>
      <c r="I111" s="86">
        <f t="shared" ref="I111:I116" si="377">C111+F111</f>
        <v>999862</v>
      </c>
      <c r="J111" s="63">
        <f>(I111-I109)/I109</f>
        <v>4.82079060161899E-3</v>
      </c>
      <c r="K111" s="115">
        <f>I111-I109</f>
        <v>4797</v>
      </c>
      <c r="L111" s="88"/>
      <c r="M111" s="1"/>
      <c r="N111" s="75">
        <f>SUM(Population!H348:L348,Population!O348,Population!CG348)</f>
        <v>111065</v>
      </c>
      <c r="O111" s="75">
        <f>Population!G348</f>
        <v>1086</v>
      </c>
      <c r="P111" s="86">
        <f t="shared" ref="P111" si="378">SUM(N111:O111)</f>
        <v>112151</v>
      </c>
      <c r="Q111" s="87">
        <f>(P111-P109)/P109</f>
        <v>2.6462831344150912E-3</v>
      </c>
      <c r="R111" s="115">
        <f>P111-P109</f>
        <v>296</v>
      </c>
      <c r="S111" s="89"/>
      <c r="T111" s="1"/>
      <c r="U111" s="78">
        <f t="shared" ref="U111" si="379">I111+P111</f>
        <v>1112013</v>
      </c>
      <c r="V111" s="63">
        <f>(U111-U109)/U109</f>
        <v>4.6010551801394864E-3</v>
      </c>
      <c r="W111" s="115">
        <f>U111-U109</f>
        <v>5093</v>
      </c>
    </row>
    <row r="112" spans="1:25" s="243" customFormat="1" hidden="1">
      <c r="A112" s="58">
        <v>42583</v>
      </c>
      <c r="C112" s="75">
        <f>Population!DK349+Population!DL349+Population!DM349+Population!DN349</f>
        <v>278787</v>
      </c>
      <c r="D112" s="63">
        <f t="shared" ref="D112:D116" si="380">(C112-C111)/C111</f>
        <v>-3.2927195503882623E-3</v>
      </c>
      <c r="E112" s="115">
        <f t="shared" ref="E112:E116" si="381">C112-C111</f>
        <v>-921</v>
      </c>
      <c r="F112" s="75">
        <f>SUM(Population!DO349:'Population'!DT349)</f>
        <v>717970</v>
      </c>
      <c r="G112" s="63">
        <f t="shared" ref="G112:G116" si="382">(F112-F111)/F111</f>
        <v>-3.0326846757776807E-3</v>
      </c>
      <c r="H112" s="115">
        <f t="shared" ref="H112:H116" si="383">F112-F111</f>
        <v>-2184</v>
      </c>
      <c r="I112" s="86">
        <f t="shared" si="377"/>
        <v>996757</v>
      </c>
      <c r="J112" s="63">
        <f>(I112-I111)/I111</f>
        <v>-3.1054285491397813E-3</v>
      </c>
      <c r="K112" s="115">
        <f>I112-I111</f>
        <v>-3105</v>
      </c>
      <c r="L112" s="88"/>
      <c r="M112" s="1"/>
      <c r="N112" s="75">
        <f>SUM(Population!H349:L349,Population!O349,Population!CG349)</f>
        <v>110772</v>
      </c>
      <c r="O112" s="75">
        <f>Population!G349</f>
        <v>1041</v>
      </c>
      <c r="P112" s="86">
        <f t="shared" ref="P112" si="384">SUM(N112:O112)</f>
        <v>111813</v>
      </c>
      <c r="Q112" s="87">
        <f>(P112-P111)/P111</f>
        <v>-3.013793902863104E-3</v>
      </c>
      <c r="R112" s="115">
        <f>P112-P111</f>
        <v>-338</v>
      </c>
      <c r="S112" s="89"/>
      <c r="T112" s="1"/>
      <c r="U112" s="78">
        <f t="shared" ref="U112" si="385">I112+P112</f>
        <v>1108570</v>
      </c>
      <c r="V112" s="63">
        <f>(U112-U111)/U111</f>
        <v>-3.0961868251540223E-3</v>
      </c>
      <c r="W112" s="115">
        <f>U112-U111</f>
        <v>-3443</v>
      </c>
      <c r="X112" s="246"/>
    </row>
    <row r="113" spans="1:25" s="243" customFormat="1" hidden="1">
      <c r="A113" s="58">
        <v>42614</v>
      </c>
      <c r="C113" s="75">
        <f>Population!DK350+Population!DL350+Population!DM350+Population!DN350</f>
        <v>278057</v>
      </c>
      <c r="D113" s="63">
        <f t="shared" si="380"/>
        <v>-2.618486514794449E-3</v>
      </c>
      <c r="E113" s="115">
        <f t="shared" si="381"/>
        <v>-730</v>
      </c>
      <c r="F113" s="75">
        <f>SUM(Population!DO350:'Population'!DT350)</f>
        <v>721334</v>
      </c>
      <c r="G113" s="63">
        <f t="shared" si="382"/>
        <v>4.6854325389640234E-3</v>
      </c>
      <c r="H113" s="115">
        <f t="shared" si="383"/>
        <v>3364</v>
      </c>
      <c r="I113" s="86">
        <f t="shared" si="377"/>
        <v>999391</v>
      </c>
      <c r="J113" s="63">
        <f>(I113-I112)/I112</f>
        <v>2.6425698540366409E-3</v>
      </c>
      <c r="K113" s="115">
        <f>I113-I112</f>
        <v>2634</v>
      </c>
      <c r="L113" s="88"/>
      <c r="M113" s="1"/>
      <c r="N113" s="75">
        <f>SUM(Population!H350:L350,Population!O350,Population!CG350)</f>
        <v>111187</v>
      </c>
      <c r="O113" s="75">
        <f>Population!G350</f>
        <v>1058</v>
      </c>
      <c r="P113" s="86">
        <f t="shared" ref="P113" si="386">SUM(N113:O113)</f>
        <v>112245</v>
      </c>
      <c r="Q113" s="87">
        <f>(P113-P112)/P112</f>
        <v>3.8635936787314532E-3</v>
      </c>
      <c r="R113" s="115">
        <f>P113-P112</f>
        <v>432</v>
      </c>
      <c r="S113" s="89"/>
      <c r="T113" s="1"/>
      <c r="U113" s="78">
        <f t="shared" ref="U113" si="387">I113+P113</f>
        <v>1111636</v>
      </c>
      <c r="V113" s="63">
        <f>(U113-U112)/U112</f>
        <v>2.7657252135634197E-3</v>
      </c>
      <c r="W113" s="115">
        <f>U113-U112</f>
        <v>3066</v>
      </c>
      <c r="X113" s="247"/>
    </row>
    <row r="114" spans="1:25" s="243" customFormat="1" hidden="1">
      <c r="A114" s="58">
        <v>42644</v>
      </c>
      <c r="C114" s="75">
        <f>Population!DK351+Population!DL351+Population!DM351+Population!DN351</f>
        <v>278463</v>
      </c>
      <c r="D114" s="63">
        <f t="shared" si="380"/>
        <v>1.4601322750371327E-3</v>
      </c>
      <c r="E114" s="115">
        <f t="shared" si="381"/>
        <v>406</v>
      </c>
      <c r="F114" s="75">
        <f>SUM(Population!DO351:'Population'!DT351)</f>
        <v>725843</v>
      </c>
      <c r="G114" s="63">
        <f t="shared" si="382"/>
        <v>6.2509184372288012E-3</v>
      </c>
      <c r="H114" s="115">
        <f t="shared" si="383"/>
        <v>4509</v>
      </c>
      <c r="I114" s="86">
        <f t="shared" si="377"/>
        <v>1004306</v>
      </c>
      <c r="J114" s="63">
        <f>(I114-I113)/I113</f>
        <v>4.9179950589909255E-3</v>
      </c>
      <c r="K114" s="115">
        <f>I114-I113</f>
        <v>4915</v>
      </c>
      <c r="L114" s="88"/>
      <c r="M114" s="1"/>
      <c r="N114" s="75">
        <f>SUM(Population!H351:L351,Population!O351,Population!CG351)</f>
        <v>111827</v>
      </c>
      <c r="O114" s="75">
        <f>Population!G351</f>
        <v>1026</v>
      </c>
      <c r="P114" s="86">
        <f t="shared" ref="P114" si="388">SUM(N114:O114)</f>
        <v>112853</v>
      </c>
      <c r="Q114" s="87">
        <f>(P114-P113)/P113</f>
        <v>5.4167223484342291E-3</v>
      </c>
      <c r="R114" s="115">
        <f>P114-P113</f>
        <v>608</v>
      </c>
      <c r="S114" s="89"/>
      <c r="T114" s="1"/>
      <c r="U114" s="78">
        <f t="shared" ref="U114" si="389">I114+P114</f>
        <v>1117159</v>
      </c>
      <c r="V114" s="63">
        <f>(U114-U113)/U113</f>
        <v>4.9683529500663889E-3</v>
      </c>
      <c r="W114" s="115">
        <f>U114-U113</f>
        <v>5523</v>
      </c>
      <c r="X114" s="248"/>
    </row>
    <row r="115" spans="1:25" s="243" customFormat="1" hidden="1">
      <c r="A115" s="58">
        <v>42675</v>
      </c>
      <c r="C115" s="75">
        <f>Population!DK352+Population!DL352+Population!DM352+Population!DN352</f>
        <v>278783</v>
      </c>
      <c r="D115" s="63">
        <f t="shared" si="380"/>
        <v>1.149165239187971E-3</v>
      </c>
      <c r="E115" s="115">
        <f t="shared" si="381"/>
        <v>320</v>
      </c>
      <c r="F115" s="75">
        <f>SUM(Population!DO352:'Population'!DT352)</f>
        <v>728802</v>
      </c>
      <c r="G115" s="63">
        <f t="shared" si="382"/>
        <v>4.0766391630145914E-3</v>
      </c>
      <c r="H115" s="115">
        <f t="shared" si="383"/>
        <v>2959</v>
      </c>
      <c r="I115" s="86">
        <f t="shared" si="377"/>
        <v>1007585</v>
      </c>
      <c r="J115" s="63">
        <f>(I115-I114)/I114</f>
        <v>3.2649411633506121E-3</v>
      </c>
      <c r="K115" s="115">
        <f>I115-I114</f>
        <v>3279</v>
      </c>
      <c r="L115" s="88"/>
      <c r="M115" s="1"/>
      <c r="N115" s="75">
        <f>SUM(Population!H352:L352,Population!O352,Population!CG352)</f>
        <v>112455</v>
      </c>
      <c r="O115" s="75">
        <f>Population!G352</f>
        <v>995</v>
      </c>
      <c r="P115" s="86">
        <f t="shared" ref="P115" si="390">SUM(N115:O115)</f>
        <v>113450</v>
      </c>
      <c r="Q115" s="87">
        <f>(P115-P114)/P114</f>
        <v>5.2900676100768257E-3</v>
      </c>
      <c r="R115" s="115">
        <f>P115-P114</f>
        <v>597</v>
      </c>
      <c r="S115" s="89"/>
      <c r="T115" s="1"/>
      <c r="U115" s="78">
        <f t="shared" ref="U115:U118" si="391">I115+P115</f>
        <v>1121035</v>
      </c>
      <c r="V115" s="63">
        <f>(U115-U114)/U114</f>
        <v>3.4695150824546909E-3</v>
      </c>
      <c r="W115" s="115">
        <f>U115-U114</f>
        <v>3876</v>
      </c>
      <c r="X115" s="249"/>
    </row>
    <row r="116" spans="1:25" s="243" customFormat="1" hidden="1">
      <c r="A116" s="58">
        <v>42705</v>
      </c>
      <c r="C116" s="75">
        <f>Population!DK353+Population!DL353+Population!DM353+Population!DN353</f>
        <v>279123</v>
      </c>
      <c r="D116" s="63">
        <f t="shared" si="380"/>
        <v>1.219586560156107E-3</v>
      </c>
      <c r="E116" s="115">
        <f t="shared" si="381"/>
        <v>340</v>
      </c>
      <c r="F116" s="75">
        <f>SUM(Population!DO353:'Population'!DT353)</f>
        <v>730129</v>
      </c>
      <c r="G116" s="63">
        <f t="shared" si="382"/>
        <v>1.8207963205369908E-3</v>
      </c>
      <c r="H116" s="115">
        <f t="shared" si="383"/>
        <v>1327</v>
      </c>
      <c r="I116" s="86">
        <f t="shared" si="377"/>
        <v>1009252</v>
      </c>
      <c r="J116" s="63">
        <f t="shared" ref="J116:J118" si="392">(I116-I115)/I115</f>
        <v>1.6544509892465649E-3</v>
      </c>
      <c r="K116" s="115">
        <f t="shared" ref="K116:K118" si="393">I116-I115</f>
        <v>1667</v>
      </c>
      <c r="L116" s="88"/>
      <c r="M116" s="1"/>
      <c r="N116" s="75">
        <f>SUM(Population!H353:L353,Population!O353,Population!CG353)</f>
        <v>112701</v>
      </c>
      <c r="O116" s="75">
        <f>Population!G353</f>
        <v>960</v>
      </c>
      <c r="P116" s="86">
        <f t="shared" ref="P116" si="394">SUM(N116:O116)</f>
        <v>113661</v>
      </c>
      <c r="Q116" s="87">
        <f t="shared" ref="Q116:Q118" si="395">(P116-P115)/P115</f>
        <v>1.8598501542529749E-3</v>
      </c>
      <c r="R116" s="115">
        <f t="shared" ref="R116:R118" si="396">P116-P115</f>
        <v>211</v>
      </c>
      <c r="S116" s="89"/>
      <c r="T116" s="1"/>
      <c r="U116" s="78">
        <f t="shared" si="391"/>
        <v>1122913</v>
      </c>
      <c r="V116" s="63">
        <f>(U116-U115)/U115</f>
        <v>1.6752376152394885E-3</v>
      </c>
      <c r="W116" s="115">
        <f>U116-U115</f>
        <v>1878</v>
      </c>
    </row>
    <row r="117" spans="1:25" s="243" customFormat="1" hidden="1">
      <c r="A117" s="58">
        <v>42736</v>
      </c>
      <c r="C117" s="75">
        <f>Population!DK354+Population!DL354+Population!DM354+Population!DN354</f>
        <v>277978</v>
      </c>
      <c r="D117" s="63">
        <f t="shared" ref="D117:D118" si="397">(C117-C116)/C116</f>
        <v>-4.1021341845709595E-3</v>
      </c>
      <c r="E117" s="115">
        <f t="shared" ref="E117:E118" si="398">C117-C116</f>
        <v>-1145</v>
      </c>
      <c r="F117" s="75">
        <f>SUM(Population!DO354:'Population'!DT354)</f>
        <v>733387</v>
      </c>
      <c r="G117" s="63">
        <f t="shared" ref="G117:G118" si="399">(F117-F116)/F116</f>
        <v>4.4622251684291406E-3</v>
      </c>
      <c r="H117" s="115">
        <f t="shared" ref="H117:H118" si="400">F117-F116</f>
        <v>3258</v>
      </c>
      <c r="I117" s="86">
        <f t="shared" ref="I117:I118" si="401">C117+F117</f>
        <v>1011365</v>
      </c>
      <c r="J117" s="63">
        <f t="shared" si="392"/>
        <v>2.0936297376671041E-3</v>
      </c>
      <c r="K117" s="115">
        <f t="shared" si="393"/>
        <v>2113</v>
      </c>
      <c r="L117" s="88"/>
      <c r="M117" s="1"/>
      <c r="N117" s="75">
        <f>SUM(Population!H354:L354,Population!O354,Population!CG354)</f>
        <v>112493</v>
      </c>
      <c r="O117" s="75">
        <f>Population!G354</f>
        <v>1041</v>
      </c>
      <c r="P117" s="86">
        <f t="shared" ref="P117:P118" si="402">SUM(N117:O117)</f>
        <v>113534</v>
      </c>
      <c r="Q117" s="87">
        <f t="shared" si="395"/>
        <v>-1.1173577568383175E-3</v>
      </c>
      <c r="R117" s="115">
        <f t="shared" si="396"/>
        <v>-127</v>
      </c>
      <c r="S117" s="89"/>
      <c r="T117" s="1"/>
      <c r="U117" s="78">
        <f t="shared" si="391"/>
        <v>1124899</v>
      </c>
      <c r="V117" s="63">
        <f t="shared" ref="V117:V118" si="403">(U117-U116)/U116</f>
        <v>1.7686143093899528E-3</v>
      </c>
      <c r="W117" s="115">
        <f t="shared" ref="W117:W118" si="404">U117-U116</f>
        <v>1986</v>
      </c>
      <c r="Y117" s="31"/>
    </row>
    <row r="118" spans="1:25" s="243" customFormat="1" hidden="1">
      <c r="A118" s="58">
        <v>42767</v>
      </c>
      <c r="C118" s="75">
        <f>Population!DK355+Population!DL355+Population!DM355+Population!DN355</f>
        <v>279044</v>
      </c>
      <c r="D118" s="63">
        <f t="shared" si="397"/>
        <v>3.8348358503190899E-3</v>
      </c>
      <c r="E118" s="115">
        <f t="shared" si="398"/>
        <v>1066</v>
      </c>
      <c r="F118" s="75">
        <f>SUM(Population!DO355:'Population'!DT355)</f>
        <v>738112</v>
      </c>
      <c r="G118" s="63">
        <f t="shared" si="399"/>
        <v>6.442710328925929E-3</v>
      </c>
      <c r="H118" s="115">
        <f t="shared" si="400"/>
        <v>4725</v>
      </c>
      <c r="I118" s="86">
        <f t="shared" si="401"/>
        <v>1017156</v>
      </c>
      <c r="J118" s="63">
        <f t="shared" si="392"/>
        <v>5.7259248639215318E-3</v>
      </c>
      <c r="K118" s="115">
        <f t="shared" si="393"/>
        <v>5791</v>
      </c>
      <c r="L118" s="88"/>
      <c r="M118" s="1"/>
      <c r="N118" s="75">
        <f>SUM(Population!H355:L355,Population!O355,Population!CG355)</f>
        <v>112788</v>
      </c>
      <c r="O118" s="75">
        <f>Population!G355</f>
        <v>1088</v>
      </c>
      <c r="P118" s="86">
        <f t="shared" si="402"/>
        <v>113876</v>
      </c>
      <c r="Q118" s="87">
        <f t="shared" si="395"/>
        <v>3.0123134919935878E-3</v>
      </c>
      <c r="R118" s="115">
        <f t="shared" si="396"/>
        <v>342</v>
      </c>
      <c r="S118" s="89"/>
      <c r="T118" s="1"/>
      <c r="U118" s="78">
        <f t="shared" si="391"/>
        <v>1131032</v>
      </c>
      <c r="V118" s="63">
        <f t="shared" si="403"/>
        <v>5.4520450280425179E-3</v>
      </c>
      <c r="W118" s="115">
        <f t="shared" si="404"/>
        <v>6133</v>
      </c>
      <c r="Y118" s="31"/>
    </row>
    <row r="119" spans="1:25" s="243" customFormat="1" hidden="1">
      <c r="A119" s="58">
        <v>42795</v>
      </c>
      <c r="C119" s="75">
        <f>Population!DK356+Population!DL356+Population!DM356+Population!DN356</f>
        <v>278575</v>
      </c>
      <c r="D119" s="63">
        <f t="shared" ref="D119" si="405">(C119-C118)/C118</f>
        <v>-1.6807385215234874E-3</v>
      </c>
      <c r="E119" s="115">
        <f t="shared" ref="E119" si="406">C119-C118</f>
        <v>-469</v>
      </c>
      <c r="F119" s="75">
        <f>SUM(Population!DO356:'Population'!DT356)</f>
        <v>737995</v>
      </c>
      <c r="G119" s="63">
        <f t="shared" ref="G119" si="407">(F119-F118)/F118</f>
        <v>-1.5851252926385155E-4</v>
      </c>
      <c r="H119" s="115">
        <f t="shared" ref="H119" si="408">F119-F118</f>
        <v>-117</v>
      </c>
      <c r="I119" s="86">
        <f t="shared" ref="I119" si="409">C119+F119</f>
        <v>1016570</v>
      </c>
      <c r="J119" s="63">
        <f t="shared" ref="J119" si="410">(I119-I118)/I118</f>
        <v>-5.761161513081573E-4</v>
      </c>
      <c r="K119" s="115">
        <f t="shared" ref="K119" si="411">I119-I118</f>
        <v>-586</v>
      </c>
      <c r="L119" s="88"/>
      <c r="M119" s="1"/>
      <c r="N119" s="75">
        <f>SUM(Population!H356:L356,Population!O356,Population!CG356)</f>
        <v>112898</v>
      </c>
      <c r="O119" s="75">
        <f>Population!G356</f>
        <v>1102</v>
      </c>
      <c r="P119" s="86">
        <f t="shared" ref="P119" si="412">SUM(N119:O119)</f>
        <v>114000</v>
      </c>
      <c r="Q119" s="87">
        <f t="shared" ref="Q119" si="413">(P119-P118)/P118</f>
        <v>1.0889037198356106E-3</v>
      </c>
      <c r="R119" s="115">
        <f t="shared" ref="R119" si="414">P119-P118</f>
        <v>124</v>
      </c>
      <c r="S119" s="89"/>
      <c r="T119" s="1"/>
      <c r="U119" s="78">
        <f t="shared" ref="U119" si="415">I119+P119</f>
        <v>1130570</v>
      </c>
      <c r="V119" s="63">
        <f t="shared" ref="V119" si="416">(U119-U118)/U118</f>
        <v>-4.0847650641184335E-4</v>
      </c>
      <c r="W119" s="115">
        <f t="shared" ref="W119" si="417">U119-U118</f>
        <v>-462</v>
      </c>
      <c r="X119" s="256"/>
      <c r="Y119" s="31"/>
    </row>
    <row r="120" spans="1:25" s="243" customFormat="1" hidden="1">
      <c r="A120" s="58">
        <v>42826</v>
      </c>
      <c r="C120" s="75">
        <f>Population!DK357+Population!DL357+Population!DM357+Population!DN357</f>
        <v>280153</v>
      </c>
      <c r="D120" s="63">
        <f t="shared" ref="D120" si="418">(C120-C119)/C119</f>
        <v>5.664542762272279E-3</v>
      </c>
      <c r="E120" s="115">
        <f t="shared" ref="E120" si="419">C120-C119</f>
        <v>1578</v>
      </c>
      <c r="F120" s="75">
        <f>SUM(Population!DO357:'Population'!DT357)</f>
        <v>744414</v>
      </c>
      <c r="G120" s="63">
        <f t="shared" ref="G120" si="420">(F120-F119)/F119</f>
        <v>8.6978909071199675E-3</v>
      </c>
      <c r="H120" s="115">
        <f t="shared" ref="H120" si="421">F120-F119</f>
        <v>6419</v>
      </c>
      <c r="I120" s="86">
        <f t="shared" ref="I120" si="422">C120+F120</f>
        <v>1024567</v>
      </c>
      <c r="J120" s="63">
        <f t="shared" ref="J120" si="423">(I120-I119)/I119</f>
        <v>7.8666496158651157E-3</v>
      </c>
      <c r="K120" s="115">
        <f t="shared" ref="K120" si="424">I120-I119</f>
        <v>7997</v>
      </c>
      <c r="L120" s="88"/>
      <c r="M120" s="1"/>
      <c r="N120" s="75">
        <f>SUM(Population!H357:L357,Population!O357,Population!CG357)</f>
        <v>114639</v>
      </c>
      <c r="O120" s="75">
        <f>Population!G357</f>
        <v>1122</v>
      </c>
      <c r="P120" s="86">
        <f t="shared" ref="P120" si="425">SUM(N120:O120)</f>
        <v>115761</v>
      </c>
      <c r="Q120" s="87">
        <f t="shared" ref="Q120" si="426">(P120-P119)/P119</f>
        <v>1.5447368421052632E-2</v>
      </c>
      <c r="R120" s="115">
        <f t="shared" ref="R120" si="427">P120-P119</f>
        <v>1761</v>
      </c>
      <c r="S120" s="89"/>
      <c r="T120" s="1"/>
      <c r="U120" s="78">
        <f t="shared" ref="U120" si="428">I120+P120</f>
        <v>1140328</v>
      </c>
      <c r="V120" s="63">
        <f t="shared" ref="V120" si="429">(U120-U119)/U119</f>
        <v>8.6310445173673461E-3</v>
      </c>
      <c r="W120" s="115">
        <f t="shared" ref="W120" si="430">U120-U119</f>
        <v>9758</v>
      </c>
      <c r="Y120" s="31"/>
    </row>
    <row r="121" spans="1:25" s="243" customFormat="1" hidden="1">
      <c r="A121" s="58">
        <v>42856</v>
      </c>
      <c r="C121" s="75">
        <f>Population!DK358+Population!DL358+Population!DM358+Population!DN358</f>
        <v>280147</v>
      </c>
      <c r="D121" s="63">
        <f t="shared" ref="D121" si="431">(C121-C120)/C120</f>
        <v>-2.1416868639636199E-5</v>
      </c>
      <c r="E121" s="115">
        <f t="shared" ref="E121" si="432">C121-C120</f>
        <v>-6</v>
      </c>
      <c r="F121" s="75">
        <f>SUM(Population!DO358:'Population'!DT358)</f>
        <v>743132</v>
      </c>
      <c r="G121" s="63">
        <f t="shared" ref="G121" si="433">(F121-F120)/F120</f>
        <v>-1.7221599808708596E-3</v>
      </c>
      <c r="H121" s="115">
        <f t="shared" ref="H121" si="434">F121-F120</f>
        <v>-1282</v>
      </c>
      <c r="I121" s="86">
        <f t="shared" ref="I121" si="435">C121+F121</f>
        <v>1023279</v>
      </c>
      <c r="J121" s="63">
        <f t="shared" ref="J121" si="436">(I121-I120)/I120</f>
        <v>-1.2571164208880433E-3</v>
      </c>
      <c r="K121" s="115">
        <f t="shared" ref="K121" si="437">I121-I120</f>
        <v>-1288</v>
      </c>
      <c r="L121" s="88"/>
      <c r="M121" s="1"/>
      <c r="N121" s="75">
        <f>SUM(Population!H358:L358,Population!O358,Population!CG358)</f>
        <v>115741</v>
      </c>
      <c r="O121" s="75">
        <f>Population!G358</f>
        <v>1139</v>
      </c>
      <c r="P121" s="86">
        <f t="shared" ref="P121" si="438">SUM(N121:O121)</f>
        <v>116880</v>
      </c>
      <c r="Q121" s="87">
        <f t="shared" ref="Q121" si="439">(P121-P120)/P120</f>
        <v>9.6664679814445278E-3</v>
      </c>
      <c r="R121" s="115">
        <f t="shared" ref="R121" si="440">P121-P120</f>
        <v>1119</v>
      </c>
      <c r="S121" s="89"/>
      <c r="T121" s="1"/>
      <c r="U121" s="78">
        <f t="shared" ref="U121" si="441">I121+P121</f>
        <v>1140159</v>
      </c>
      <c r="V121" s="63">
        <f t="shared" ref="V121" si="442">(U121-U120)/U120</f>
        <v>-1.4820297317964657E-4</v>
      </c>
      <c r="W121" s="115">
        <f t="shared" ref="W121" si="443">U121-U120</f>
        <v>-169</v>
      </c>
      <c r="X121" s="259"/>
      <c r="Y121" s="31"/>
    </row>
    <row r="122" spans="1:25" s="243" customFormat="1" hidden="1">
      <c r="A122" s="58">
        <v>42887</v>
      </c>
      <c r="C122" s="75">
        <f>Population!DK359+Population!DL359+Population!DM359+Population!DN359</f>
        <v>280966</v>
      </c>
      <c r="D122" s="63">
        <f t="shared" ref="D122" si="444">(C122-C121)/C121</f>
        <v>2.9234651807800906E-3</v>
      </c>
      <c r="E122" s="115">
        <f t="shared" ref="E122" si="445">C122-C121</f>
        <v>819</v>
      </c>
      <c r="F122" s="75">
        <f>SUM(Population!DO359:'Population'!DT359)</f>
        <v>743833</v>
      </c>
      <c r="G122" s="63">
        <f t="shared" ref="G122" si="446">(F122-F121)/F121</f>
        <v>9.433048233691996E-4</v>
      </c>
      <c r="H122" s="115">
        <f t="shared" ref="H122" si="447">F122-F121</f>
        <v>701</v>
      </c>
      <c r="I122" s="86">
        <f t="shared" ref="I122" si="448">C122+F122</f>
        <v>1024799</v>
      </c>
      <c r="J122" s="63">
        <f t="shared" ref="J122" si="449">(I122-I121)/I121</f>
        <v>1.4854208871676248E-3</v>
      </c>
      <c r="K122" s="115">
        <f t="shared" ref="K122" si="450">I122-I121</f>
        <v>1520</v>
      </c>
      <c r="L122" s="88"/>
      <c r="M122" s="1"/>
      <c r="N122" s="75">
        <f>SUM(Population!H359:L359,Population!O359,Population!CG359)</f>
        <v>116678</v>
      </c>
      <c r="O122" s="75">
        <f>Population!G359</f>
        <v>1115</v>
      </c>
      <c r="P122" s="86">
        <f t="shared" ref="P122" si="451">SUM(N122:O122)</f>
        <v>117793</v>
      </c>
      <c r="Q122" s="87">
        <f t="shared" ref="Q122" si="452">(P122-P121)/P121</f>
        <v>7.8114305270362769E-3</v>
      </c>
      <c r="R122" s="115">
        <f t="shared" ref="R122" si="453">P122-P121</f>
        <v>913</v>
      </c>
      <c r="S122" s="89"/>
      <c r="T122" s="1"/>
      <c r="U122" s="78">
        <f t="shared" ref="U122" si="454">I122+P122</f>
        <v>1142592</v>
      </c>
      <c r="V122" s="63">
        <f t="shared" ref="V122" si="455">(U122-U121)/U121</f>
        <v>2.1339129016216159E-3</v>
      </c>
      <c r="W122" s="115">
        <f t="shared" ref="W122" si="456">U122-U121</f>
        <v>2433</v>
      </c>
      <c r="X122" s="260"/>
    </row>
    <row r="123" spans="1:25" s="261" customFormat="1" ht="7.5" hidden="1" customHeight="1">
      <c r="A123" s="58"/>
      <c r="M123" s="1"/>
      <c r="T123" s="1"/>
    </row>
    <row r="124" spans="1:25" s="261" customFormat="1" hidden="1">
      <c r="A124" s="58">
        <v>42917</v>
      </c>
      <c r="C124" s="75">
        <f>Population!DK360+Population!DL360+Population!DM360+Population!DN360</f>
        <v>281605</v>
      </c>
      <c r="D124" s="63">
        <f>(C124-C122)/C122</f>
        <v>2.2742965341002114E-3</v>
      </c>
      <c r="E124" s="115">
        <f>C124-C122</f>
        <v>639</v>
      </c>
      <c r="F124" s="75">
        <f>SUM(Population!DO360:'Population'!DT360)</f>
        <v>746216</v>
      </c>
      <c r="G124" s="63">
        <f>(F124-F122)/F122</f>
        <v>3.203676093961951E-3</v>
      </c>
      <c r="H124" s="115">
        <f>F124-F122</f>
        <v>2383</v>
      </c>
      <c r="I124" s="86">
        <f t="shared" ref="I124:I129" si="457">C124+F124</f>
        <v>1027821</v>
      </c>
      <c r="J124" s="63">
        <f>(I124-I122)/I122</f>
        <v>2.9488709493276245E-3</v>
      </c>
      <c r="K124" s="115">
        <f>I124-I122</f>
        <v>3022</v>
      </c>
      <c r="L124" s="88"/>
      <c r="M124" s="1"/>
      <c r="N124" s="75">
        <f>SUM(Population!H360:L360,Population!O360,Population!CG360)</f>
        <v>119054</v>
      </c>
      <c r="O124" s="75">
        <f>Population!G360</f>
        <v>1160</v>
      </c>
      <c r="P124" s="86">
        <f t="shared" ref="P124" si="458">SUM(N124:O124)</f>
        <v>120214</v>
      </c>
      <c r="Q124" s="87">
        <f>(P124-P122)/P122</f>
        <v>2.055300399853981E-2</v>
      </c>
      <c r="R124" s="115">
        <f>P124-P122</f>
        <v>2421</v>
      </c>
      <c r="S124" s="89"/>
      <c r="T124" s="1"/>
      <c r="U124" s="78">
        <f t="shared" ref="U124:U130" si="459">I124+P124</f>
        <v>1148035</v>
      </c>
      <c r="V124" s="63">
        <f>(U124-U122)/U122</f>
        <v>4.7637301854030131E-3</v>
      </c>
      <c r="W124" s="115">
        <f>U124-U122</f>
        <v>5443</v>
      </c>
    </row>
    <row r="125" spans="1:25" s="261" customFormat="1" hidden="1">
      <c r="A125" s="58">
        <v>42948</v>
      </c>
      <c r="C125" s="75">
        <f>Population!DK361+Population!DL361+Population!DM361+Population!DN361</f>
        <v>282599</v>
      </c>
      <c r="D125" s="63">
        <f t="shared" ref="D125:D130" si="460">(C125-C124)/C124</f>
        <v>3.5297668720370733E-3</v>
      </c>
      <c r="E125" s="115">
        <f t="shared" ref="E125:E130" si="461">C125-C124</f>
        <v>994</v>
      </c>
      <c r="F125" s="75">
        <f>SUM(Population!DO361:'Population'!DT361)</f>
        <v>748698</v>
      </c>
      <c r="G125" s="63">
        <f t="shared" ref="G125:G130" si="462">(F125-F124)/F124</f>
        <v>3.3261146906525723E-3</v>
      </c>
      <c r="H125" s="115">
        <f t="shared" ref="H125:H130" si="463">F125-F124</f>
        <v>2482</v>
      </c>
      <c r="I125" s="86">
        <f t="shared" si="457"/>
        <v>1031297</v>
      </c>
      <c r="J125" s="63">
        <f t="shared" ref="J125:J131" si="464">(I125-I124)/I124</f>
        <v>3.3819118309511092E-3</v>
      </c>
      <c r="K125" s="115">
        <f t="shared" ref="K125:K130" si="465">I125-I124</f>
        <v>3476</v>
      </c>
      <c r="L125" s="88"/>
      <c r="M125" s="1"/>
      <c r="N125" s="75">
        <f>SUM(Population!H361:L361,Population!O361,Population!CG361)</f>
        <v>120891</v>
      </c>
      <c r="O125" s="75">
        <f>Population!G361</f>
        <v>1154</v>
      </c>
      <c r="P125" s="86">
        <f t="shared" ref="P125" si="466">SUM(N125:O125)</f>
        <v>122045</v>
      </c>
      <c r="Q125" s="87">
        <f t="shared" ref="Q125:Q131" si="467">(P125-P124)/P124</f>
        <v>1.5231171078243799E-2</v>
      </c>
      <c r="R125" s="115">
        <f t="shared" ref="R125:R130" si="468">P125-P124</f>
        <v>1831</v>
      </c>
      <c r="S125" s="89"/>
      <c r="T125" s="1"/>
      <c r="U125" s="78">
        <f t="shared" si="459"/>
        <v>1153342</v>
      </c>
      <c r="V125" s="63">
        <f t="shared" ref="V125:V131" si="469">(U125-U124)/U124</f>
        <v>4.6226813642441219E-3</v>
      </c>
      <c r="W125" s="115">
        <f t="shared" ref="W125:W130" si="470">U125-U124</f>
        <v>5307</v>
      </c>
      <c r="X125" s="262"/>
    </row>
    <row r="126" spans="1:25" s="261" customFormat="1" hidden="1">
      <c r="A126" s="58">
        <v>42979</v>
      </c>
      <c r="C126" s="75">
        <f>Population!DK362+Population!DL362+Population!DM362+Population!DN362</f>
        <v>283399</v>
      </c>
      <c r="D126" s="63">
        <f t="shared" si="460"/>
        <v>2.8308663512609739E-3</v>
      </c>
      <c r="E126" s="115">
        <f t="shared" si="461"/>
        <v>800</v>
      </c>
      <c r="F126" s="75">
        <f>SUM(Population!DO362:'Population'!DT362)</f>
        <v>753083</v>
      </c>
      <c r="G126" s="63">
        <f t="shared" si="462"/>
        <v>5.8568341307175921E-3</v>
      </c>
      <c r="H126" s="115">
        <f t="shared" si="463"/>
        <v>4385</v>
      </c>
      <c r="I126" s="86">
        <f t="shared" si="457"/>
        <v>1036482</v>
      </c>
      <c r="J126" s="63">
        <f t="shared" si="464"/>
        <v>5.0276496489372125E-3</v>
      </c>
      <c r="K126" s="115">
        <f t="shared" si="465"/>
        <v>5185</v>
      </c>
      <c r="L126" s="88"/>
      <c r="M126" s="1"/>
      <c r="N126" s="75">
        <f>SUM(Population!H362:L362,Population!O362,Population!CG362)</f>
        <v>123256</v>
      </c>
      <c r="O126" s="75">
        <f>Population!G362</f>
        <v>1146</v>
      </c>
      <c r="P126" s="86">
        <f t="shared" ref="P126" si="471">SUM(N126:O126)</f>
        <v>124402</v>
      </c>
      <c r="Q126" s="87">
        <f t="shared" si="467"/>
        <v>1.9312548650088083E-2</v>
      </c>
      <c r="R126" s="115">
        <f t="shared" si="468"/>
        <v>2357</v>
      </c>
      <c r="S126" s="89"/>
      <c r="T126" s="1"/>
      <c r="U126" s="78">
        <f t="shared" si="459"/>
        <v>1160884</v>
      </c>
      <c r="V126" s="63">
        <f t="shared" si="469"/>
        <v>6.5392572194544205E-3</v>
      </c>
      <c r="W126" s="115">
        <f t="shared" si="470"/>
        <v>7542</v>
      </c>
      <c r="X126" s="265"/>
    </row>
    <row r="127" spans="1:25" s="261" customFormat="1" hidden="1">
      <c r="A127" s="58">
        <v>43009</v>
      </c>
      <c r="C127" s="75">
        <f>Population!DK363+Population!DL363+Population!DM363+Population!DN363</f>
        <v>283543</v>
      </c>
      <c r="D127" s="63">
        <f t="shared" si="460"/>
        <v>5.0811753040765843E-4</v>
      </c>
      <c r="E127" s="115">
        <f t="shared" si="461"/>
        <v>144</v>
      </c>
      <c r="F127" s="75">
        <f>SUM(Population!DO363:'Population'!DT363)</f>
        <v>756551</v>
      </c>
      <c r="G127" s="63">
        <f t="shared" si="462"/>
        <v>4.6050700918756635E-3</v>
      </c>
      <c r="H127" s="115">
        <f t="shared" si="463"/>
        <v>3468</v>
      </c>
      <c r="I127" s="86">
        <f t="shared" si="457"/>
        <v>1040094</v>
      </c>
      <c r="J127" s="63">
        <f t="shared" si="464"/>
        <v>3.48486514961186E-3</v>
      </c>
      <c r="K127" s="115">
        <f t="shared" si="465"/>
        <v>3612</v>
      </c>
      <c r="L127" s="88"/>
      <c r="M127" s="1"/>
      <c r="N127" s="75">
        <f>SUM(Population!H363:L363,Population!O363,Population!CG363)</f>
        <v>125132</v>
      </c>
      <c r="O127" s="75">
        <f>Population!G363</f>
        <v>1097</v>
      </c>
      <c r="P127" s="86">
        <f t="shared" ref="P127" si="472">SUM(N127:O127)</f>
        <v>126229</v>
      </c>
      <c r="Q127" s="87">
        <f t="shared" si="467"/>
        <v>1.468625906335911E-2</v>
      </c>
      <c r="R127" s="115">
        <f t="shared" si="468"/>
        <v>1827</v>
      </c>
      <c r="S127" s="89"/>
      <c r="T127" s="1"/>
      <c r="U127" s="78">
        <f t="shared" si="459"/>
        <v>1166323</v>
      </c>
      <c r="V127" s="63">
        <f t="shared" si="469"/>
        <v>4.685222640677277E-3</v>
      </c>
      <c r="W127" s="115">
        <f t="shared" si="470"/>
        <v>5439</v>
      </c>
      <c r="X127" s="266"/>
    </row>
    <row r="128" spans="1:25" s="261" customFormat="1" hidden="1">
      <c r="A128" s="58">
        <v>43040</v>
      </c>
      <c r="C128" s="75">
        <f>Population!DK364+Population!DL364+Population!DM364+Population!DN364</f>
        <v>284699</v>
      </c>
      <c r="D128" s="63">
        <f t="shared" si="460"/>
        <v>4.0769830325559087E-3</v>
      </c>
      <c r="E128" s="115">
        <f t="shared" si="461"/>
        <v>1156</v>
      </c>
      <c r="F128" s="75">
        <f>SUM(Population!DO364:'Population'!DT364)</f>
        <v>760766</v>
      </c>
      <c r="G128" s="63">
        <f t="shared" si="462"/>
        <v>5.5713362350984933E-3</v>
      </c>
      <c r="H128" s="115">
        <f t="shared" si="463"/>
        <v>4215</v>
      </c>
      <c r="I128" s="86">
        <f t="shared" si="457"/>
        <v>1045465</v>
      </c>
      <c r="J128" s="63">
        <f t="shared" si="464"/>
        <v>5.1639563347159008E-3</v>
      </c>
      <c r="K128" s="115">
        <f t="shared" si="465"/>
        <v>5371</v>
      </c>
      <c r="L128" s="88"/>
      <c r="M128" s="1"/>
      <c r="N128" s="75">
        <f>SUM(Population!H364:L364,Population!O364,Population!CG364)</f>
        <v>127878</v>
      </c>
      <c r="O128" s="75">
        <f>Population!G364</f>
        <v>1085</v>
      </c>
      <c r="P128" s="86">
        <f t="shared" ref="P128" si="473">SUM(N128:O128)</f>
        <v>128963</v>
      </c>
      <c r="Q128" s="87">
        <f t="shared" si="467"/>
        <v>2.1659048237726672E-2</v>
      </c>
      <c r="R128" s="115">
        <f t="shared" si="468"/>
        <v>2734</v>
      </c>
      <c r="S128" s="89"/>
      <c r="T128" s="1"/>
      <c r="U128" s="78">
        <f t="shared" si="459"/>
        <v>1174428</v>
      </c>
      <c r="V128" s="63">
        <f t="shared" si="469"/>
        <v>6.9491898899361497E-3</v>
      </c>
      <c r="W128" s="115">
        <f t="shared" si="470"/>
        <v>8105</v>
      </c>
      <c r="X128" s="267"/>
    </row>
    <row r="129" spans="1:25" s="261" customFormat="1" hidden="1">
      <c r="A129" s="58">
        <v>43070</v>
      </c>
      <c r="C129" s="75">
        <f>Population!DK365+Population!DL365+Population!DM365+Population!DN365</f>
        <v>285277</v>
      </c>
      <c r="D129" s="63">
        <f t="shared" si="460"/>
        <v>2.0302143667522542E-3</v>
      </c>
      <c r="E129" s="115">
        <f t="shared" si="461"/>
        <v>578</v>
      </c>
      <c r="F129" s="75">
        <f>SUM(Population!DO365:'Population'!DT365)</f>
        <v>762426</v>
      </c>
      <c r="G129" s="63">
        <f t="shared" si="462"/>
        <v>2.1820112886222569E-3</v>
      </c>
      <c r="H129" s="115">
        <f t="shared" si="463"/>
        <v>1660</v>
      </c>
      <c r="I129" s="86">
        <f t="shared" si="457"/>
        <v>1047703</v>
      </c>
      <c r="J129" s="63">
        <f t="shared" si="464"/>
        <v>2.1406742454314585E-3</v>
      </c>
      <c r="K129" s="115">
        <f t="shared" si="465"/>
        <v>2238</v>
      </c>
      <c r="L129" s="88"/>
      <c r="M129" s="1"/>
      <c r="N129" s="75">
        <f>SUM(Population!H365:L365,Population!O365,Population!CG365)</f>
        <v>129522</v>
      </c>
      <c r="O129" s="75">
        <f>Population!G365</f>
        <v>1114</v>
      </c>
      <c r="P129" s="86">
        <f t="shared" ref="P129" si="474">SUM(N129:O129)</f>
        <v>130636</v>
      </c>
      <c r="Q129" s="87">
        <f t="shared" si="467"/>
        <v>1.2972713103758443E-2</v>
      </c>
      <c r="R129" s="115">
        <f t="shared" si="468"/>
        <v>1673</v>
      </c>
      <c r="S129" s="89"/>
      <c r="T129" s="1"/>
      <c r="U129" s="78">
        <f t="shared" si="459"/>
        <v>1178339</v>
      </c>
      <c r="V129" s="63">
        <f t="shared" si="469"/>
        <v>3.3301317747873858E-3</v>
      </c>
      <c r="W129" s="115">
        <f t="shared" si="470"/>
        <v>3911</v>
      </c>
      <c r="X129" s="268"/>
    </row>
    <row r="130" spans="1:25" s="261" customFormat="1" hidden="1">
      <c r="A130" s="58">
        <v>43101</v>
      </c>
      <c r="C130" s="75">
        <f>Population!DK366+Population!DL366+Population!DM366+Population!DN366</f>
        <v>284027</v>
      </c>
      <c r="D130" s="63">
        <f t="shared" si="460"/>
        <v>-4.3817062013411529E-3</v>
      </c>
      <c r="E130" s="115">
        <f t="shared" si="461"/>
        <v>-1250</v>
      </c>
      <c r="F130" s="75">
        <f>SUM(Population!DO366:'Population'!DT366)</f>
        <v>763999</v>
      </c>
      <c r="G130" s="63">
        <f t="shared" si="462"/>
        <v>2.0631510467901148E-3</v>
      </c>
      <c r="H130" s="115">
        <f t="shared" si="463"/>
        <v>1573</v>
      </c>
      <c r="I130" s="86">
        <f t="shared" ref="I130" si="475">C130+F130</f>
        <v>1048026</v>
      </c>
      <c r="J130" s="63">
        <f t="shared" si="464"/>
        <v>3.0829347630005832E-4</v>
      </c>
      <c r="K130" s="115">
        <f t="shared" si="465"/>
        <v>323</v>
      </c>
      <c r="L130" s="88"/>
      <c r="M130" s="1"/>
      <c r="N130" s="75">
        <f>SUM(Population!H366:L366,Population!O366,Population!CG366)</f>
        <v>130993</v>
      </c>
      <c r="O130" s="75">
        <f>Population!G366</f>
        <v>1150</v>
      </c>
      <c r="P130" s="86">
        <f t="shared" ref="P130" si="476">SUM(N130:O130)</f>
        <v>132143</v>
      </c>
      <c r="Q130" s="87">
        <f t="shared" si="467"/>
        <v>1.1535870663523072E-2</v>
      </c>
      <c r="R130" s="115">
        <f t="shared" si="468"/>
        <v>1507</v>
      </c>
      <c r="S130" s="89"/>
      <c r="T130" s="1"/>
      <c r="U130" s="78">
        <f t="shared" si="459"/>
        <v>1180169</v>
      </c>
      <c r="V130" s="63">
        <f t="shared" si="469"/>
        <v>1.5530335497679361E-3</v>
      </c>
      <c r="W130" s="115">
        <f t="shared" si="470"/>
        <v>1830</v>
      </c>
    </row>
    <row r="131" spans="1:25" s="261" customFormat="1" hidden="1">
      <c r="A131" s="58">
        <v>43132</v>
      </c>
      <c r="C131" s="75">
        <f>Population!DK367+Population!DL367+Population!DM367+Population!DN367</f>
        <v>284300</v>
      </c>
      <c r="D131" s="63">
        <f t="shared" ref="D131" si="477">(C131-C130)/C130</f>
        <v>9.6117622620384678E-4</v>
      </c>
      <c r="E131" s="115">
        <f t="shared" ref="E131" si="478">C131-C130</f>
        <v>273</v>
      </c>
      <c r="F131" s="75">
        <f>SUM(Population!DO367:'Population'!DT367)</f>
        <v>768207</v>
      </c>
      <c r="G131" s="63">
        <f t="shared" ref="G131" si="479">(F131-F130)/F130</f>
        <v>5.5078606123830009E-3</v>
      </c>
      <c r="H131" s="115">
        <f t="shared" ref="H131" si="480">F131-F130</f>
        <v>4208</v>
      </c>
      <c r="I131" s="86">
        <f t="shared" ref="I131" si="481">C131+F131</f>
        <v>1052507</v>
      </c>
      <c r="J131" s="63">
        <f t="shared" si="464"/>
        <v>4.2756572833116731E-3</v>
      </c>
      <c r="K131" s="115">
        <f t="shared" ref="K131" si="482">I131-I130</f>
        <v>4481</v>
      </c>
      <c r="L131" s="88"/>
      <c r="M131" s="1"/>
      <c r="N131" s="75">
        <f>SUM(Population!H367:L367,Population!O367,Population!CG367)</f>
        <v>132519</v>
      </c>
      <c r="O131" s="75">
        <f>Population!G367</f>
        <v>1208</v>
      </c>
      <c r="P131" s="86">
        <f t="shared" ref="P131" si="483">SUM(N131:O131)</f>
        <v>133727</v>
      </c>
      <c r="Q131" s="87">
        <f t="shared" si="467"/>
        <v>1.19870140680929E-2</v>
      </c>
      <c r="R131" s="115">
        <f t="shared" ref="R131" si="484">P131-P130</f>
        <v>1584</v>
      </c>
      <c r="S131" s="89"/>
      <c r="T131" s="1"/>
      <c r="U131" s="78">
        <f t="shared" ref="U131" si="485">I131+P131</f>
        <v>1186234</v>
      </c>
      <c r="V131" s="63">
        <f t="shared" si="469"/>
        <v>5.1390944856202795E-3</v>
      </c>
      <c r="W131" s="115">
        <f t="shared" ref="W131" si="486">U131-U130</f>
        <v>6065</v>
      </c>
      <c r="X131" s="270"/>
    </row>
    <row r="132" spans="1:25" s="261" customFormat="1" hidden="1">
      <c r="A132" s="58">
        <v>43160</v>
      </c>
      <c r="C132" s="75">
        <f>Population!DK368+Population!DL368+Population!DM368+Population!DN368</f>
        <v>284395</v>
      </c>
      <c r="D132" s="63">
        <f t="shared" ref="D132" si="487">(C132-C131)/C131</f>
        <v>3.3415406260991912E-4</v>
      </c>
      <c r="E132" s="115">
        <f t="shared" ref="E132" si="488">C132-C131</f>
        <v>95</v>
      </c>
      <c r="F132" s="75">
        <f>SUM(Population!DO368:'Population'!DT368)</f>
        <v>769956</v>
      </c>
      <c r="G132" s="63">
        <f t="shared" ref="G132" si="489">(F132-F131)/F131</f>
        <v>2.2767301000902102E-3</v>
      </c>
      <c r="H132" s="115">
        <f t="shared" ref="H132" si="490">F132-F131</f>
        <v>1749</v>
      </c>
      <c r="I132" s="86">
        <f t="shared" ref="I132" si="491">C132+F132</f>
        <v>1054351</v>
      </c>
      <c r="J132" s="63">
        <f t="shared" ref="J132" si="492">(I132-I131)/I131</f>
        <v>1.7520073500698807E-3</v>
      </c>
      <c r="K132" s="115">
        <f t="shared" ref="K132" si="493">I132-I131</f>
        <v>1844</v>
      </c>
      <c r="L132" s="88"/>
      <c r="M132" s="1"/>
      <c r="N132" s="75">
        <f>SUM(Population!H368:L368,Population!O368,Population!CG368)</f>
        <v>132918</v>
      </c>
      <c r="O132" s="75">
        <f>Population!G368</f>
        <v>1206</v>
      </c>
      <c r="P132" s="86">
        <f t="shared" ref="P132" si="494">SUM(N132:O132)</f>
        <v>134124</v>
      </c>
      <c r="Q132" s="87">
        <f t="shared" ref="Q132" si="495">(P132-P131)/P131</f>
        <v>2.9687348104720812E-3</v>
      </c>
      <c r="R132" s="115">
        <f t="shared" ref="R132" si="496">P132-P131</f>
        <v>397</v>
      </c>
      <c r="S132" s="89"/>
      <c r="T132" s="1"/>
      <c r="U132" s="78">
        <f t="shared" ref="U132" si="497">I132+P132</f>
        <v>1188475</v>
      </c>
      <c r="V132" s="63">
        <f t="shared" ref="V132" si="498">(U132-U131)/U131</f>
        <v>1.8891719508967034E-3</v>
      </c>
      <c r="W132" s="115">
        <f t="shared" ref="W132" si="499">U132-U131</f>
        <v>2241</v>
      </c>
      <c r="X132" s="271"/>
    </row>
    <row r="133" spans="1:25" s="261" customFormat="1" hidden="1">
      <c r="A133" s="58">
        <v>43191</v>
      </c>
      <c r="C133" s="75">
        <f>Population!DK369+Population!DL369+Population!DM369+Population!DN369</f>
        <v>285342</v>
      </c>
      <c r="D133" s="63">
        <f t="shared" ref="D133" si="500">(C133-C132)/C132</f>
        <v>3.3298757010495963E-3</v>
      </c>
      <c r="E133" s="115">
        <f t="shared" ref="E133" si="501">C133-C132</f>
        <v>947</v>
      </c>
      <c r="F133" s="75">
        <f>SUM(Population!DO369:'Population'!DT369)</f>
        <v>774867</v>
      </c>
      <c r="G133" s="63">
        <f t="shared" ref="G133" si="502">(F133-F132)/F132</f>
        <v>6.3782865514393034E-3</v>
      </c>
      <c r="H133" s="115">
        <f t="shared" ref="H133" si="503">F133-F132</f>
        <v>4911</v>
      </c>
      <c r="I133" s="86">
        <f t="shared" ref="I133" si="504">C133+F133</f>
        <v>1060209</v>
      </c>
      <c r="J133" s="63">
        <f t="shared" ref="J133" si="505">(I133-I132)/I132</f>
        <v>5.5560245117612633E-3</v>
      </c>
      <c r="K133" s="115">
        <f t="shared" ref="K133" si="506">I133-I132</f>
        <v>5858</v>
      </c>
      <c r="L133" s="88"/>
      <c r="M133" s="1"/>
      <c r="N133" s="75">
        <f>SUM(Population!H369:L369,Population!O369,Population!CG369)</f>
        <v>133635</v>
      </c>
      <c r="O133" s="75">
        <f>Population!G369</f>
        <v>1170</v>
      </c>
      <c r="P133" s="86">
        <f t="shared" ref="P133" si="507">SUM(N133:O133)</f>
        <v>134805</v>
      </c>
      <c r="Q133" s="87">
        <f t="shared" ref="Q133" si="508">(P133-P132)/P132</f>
        <v>5.0773910709492704E-3</v>
      </c>
      <c r="R133" s="115">
        <f t="shared" ref="R133" si="509">P133-P132</f>
        <v>681</v>
      </c>
      <c r="S133" s="89"/>
      <c r="T133" s="1"/>
      <c r="U133" s="78">
        <f t="shared" ref="U133" si="510">I133+P133</f>
        <v>1195014</v>
      </c>
      <c r="V133" s="63">
        <f t="shared" ref="V133" si="511">(U133-U132)/U132</f>
        <v>5.5020088769221062E-3</v>
      </c>
      <c r="W133" s="115">
        <f t="shared" ref="W133" si="512">U133-U132</f>
        <v>6539</v>
      </c>
      <c r="X133" s="272"/>
    </row>
    <row r="134" spans="1:25" s="261" customFormat="1" hidden="1">
      <c r="A134" s="58">
        <v>43221</v>
      </c>
      <c r="C134" s="75">
        <f>Population!DK370+Population!DL370+Population!DM370+Population!DN370</f>
        <v>286074</v>
      </c>
      <c r="D134" s="63">
        <f t="shared" ref="D134" si="513">(C134-C133)/C133</f>
        <v>2.5653426414618246E-3</v>
      </c>
      <c r="E134" s="115">
        <f t="shared" ref="E134" si="514">C134-C133</f>
        <v>732</v>
      </c>
      <c r="F134" s="75">
        <f>SUM(Population!DO370:'Population'!DT370)</f>
        <v>779809</v>
      </c>
      <c r="G134" s="63">
        <f t="shared" ref="G134" si="515">(F134-F133)/F133</f>
        <v>6.377868718115496E-3</v>
      </c>
      <c r="H134" s="115">
        <f t="shared" ref="H134" si="516">F134-F133</f>
        <v>4942</v>
      </c>
      <c r="I134" s="86">
        <f t="shared" ref="I134" si="517">C134+F134</f>
        <v>1065883</v>
      </c>
      <c r="J134" s="63">
        <f t="shared" ref="J134" si="518">(I134-I133)/I133</f>
        <v>5.3517749802161653E-3</v>
      </c>
      <c r="K134" s="115">
        <f t="shared" ref="K134" si="519">I134-I133</f>
        <v>5674</v>
      </c>
      <c r="L134" s="88"/>
      <c r="M134" s="1"/>
      <c r="N134" s="75">
        <f>SUM(Population!H370:L370,Population!O370,Population!CG370)</f>
        <v>134324</v>
      </c>
      <c r="O134" s="75">
        <f>Population!G370</f>
        <v>1162</v>
      </c>
      <c r="P134" s="86">
        <f t="shared" ref="P134" si="520">SUM(N134:O134)</f>
        <v>135486</v>
      </c>
      <c r="Q134" s="87">
        <f t="shared" ref="Q134" si="521">(P134-P133)/P133</f>
        <v>5.0517414042505837E-3</v>
      </c>
      <c r="R134" s="115">
        <f t="shared" ref="R134" si="522">P134-P133</f>
        <v>681</v>
      </c>
      <c r="S134" s="89"/>
      <c r="T134" s="1"/>
      <c r="U134" s="78">
        <f>I134+P134</f>
        <v>1201369</v>
      </c>
      <c r="V134" s="63">
        <f t="shared" ref="V134" si="523">(U134-U133)/U133</f>
        <v>5.3179293296982295E-3</v>
      </c>
      <c r="W134" s="115">
        <f t="shared" ref="W134" si="524">U134-U133</f>
        <v>6355</v>
      </c>
      <c r="X134" s="273"/>
      <c r="Y134" s="273"/>
    </row>
    <row r="135" spans="1:25" s="261" customFormat="1" hidden="1">
      <c r="A135" s="58">
        <v>43252</v>
      </c>
      <c r="C135" s="75">
        <f>Population!DK371+Population!DL371+Population!DM371+Population!DN371</f>
        <v>286495</v>
      </c>
      <c r="D135" s="63">
        <f>(C135-C134)/C134</f>
        <v>1.4716471961800093E-3</v>
      </c>
      <c r="E135" s="115">
        <f>C135-C134</f>
        <v>421</v>
      </c>
      <c r="F135" s="75">
        <f>SUM(Population!DO371:'Population'!DT371)</f>
        <v>783491</v>
      </c>
      <c r="G135" s="63">
        <f>(F135-F134)/F134</f>
        <v>4.7216690240815375E-3</v>
      </c>
      <c r="H135" s="115">
        <f>F135-F134</f>
        <v>3682</v>
      </c>
      <c r="I135" s="86">
        <f>C135+F135</f>
        <v>1069986</v>
      </c>
      <c r="J135" s="63">
        <f>(I135-I134)/I134</f>
        <v>3.8493905991558173E-3</v>
      </c>
      <c r="K135" s="115">
        <f>I135-I134</f>
        <v>4103</v>
      </c>
      <c r="L135" s="88"/>
      <c r="M135" s="1"/>
      <c r="N135" s="75">
        <f>SUM(Population!H371:L371,Population!O371,Population!CG371)</f>
        <v>135116</v>
      </c>
      <c r="O135" s="75">
        <f>Population!G371</f>
        <v>1166</v>
      </c>
      <c r="P135" s="86">
        <f>SUM(N135:O135)</f>
        <v>136282</v>
      </c>
      <c r="Q135" s="87">
        <f>(P135-P134)/P134</f>
        <v>5.8751457715188289E-3</v>
      </c>
      <c r="R135" s="115">
        <f>P135-P134</f>
        <v>796</v>
      </c>
      <c r="S135" s="89"/>
      <c r="T135" s="1"/>
      <c r="U135" s="78">
        <f>I135+P135</f>
        <v>1206268</v>
      </c>
      <c r="V135" s="63">
        <f>(U135-U134)/U134</f>
        <v>4.0778478552384824E-3</v>
      </c>
      <c r="W135" s="115">
        <f>U135-U134</f>
        <v>4899</v>
      </c>
      <c r="X135" s="274"/>
    </row>
    <row r="136" spans="1:25" s="275" customFormat="1" ht="7.5" customHeight="1">
      <c r="A136" s="58"/>
    </row>
    <row r="137" spans="1:25" s="275" customFormat="1">
      <c r="A137" s="58">
        <v>43282</v>
      </c>
      <c r="C137" s="75">
        <f>Population!DK372+Population!DL372+Population!DM372+Population!DN372</f>
        <v>286476</v>
      </c>
      <c r="D137" s="63">
        <f>(C137-C135)/C135</f>
        <v>-6.6318783922930595E-5</v>
      </c>
      <c r="E137" s="115">
        <f>C137-C135</f>
        <v>-19</v>
      </c>
      <c r="F137" s="75">
        <f>SUM(Population!DO372:'Population'!DT372)</f>
        <v>784856</v>
      </c>
      <c r="G137" s="63">
        <f>(F137-F135)/F135</f>
        <v>1.7422025268956504E-3</v>
      </c>
      <c r="H137" s="115">
        <f>F137-F135</f>
        <v>1365</v>
      </c>
      <c r="I137" s="86">
        <f t="shared" ref="I137:I142" si="525">C137+F137</f>
        <v>1071332</v>
      </c>
      <c r="J137" s="63">
        <f>(I137-I135)/I135</f>
        <v>1.2579603845283957E-3</v>
      </c>
      <c r="K137" s="115">
        <f>I137-I135</f>
        <v>1346</v>
      </c>
      <c r="L137" s="88"/>
      <c r="M137" s="1"/>
      <c r="N137" s="75">
        <f>SUM(Population!H372:L372,Population!O372,Population!CG372)</f>
        <v>134671</v>
      </c>
      <c r="O137" s="75">
        <f>Population!G372</f>
        <v>1157</v>
      </c>
      <c r="P137" s="86">
        <f t="shared" ref="P137:P142" si="526">SUM(N137:O137)</f>
        <v>135828</v>
      </c>
      <c r="Q137" s="87">
        <f>(P137-P135)/P135</f>
        <v>-3.3313276881759882E-3</v>
      </c>
      <c r="R137" s="115">
        <f>P137-P135</f>
        <v>-454</v>
      </c>
      <c r="S137" s="89"/>
      <c r="T137" s="1"/>
      <c r="U137" s="78">
        <f t="shared" ref="U137:U142" si="527">I137+P137</f>
        <v>1207160</v>
      </c>
      <c r="V137" s="63">
        <f>(U137-U135)/U135</f>
        <v>7.3947083069433991E-4</v>
      </c>
      <c r="W137" s="115">
        <f>U137-U135</f>
        <v>892</v>
      </c>
      <c r="X137" s="276"/>
    </row>
    <row r="138" spans="1:25" s="275" customFormat="1">
      <c r="A138" s="58">
        <v>43313</v>
      </c>
      <c r="C138" s="75">
        <f>Population!DK373+Population!DL373+Population!DM373+Population!DN373</f>
        <v>286530</v>
      </c>
      <c r="D138" s="63">
        <f t="shared" ref="D138:D143" si="528">(C138-C137)/C137</f>
        <v>1.8849746575629373E-4</v>
      </c>
      <c r="E138" s="115">
        <f t="shared" ref="E138:E143" si="529">C138-C137</f>
        <v>54</v>
      </c>
      <c r="F138" s="75">
        <f>SUM(Population!DO373:'Population'!DT373)</f>
        <v>784394</v>
      </c>
      <c r="G138" s="63">
        <f t="shared" ref="G138:G143" si="530">(F138-F137)/F137</f>
        <v>-5.8864301222135015E-4</v>
      </c>
      <c r="H138" s="115">
        <f t="shared" ref="H138:H143" si="531">F138-F137</f>
        <v>-462</v>
      </c>
      <c r="I138" s="86">
        <f t="shared" si="525"/>
        <v>1070924</v>
      </c>
      <c r="J138" s="63">
        <f t="shared" ref="J138:J143" si="532">(I138-I137)/I137</f>
        <v>-3.8083432586723817E-4</v>
      </c>
      <c r="K138" s="115">
        <f t="shared" ref="K138:K143" si="533">I138-I137</f>
        <v>-408</v>
      </c>
      <c r="L138" s="88"/>
      <c r="M138" s="1"/>
      <c r="N138" s="75">
        <f>SUM(Population!H373:L373,Population!O373,Population!CG373)</f>
        <v>133844</v>
      </c>
      <c r="O138" s="75">
        <f>Population!G373</f>
        <v>1140</v>
      </c>
      <c r="P138" s="86">
        <f t="shared" si="526"/>
        <v>134984</v>
      </c>
      <c r="Q138" s="87">
        <f t="shared" ref="Q138:Q143" si="534">(P138-P137)/P137</f>
        <v>-6.2137409076184584E-3</v>
      </c>
      <c r="R138" s="115">
        <f t="shared" ref="R138:R143" si="535">P138-P137</f>
        <v>-844</v>
      </c>
      <c r="S138" s="89"/>
      <c r="T138" s="1"/>
      <c r="U138" s="78">
        <f t="shared" si="527"/>
        <v>1205908</v>
      </c>
      <c r="V138" s="63">
        <f t="shared" ref="V138:V143" si="536">(U138-U137)/U137</f>
        <v>-1.0371450346267272E-3</v>
      </c>
      <c r="W138" s="115">
        <f t="shared" ref="W138:W143" si="537">U138-U137</f>
        <v>-1252</v>
      </c>
    </row>
    <row r="139" spans="1:25" s="275" customFormat="1">
      <c r="A139" s="58">
        <v>43344</v>
      </c>
      <c r="C139" s="75">
        <f>Population!DK374+Population!DL374+Population!DM374+Population!DN374</f>
        <v>286700</v>
      </c>
      <c r="D139" s="63">
        <f t="shared" si="528"/>
        <v>5.9330611105294379E-4</v>
      </c>
      <c r="E139" s="115">
        <f t="shared" si="529"/>
        <v>170</v>
      </c>
      <c r="F139" s="75">
        <f>SUM(Population!DO374:'Population'!DT374)</f>
        <v>786814</v>
      </c>
      <c r="G139" s="63">
        <f t="shared" si="530"/>
        <v>3.085184231393917E-3</v>
      </c>
      <c r="H139" s="115">
        <f t="shared" si="531"/>
        <v>2420</v>
      </c>
      <c r="I139" s="86">
        <f t="shared" si="525"/>
        <v>1073514</v>
      </c>
      <c r="J139" s="63">
        <f t="shared" si="532"/>
        <v>2.4184722725422159E-3</v>
      </c>
      <c r="K139" s="115">
        <f t="shared" si="533"/>
        <v>2590</v>
      </c>
      <c r="L139" s="88"/>
      <c r="M139" s="1"/>
      <c r="N139" s="75">
        <f>SUM(Population!H374:L374,Population!O374,Population!CG374)</f>
        <v>133692</v>
      </c>
      <c r="O139" s="75">
        <f>Population!G374</f>
        <v>1139</v>
      </c>
      <c r="P139" s="86">
        <f t="shared" si="526"/>
        <v>134831</v>
      </c>
      <c r="Q139" s="87">
        <f t="shared" si="534"/>
        <v>-1.1334676702423991E-3</v>
      </c>
      <c r="R139" s="115">
        <f t="shared" si="535"/>
        <v>-153</v>
      </c>
      <c r="S139" s="89"/>
      <c r="T139" s="1"/>
      <c r="U139" s="78">
        <f t="shared" si="527"/>
        <v>1208345</v>
      </c>
      <c r="V139" s="63">
        <f t="shared" si="536"/>
        <v>2.0208838485191241E-3</v>
      </c>
      <c r="W139" s="115">
        <f t="shared" si="537"/>
        <v>2437</v>
      </c>
      <c r="X139" s="284"/>
    </row>
    <row r="140" spans="1:25" s="275" customFormat="1">
      <c r="A140" s="58">
        <v>43374</v>
      </c>
      <c r="C140" s="75">
        <f>Population!DK375+Population!DL375+Population!DM375+Population!DN375</f>
        <v>286150</v>
      </c>
      <c r="D140" s="63">
        <f t="shared" si="528"/>
        <v>-1.9183815835367981E-3</v>
      </c>
      <c r="E140" s="115">
        <f t="shared" si="529"/>
        <v>-550</v>
      </c>
      <c r="F140" s="75">
        <f>SUM(Population!DO375:'Population'!DT375)</f>
        <v>788167</v>
      </c>
      <c r="G140" s="63">
        <f t="shared" si="530"/>
        <v>1.7195931948338489E-3</v>
      </c>
      <c r="H140" s="115">
        <f t="shared" si="531"/>
        <v>1353</v>
      </c>
      <c r="I140" s="86">
        <f t="shared" si="525"/>
        <v>1074317</v>
      </c>
      <c r="J140" s="63">
        <f t="shared" si="532"/>
        <v>7.4801073856512346E-4</v>
      </c>
      <c r="K140" s="115">
        <f t="shared" si="533"/>
        <v>803</v>
      </c>
      <c r="L140" s="88"/>
      <c r="M140" s="1"/>
      <c r="N140" s="75">
        <f>SUM(Population!H375:L375,Population!O375,Population!CG375)</f>
        <v>133850</v>
      </c>
      <c r="O140" s="75">
        <f>Population!G375</f>
        <v>1124</v>
      </c>
      <c r="P140" s="86">
        <f t="shared" si="526"/>
        <v>134974</v>
      </c>
      <c r="Q140" s="87">
        <f t="shared" si="534"/>
        <v>1.0605869570054363E-3</v>
      </c>
      <c r="R140" s="115">
        <f t="shared" si="535"/>
        <v>143</v>
      </c>
      <c r="S140" s="89"/>
      <c r="T140" s="1"/>
      <c r="U140" s="78">
        <f t="shared" si="527"/>
        <v>1209291</v>
      </c>
      <c r="V140" s="63">
        <f t="shared" si="536"/>
        <v>7.8288899279593165E-4</v>
      </c>
      <c r="W140" s="115">
        <f t="shared" si="537"/>
        <v>946</v>
      </c>
      <c r="X140" s="285"/>
    </row>
    <row r="141" spans="1:25" s="275" customFormat="1">
      <c r="A141" s="58">
        <v>43405</v>
      </c>
      <c r="C141" s="75">
        <f>Population!DK376+Population!DL376+Population!DM376+Population!DN376</f>
        <v>287010</v>
      </c>
      <c r="D141" s="63">
        <f t="shared" si="528"/>
        <v>3.0054167394723049E-3</v>
      </c>
      <c r="E141" s="115">
        <f t="shared" si="529"/>
        <v>860</v>
      </c>
      <c r="F141" s="75">
        <f>SUM(Population!DO376:'Population'!DT376)</f>
        <v>791931</v>
      </c>
      <c r="G141" s="63">
        <f t="shared" si="530"/>
        <v>4.7756376503964261E-3</v>
      </c>
      <c r="H141" s="115">
        <f t="shared" si="531"/>
        <v>3764</v>
      </c>
      <c r="I141" s="86">
        <f t="shared" si="525"/>
        <v>1078941</v>
      </c>
      <c r="J141" s="63">
        <f t="shared" si="532"/>
        <v>4.3041299728106318E-3</v>
      </c>
      <c r="K141" s="115">
        <f t="shared" si="533"/>
        <v>4624</v>
      </c>
      <c r="L141" s="88"/>
      <c r="M141" s="1"/>
      <c r="N141" s="75">
        <f>SUM(Population!H376:L376,Population!O376,Population!CG376)</f>
        <v>134158</v>
      </c>
      <c r="O141" s="75">
        <f>Population!G376</f>
        <v>1115</v>
      </c>
      <c r="P141" s="86">
        <f t="shared" si="526"/>
        <v>135273</v>
      </c>
      <c r="Q141" s="87">
        <f t="shared" si="534"/>
        <v>2.2152414539096418E-3</v>
      </c>
      <c r="R141" s="115">
        <f t="shared" si="535"/>
        <v>299</v>
      </c>
      <c r="S141" s="89"/>
      <c r="T141" s="1"/>
      <c r="U141" s="78">
        <f t="shared" si="527"/>
        <v>1214214</v>
      </c>
      <c r="V141" s="63">
        <f t="shared" si="536"/>
        <v>4.0709804339898337E-3</v>
      </c>
      <c r="W141" s="115">
        <f t="shared" si="537"/>
        <v>4923</v>
      </c>
      <c r="X141" s="286"/>
    </row>
    <row r="142" spans="1:25" s="275" customFormat="1">
      <c r="A142" s="58">
        <v>43435</v>
      </c>
      <c r="C142" s="75">
        <f>Population!DK377+Population!DL377+Population!DM377+Population!DN377</f>
        <v>287135</v>
      </c>
      <c r="D142" s="63">
        <f t="shared" si="528"/>
        <v>4.3552489460297548E-4</v>
      </c>
      <c r="E142" s="115">
        <f t="shared" si="529"/>
        <v>125</v>
      </c>
      <c r="F142" s="75">
        <f>SUM(Population!DO377:'Population'!DT377)</f>
        <v>795813</v>
      </c>
      <c r="G142" s="63">
        <f t="shared" si="530"/>
        <v>4.9019422146626412E-3</v>
      </c>
      <c r="H142" s="115">
        <f t="shared" si="531"/>
        <v>3882</v>
      </c>
      <c r="I142" s="86">
        <f t="shared" si="525"/>
        <v>1082948</v>
      </c>
      <c r="J142" s="63">
        <f t="shared" si="532"/>
        <v>3.713826798685007E-3</v>
      </c>
      <c r="K142" s="115">
        <f t="shared" si="533"/>
        <v>4007</v>
      </c>
      <c r="L142" s="88"/>
      <c r="M142" s="1"/>
      <c r="N142" s="75">
        <f>SUM(Population!H377:L377,Population!O377,Population!CG377)</f>
        <v>135003</v>
      </c>
      <c r="O142" s="75">
        <f>Population!G377</f>
        <v>1171</v>
      </c>
      <c r="P142" s="86">
        <f t="shared" si="526"/>
        <v>136174</v>
      </c>
      <c r="Q142" s="87">
        <f t="shared" si="534"/>
        <v>6.6606048509310805E-3</v>
      </c>
      <c r="R142" s="115">
        <f t="shared" si="535"/>
        <v>901</v>
      </c>
      <c r="S142" s="89"/>
      <c r="T142" s="1"/>
      <c r="U142" s="78">
        <f t="shared" si="527"/>
        <v>1219122</v>
      </c>
      <c r="V142" s="63">
        <f t="shared" si="536"/>
        <v>4.04212107585648E-3</v>
      </c>
      <c r="W142" s="115">
        <f t="shared" si="537"/>
        <v>4908</v>
      </c>
      <c r="X142" s="287"/>
      <c r="Y142" s="287"/>
    </row>
    <row r="143" spans="1:25" s="275" customFormat="1">
      <c r="A143" s="58">
        <v>43466</v>
      </c>
      <c r="C143" s="75">
        <f>Population!DK378+Population!DL378+Population!DM378+Population!DN378</f>
        <v>285292</v>
      </c>
      <c r="D143" s="63">
        <f t="shared" si="528"/>
        <v>-6.4185835930833926E-3</v>
      </c>
      <c r="E143" s="115">
        <f t="shared" si="529"/>
        <v>-1843</v>
      </c>
      <c r="F143" s="75">
        <f>SUM(Population!DO378:'Population'!DV378)</f>
        <v>872983</v>
      </c>
      <c r="G143" s="63">
        <f t="shared" si="530"/>
        <v>9.6970016825560779E-2</v>
      </c>
      <c r="H143" s="115">
        <f t="shared" si="531"/>
        <v>77170</v>
      </c>
      <c r="I143" s="86">
        <f t="shared" ref="I143" si="538">C143+F143</f>
        <v>1158275</v>
      </c>
      <c r="J143" s="63">
        <f t="shared" si="532"/>
        <v>6.9557356401230716E-2</v>
      </c>
      <c r="K143" s="115">
        <f t="shared" si="533"/>
        <v>75327</v>
      </c>
      <c r="L143" s="88"/>
      <c r="M143" s="1"/>
      <c r="N143" s="75">
        <f>SUM(Population!H378:L378,Population!O378,Population!CG378)</f>
        <v>137545</v>
      </c>
      <c r="O143" s="75">
        <f>Population!G378</f>
        <v>1267</v>
      </c>
      <c r="P143" s="86">
        <f t="shared" ref="P143" si="539">SUM(N143:O143)</f>
        <v>138812</v>
      </c>
      <c r="Q143" s="87">
        <f t="shared" si="534"/>
        <v>1.9372273708637477E-2</v>
      </c>
      <c r="R143" s="115">
        <f t="shared" si="535"/>
        <v>2638</v>
      </c>
      <c r="S143" s="89"/>
      <c r="T143" s="1"/>
      <c r="U143" s="78">
        <f t="shared" ref="U143" si="540">I143+P143</f>
        <v>1297087</v>
      </c>
      <c r="V143" s="63">
        <f t="shared" si="536"/>
        <v>6.3951762005771365E-2</v>
      </c>
      <c r="W143" s="115">
        <f t="shared" si="537"/>
        <v>77965</v>
      </c>
      <c r="X143" s="289"/>
    </row>
    <row r="144" spans="1:25" s="275" customFormat="1">
      <c r="A144" s="58">
        <v>43497</v>
      </c>
      <c r="C144" s="75">
        <f>Population!DK379+Population!DL379+Population!DM379+Population!DN379</f>
        <v>285907</v>
      </c>
      <c r="D144" s="63">
        <f t="shared" ref="D144" si="541">(C144-C143)/C143</f>
        <v>2.1556861040618034E-3</v>
      </c>
      <c r="E144" s="115">
        <f t="shared" ref="E144" si="542">C144-C143</f>
        <v>615</v>
      </c>
      <c r="F144" s="75">
        <f>SUM(Population!DO379:'Population'!DV379)</f>
        <v>895454</v>
      </c>
      <c r="G144" s="63">
        <f t="shared" ref="G144" si="543">(F144-F143)/F143</f>
        <v>2.5740478336920652E-2</v>
      </c>
      <c r="H144" s="115">
        <f t="shared" ref="H144" si="544">F144-F143</f>
        <v>22471</v>
      </c>
      <c r="I144" s="86">
        <f t="shared" ref="I144" si="545">C144+F144</f>
        <v>1181361</v>
      </c>
      <c r="J144" s="63">
        <f t="shared" ref="J144" si="546">(I144-I143)/I143</f>
        <v>1.9931363449957912E-2</v>
      </c>
      <c r="K144" s="115">
        <f t="shared" ref="K144" si="547">I144-I143</f>
        <v>23086</v>
      </c>
      <c r="L144" s="88"/>
      <c r="M144" s="1"/>
      <c r="N144" s="75">
        <f>SUM(Population!H379:L379,Population!O379,Population!CG379)</f>
        <v>138024</v>
      </c>
      <c r="O144" s="75">
        <f>Population!G379</f>
        <v>1305</v>
      </c>
      <c r="P144" s="86">
        <f t="shared" ref="P144" si="548">SUM(N144:O144)</f>
        <v>139329</v>
      </c>
      <c r="Q144" s="87">
        <f t="shared" ref="Q144" si="549">(P144-P143)/P143</f>
        <v>3.7244618620868512E-3</v>
      </c>
      <c r="R144" s="115">
        <f t="shared" ref="R144" si="550">P144-P143</f>
        <v>517</v>
      </c>
      <c r="S144" s="89"/>
      <c r="T144" s="1"/>
      <c r="U144" s="78">
        <f t="shared" ref="U144" si="551">I144+P144</f>
        <v>1320690</v>
      </c>
      <c r="V144" s="63">
        <f t="shared" ref="V144" si="552">(U144-U143)/U143</f>
        <v>1.8196928964672378E-2</v>
      </c>
      <c r="W144" s="115">
        <f t="shared" ref="W144" si="553">U144-U143</f>
        <v>23603</v>
      </c>
      <c r="X144" s="292"/>
    </row>
    <row r="145" spans="1:25" s="275" customFormat="1">
      <c r="A145" s="58">
        <v>43525</v>
      </c>
      <c r="C145" s="75">
        <f>Population!DK380+Population!DL380+Population!DM380+Population!DN380</f>
        <v>285805</v>
      </c>
      <c r="D145" s="63">
        <f t="shared" ref="D145" si="554">(C145-C144)/C144</f>
        <v>-3.5675936580776267E-4</v>
      </c>
      <c r="E145" s="115">
        <f t="shared" ref="E145" si="555">C145-C144</f>
        <v>-102</v>
      </c>
      <c r="F145" s="75">
        <f>SUM(Population!DO380:'Population'!DV380)</f>
        <v>909304</v>
      </c>
      <c r="G145" s="63">
        <f t="shared" ref="G145" si="556">(F145-F144)/F144</f>
        <v>1.5467014497673806E-2</v>
      </c>
      <c r="H145" s="115">
        <f t="shared" ref="H145" si="557">F145-F144</f>
        <v>13850</v>
      </c>
      <c r="I145" s="86">
        <f t="shared" ref="I145" si="558">C145+F145</f>
        <v>1195109</v>
      </c>
      <c r="J145" s="63">
        <f t="shared" ref="J145" si="559">(I145-I144)/I144</f>
        <v>1.16374249700134E-2</v>
      </c>
      <c r="K145" s="115">
        <f t="shared" ref="K145" si="560">I145-I144</f>
        <v>13748</v>
      </c>
      <c r="L145" s="88"/>
      <c r="M145" s="1"/>
      <c r="N145" s="75">
        <f>SUM(Population!H380:L380,Population!O380,Population!CG380)</f>
        <v>137353</v>
      </c>
      <c r="O145" s="75">
        <f>Population!G380</f>
        <v>1269</v>
      </c>
      <c r="P145" s="86">
        <f t="shared" ref="P145" si="561">SUM(N145:O145)</f>
        <v>138622</v>
      </c>
      <c r="Q145" s="87">
        <f t="shared" ref="Q145" si="562">(P145-P144)/P144</f>
        <v>-5.0743204932210814E-3</v>
      </c>
      <c r="R145" s="115">
        <f t="shared" ref="R145" si="563">P145-P144</f>
        <v>-707</v>
      </c>
      <c r="S145" s="89"/>
      <c r="T145" s="1"/>
      <c r="U145" s="78">
        <f t="shared" ref="U145" si="564">I145+P145</f>
        <v>1333731</v>
      </c>
      <c r="V145" s="63">
        <f t="shared" ref="V145" si="565">(U145-U144)/U144</f>
        <v>9.8743838448083956E-3</v>
      </c>
      <c r="W145" s="115">
        <f t="shared" ref="W145" si="566">U145-U144</f>
        <v>13041</v>
      </c>
      <c r="X145" s="293"/>
      <c r="Y145" s="293"/>
    </row>
    <row r="146" spans="1:25" s="275" customFormat="1">
      <c r="A146" s="58">
        <v>43556</v>
      </c>
      <c r="C146" s="75">
        <f>Population!DK381+Population!DL381+Population!DM381+Population!DN381</f>
        <v>286620</v>
      </c>
      <c r="D146" s="63">
        <f t="shared" ref="D146" si="567">(C146-C145)/C145</f>
        <v>2.8515946187085599E-3</v>
      </c>
      <c r="E146" s="115">
        <f t="shared" ref="E146" si="568">C146-C145</f>
        <v>815</v>
      </c>
      <c r="F146" s="75">
        <f>SUM(Population!DO381:'Population'!DV381)</f>
        <v>928663</v>
      </c>
      <c r="G146" s="63">
        <f t="shared" ref="G146" si="569">(F146-F145)/F145</f>
        <v>2.128990964517917E-2</v>
      </c>
      <c r="H146" s="115">
        <f t="shared" ref="H146" si="570">F146-F145</f>
        <v>19359</v>
      </c>
      <c r="I146" s="86">
        <f t="shared" ref="I146" si="571">C146+F146</f>
        <v>1215283</v>
      </c>
      <c r="J146" s="63">
        <f t="shared" ref="J146" si="572">(I146-I145)/I145</f>
        <v>1.688046864344591E-2</v>
      </c>
      <c r="K146" s="115">
        <f t="shared" ref="K146" si="573">I146-I145</f>
        <v>20174</v>
      </c>
      <c r="L146" s="88"/>
      <c r="M146" s="1"/>
      <c r="N146" s="75">
        <f>SUM(Population!H381:L381,Population!O381,Population!CG381)</f>
        <v>137315</v>
      </c>
      <c r="O146" s="75">
        <f>Population!G381</f>
        <v>1278</v>
      </c>
      <c r="P146" s="86">
        <f t="shared" ref="P146" si="574">SUM(N146:O146)</f>
        <v>138593</v>
      </c>
      <c r="Q146" s="87">
        <f t="shared" ref="Q146" si="575">(P146-P145)/P145</f>
        <v>-2.0920200256813493E-4</v>
      </c>
      <c r="R146" s="115">
        <f t="shared" ref="R146" si="576">P146-P145</f>
        <v>-29</v>
      </c>
      <c r="S146" s="89"/>
      <c r="T146" s="1"/>
      <c r="U146" s="78">
        <f t="shared" ref="U146" si="577">I146+P146</f>
        <v>1353876</v>
      </c>
      <c r="V146" s="63">
        <f t="shared" ref="V146" si="578">(U146-U145)/U145</f>
        <v>1.5104245158881363E-2</v>
      </c>
      <c r="W146" s="115">
        <f t="shared" ref="W146" si="579">U146-U145</f>
        <v>20145</v>
      </c>
      <c r="X146" s="294"/>
    </row>
    <row r="147" spans="1:25" s="275" customFormat="1">
      <c r="A147" s="58">
        <v>43586</v>
      </c>
      <c r="C147" s="75">
        <f>Population!DK382+Population!DL382+Population!DM382+Population!DN382</f>
        <v>286905</v>
      </c>
      <c r="D147" s="63">
        <f t="shared" ref="D147" si="580">(C147-C146)/C146</f>
        <v>9.9434791710278415E-4</v>
      </c>
      <c r="E147" s="115">
        <f t="shared" ref="E147" si="581">C147-C146</f>
        <v>285</v>
      </c>
      <c r="F147" s="75">
        <f>SUM(Population!DO382:'Population'!DV382)</f>
        <v>944476</v>
      </c>
      <c r="G147" s="63">
        <f t="shared" ref="G147" si="582">(F147-F146)/F146</f>
        <v>1.7027705421665339E-2</v>
      </c>
      <c r="H147" s="115">
        <f t="shared" ref="H147" si="583">F147-F146</f>
        <v>15813</v>
      </c>
      <c r="I147" s="86">
        <f t="shared" ref="I147" si="584">C147+F147</f>
        <v>1231381</v>
      </c>
      <c r="J147" s="63">
        <f t="shared" ref="J147" si="585">(I147-I146)/I146</f>
        <v>1.3246297364482183E-2</v>
      </c>
      <c r="K147" s="115">
        <f t="shared" ref="K147" si="586">I147-I146</f>
        <v>16098</v>
      </c>
      <c r="L147" s="88"/>
      <c r="M147" s="1"/>
      <c r="N147" s="75">
        <f>SUM(Population!H382:L382,Population!O382,Population!CG382)</f>
        <v>137906</v>
      </c>
      <c r="O147" s="75">
        <f>Population!G382</f>
        <v>1293</v>
      </c>
      <c r="P147" s="86">
        <f t="shared" ref="P147" si="587">SUM(N147:O147)</f>
        <v>139199</v>
      </c>
      <c r="Q147" s="87">
        <f t="shared" ref="Q147" si="588">(P147-P146)/P146</f>
        <v>4.3725152063957056E-3</v>
      </c>
      <c r="R147" s="115">
        <f t="shared" ref="R147" si="589">P147-P146</f>
        <v>606</v>
      </c>
      <c r="S147" s="89"/>
      <c r="T147" s="1"/>
      <c r="U147" s="78">
        <f t="shared" ref="U147" si="590">I147+P147</f>
        <v>1370580</v>
      </c>
      <c r="V147" s="63">
        <f t="shared" ref="V147" si="591">(U147-U146)/U146</f>
        <v>1.2337909823351622E-2</v>
      </c>
      <c r="W147" s="115">
        <f t="shared" ref="W147" si="592">U147-U146</f>
        <v>16704</v>
      </c>
      <c r="X147" s="296"/>
    </row>
    <row r="148" spans="1:25" s="275" customFormat="1">
      <c r="A148" s="58">
        <v>43617</v>
      </c>
      <c r="C148" s="75">
        <f>Population!DK383+Population!DL383+Population!DM383+Population!DN383</f>
        <v>287708</v>
      </c>
      <c r="D148" s="63">
        <f t="shared" ref="D148" si="593">(C148-C147)/C147</f>
        <v>2.798835851588505E-3</v>
      </c>
      <c r="E148" s="115">
        <f t="shared" ref="E148" si="594">C148-C147</f>
        <v>803</v>
      </c>
      <c r="F148" s="75">
        <f>SUM(Population!DO383:'Population'!DV383)</f>
        <v>959576</v>
      </c>
      <c r="G148" s="63">
        <f t="shared" ref="G148" si="595">(F148-F147)/F147</f>
        <v>1.5987701116809746E-2</v>
      </c>
      <c r="H148" s="115">
        <f t="shared" ref="H148" si="596">F148-F147</f>
        <v>15100</v>
      </c>
      <c r="I148" s="86">
        <f t="shared" ref="I148" si="597">C148+F148</f>
        <v>1247284</v>
      </c>
      <c r="J148" s="63">
        <f t="shared" ref="J148" si="598">(I148-I147)/I147</f>
        <v>1.2914768053104604E-2</v>
      </c>
      <c r="K148" s="115">
        <f t="shared" ref="K148" si="599">I148-I147</f>
        <v>15903</v>
      </c>
      <c r="L148" s="88"/>
      <c r="M148" s="1"/>
      <c r="N148" s="75">
        <f>SUM(Population!H383:L383,Population!O383,Population!CG383)</f>
        <v>138233</v>
      </c>
      <c r="O148" s="75">
        <f>Population!G383</f>
        <v>1368</v>
      </c>
      <c r="P148" s="86">
        <f t="shared" ref="P148" si="600">SUM(N148:O148)</f>
        <v>139601</v>
      </c>
      <c r="Q148" s="87">
        <f t="shared" ref="Q148" si="601">(P148-P147)/P147</f>
        <v>2.8879517812627964E-3</v>
      </c>
      <c r="R148" s="115">
        <f t="shared" ref="R148" si="602">P148-P147</f>
        <v>402</v>
      </c>
      <c r="S148" s="89"/>
      <c r="T148" s="1"/>
      <c r="U148" s="78">
        <f t="shared" ref="U148" si="603">I148+P148</f>
        <v>1386885</v>
      </c>
      <c r="V148" s="63">
        <f>(U148-U147)/U147</f>
        <v>1.1896423411986167E-2</v>
      </c>
      <c r="W148" s="115">
        <f t="shared" ref="W148" si="604">U148-U147</f>
        <v>16305</v>
      </c>
      <c r="X148" s="298"/>
    </row>
    <row r="149" spans="1:25" s="299" customFormat="1" ht="7.5" customHeight="1">
      <c r="A149" s="58"/>
      <c r="V149" s="63"/>
      <c r="W149" s="115"/>
    </row>
    <row r="150" spans="1:25" s="299" customFormat="1">
      <c r="A150" s="58">
        <v>43647</v>
      </c>
      <c r="C150" s="75">
        <f>Population!DK384+Population!DL384+Population!DM384+Population!DN384</f>
        <v>287691</v>
      </c>
      <c r="D150" s="63">
        <f>(C150-C148)/C148</f>
        <v>-5.9087686126211299E-5</v>
      </c>
      <c r="E150" s="115">
        <f>C150-C148</f>
        <v>-17</v>
      </c>
      <c r="F150" s="75">
        <f>SUM(Population!DO384:'Population'!DV384)</f>
        <v>967939</v>
      </c>
      <c r="G150" s="63">
        <f>(F150-F148)/F148</f>
        <v>8.7153075941874322E-3</v>
      </c>
      <c r="H150" s="115">
        <f>F150-F148</f>
        <v>8363</v>
      </c>
      <c r="I150" s="86">
        <f t="shared" ref="I150:I155" si="605">C150+F150</f>
        <v>1255630</v>
      </c>
      <c r="J150" s="63">
        <f>(I150-I148)/I148</f>
        <v>6.6913389412515513E-3</v>
      </c>
      <c r="K150" s="115">
        <f>I150-I148</f>
        <v>8346</v>
      </c>
      <c r="L150" s="88"/>
      <c r="M150" s="1"/>
      <c r="N150" s="75">
        <f>SUM(Population!H384:L384,Population!O384,Population!CG384)</f>
        <v>138673</v>
      </c>
      <c r="O150" s="75">
        <f>Population!G384</f>
        <v>1413</v>
      </c>
      <c r="P150" s="86">
        <f t="shared" ref="P150" si="606">SUM(N150:O150)</f>
        <v>140086</v>
      </c>
      <c r="Q150" s="87">
        <f>(P150-P148)/P148</f>
        <v>3.4741871476565355E-3</v>
      </c>
      <c r="R150" s="115">
        <f>P150-P148</f>
        <v>485</v>
      </c>
      <c r="S150" s="89"/>
      <c r="T150" s="1"/>
      <c r="U150" s="78">
        <f t="shared" ref="U150" si="607">I150+P150</f>
        <v>1395716</v>
      </c>
      <c r="V150" s="63">
        <f>(U150-U148)/U148</f>
        <v>6.3675070391560947E-3</v>
      </c>
      <c r="W150" s="115">
        <f>U150-U148</f>
        <v>8831</v>
      </c>
    </row>
    <row r="151" spans="1:25" s="299" customFormat="1">
      <c r="A151" s="58">
        <v>43678</v>
      </c>
      <c r="C151" s="75">
        <f>Population!DK385+Population!DL385+Population!DM385+Population!DN385</f>
        <v>287662</v>
      </c>
      <c r="D151" s="63">
        <f t="shared" ref="D151:D156" si="608">(C151-C150)/C150</f>
        <v>-1.0080259723105693E-4</v>
      </c>
      <c r="E151" s="115">
        <f t="shared" ref="E151:E155" si="609">C151-C150</f>
        <v>-29</v>
      </c>
      <c r="F151" s="75">
        <f>SUM(Population!DO385:'Population'!DV385)</f>
        <v>977578</v>
      </c>
      <c r="G151" s="63">
        <f t="shared" ref="G151:G156" si="610">(F151-F150)/F150</f>
        <v>9.9582721638450354E-3</v>
      </c>
      <c r="H151" s="115">
        <f t="shared" ref="H151:H155" si="611">F151-F150</f>
        <v>9639</v>
      </c>
      <c r="I151" s="86">
        <f t="shared" si="605"/>
        <v>1265240</v>
      </c>
      <c r="J151" s="63">
        <f t="shared" ref="J151:J157" si="612">(I151-I150)/I150</f>
        <v>7.6535285076017616E-3</v>
      </c>
      <c r="K151" s="115">
        <f t="shared" ref="K151:K156" si="613">I151-I150</f>
        <v>9610</v>
      </c>
      <c r="L151" s="88"/>
      <c r="M151" s="1"/>
      <c r="N151" s="75">
        <f>SUM(Population!H385:L385,Population!O385,Population!CG385)</f>
        <v>139179</v>
      </c>
      <c r="O151" s="75">
        <f>Population!G385</f>
        <v>1426</v>
      </c>
      <c r="P151" s="86">
        <f t="shared" ref="P151" si="614">SUM(N151:O151)</f>
        <v>140605</v>
      </c>
      <c r="Q151" s="87">
        <f t="shared" ref="Q151:Q157" si="615">(P151-P150)/P150</f>
        <v>3.7048670102651227E-3</v>
      </c>
      <c r="R151" s="115">
        <f t="shared" ref="R151:R156" si="616">P151-P150</f>
        <v>519</v>
      </c>
      <c r="S151" s="89"/>
      <c r="T151" s="1"/>
      <c r="U151" s="78">
        <f t="shared" ref="U151" si="617">I151+P151</f>
        <v>1405845</v>
      </c>
      <c r="V151" s="63">
        <f t="shared" ref="V151:V157" si="618">(U151-U150)/U150</f>
        <v>7.257207053583967E-3</v>
      </c>
      <c r="W151" s="115">
        <f t="shared" ref="W151:W156" si="619">U151-U150</f>
        <v>10129</v>
      </c>
      <c r="X151" s="301"/>
    </row>
    <row r="152" spans="1:25" s="299" customFormat="1">
      <c r="A152" s="58">
        <v>43709</v>
      </c>
      <c r="C152" s="75">
        <f>Population!DK386+Population!DL386+Population!DM386+Population!DN386</f>
        <v>288031</v>
      </c>
      <c r="D152" s="63">
        <f t="shared" si="608"/>
        <v>1.2827554560560657E-3</v>
      </c>
      <c r="E152" s="115">
        <f t="shared" si="609"/>
        <v>369</v>
      </c>
      <c r="F152" s="75">
        <f>SUM(Population!DO386:'Population'!DV386)</f>
        <v>987842</v>
      </c>
      <c r="G152" s="63">
        <f t="shared" si="610"/>
        <v>1.049941794925827E-2</v>
      </c>
      <c r="H152" s="115">
        <f t="shared" si="611"/>
        <v>10264</v>
      </c>
      <c r="I152" s="86">
        <f t="shared" si="605"/>
        <v>1275873</v>
      </c>
      <c r="J152" s="63">
        <f t="shared" si="612"/>
        <v>8.4039391735955225E-3</v>
      </c>
      <c r="K152" s="115">
        <f t="shared" si="613"/>
        <v>10633</v>
      </c>
      <c r="L152" s="88"/>
      <c r="M152" s="1"/>
      <c r="N152" s="75">
        <f>SUM(Population!H386:L386,Population!O386,Population!CG386)</f>
        <v>140395</v>
      </c>
      <c r="O152" s="75">
        <f>Population!G386</f>
        <v>1456</v>
      </c>
      <c r="P152" s="86">
        <f t="shared" ref="P152" si="620">SUM(N152:O152)</f>
        <v>141851</v>
      </c>
      <c r="Q152" s="87">
        <f t="shared" si="615"/>
        <v>8.8617047757903345E-3</v>
      </c>
      <c r="R152" s="115">
        <f t="shared" si="616"/>
        <v>1246</v>
      </c>
      <c r="S152" s="89"/>
      <c r="T152" s="1"/>
      <c r="U152" s="78">
        <f t="shared" ref="U152" si="621">I152+P152</f>
        <v>1417724</v>
      </c>
      <c r="V152" s="63">
        <f t="shared" si="618"/>
        <v>8.4497224089426642E-3</v>
      </c>
      <c r="W152" s="115">
        <f t="shared" si="619"/>
        <v>11879</v>
      </c>
      <c r="X152" s="302"/>
    </row>
    <row r="153" spans="1:25" s="299" customFormat="1">
      <c r="A153" s="58">
        <v>43739</v>
      </c>
      <c r="C153" s="75">
        <f>Population!DK387+Population!DL387+Population!DM387+Population!DN387</f>
        <v>288270</v>
      </c>
      <c r="D153" s="63">
        <f t="shared" si="608"/>
        <v>8.2977179539702318E-4</v>
      </c>
      <c r="E153" s="115">
        <f t="shared" si="609"/>
        <v>239</v>
      </c>
      <c r="F153" s="75">
        <f>SUM(Population!DO387:'Population'!DV387)</f>
        <v>999883</v>
      </c>
      <c r="G153" s="63">
        <f t="shared" si="610"/>
        <v>1.2189196247982977E-2</v>
      </c>
      <c r="H153" s="115">
        <f t="shared" si="611"/>
        <v>12041</v>
      </c>
      <c r="I153" s="86">
        <f t="shared" si="605"/>
        <v>1288153</v>
      </c>
      <c r="J153" s="63">
        <f t="shared" si="612"/>
        <v>9.6247824038912955E-3</v>
      </c>
      <c r="K153" s="115">
        <f t="shared" si="613"/>
        <v>12280</v>
      </c>
      <c r="L153" s="88"/>
      <c r="M153" s="1"/>
      <c r="N153" s="75">
        <f>SUM(Population!H387:L387,Population!O387,Population!CG387)</f>
        <v>141558</v>
      </c>
      <c r="O153" s="75">
        <f>Population!G387</f>
        <v>1467</v>
      </c>
      <c r="P153" s="86">
        <f t="shared" ref="P153" si="622">SUM(N153:O153)</f>
        <v>143025</v>
      </c>
      <c r="Q153" s="87">
        <f t="shared" si="615"/>
        <v>8.276289909834967E-3</v>
      </c>
      <c r="R153" s="115">
        <f t="shared" si="616"/>
        <v>1174</v>
      </c>
      <c r="S153" s="89"/>
      <c r="T153" s="1"/>
      <c r="U153" s="78">
        <f t="shared" ref="U153" si="623">I153+P153</f>
        <v>1431178</v>
      </c>
      <c r="V153" s="63">
        <f t="shared" si="618"/>
        <v>9.489858392747812E-3</v>
      </c>
      <c r="W153" s="115">
        <f t="shared" si="619"/>
        <v>13454</v>
      </c>
      <c r="X153" s="303"/>
    </row>
    <row r="154" spans="1:25" s="299" customFormat="1">
      <c r="A154" s="58">
        <v>43770</v>
      </c>
      <c r="C154" s="75">
        <f>Population!DK388+Population!DL388+Population!DM388+Population!DN388</f>
        <v>288627</v>
      </c>
      <c r="D154" s="63">
        <f t="shared" si="608"/>
        <v>1.2384223124154439E-3</v>
      </c>
      <c r="E154" s="115">
        <f t="shared" si="609"/>
        <v>357</v>
      </c>
      <c r="F154" s="75">
        <f>SUM(Population!DO388:'Population'!DV388)</f>
        <v>1005864</v>
      </c>
      <c r="G154" s="63">
        <f t="shared" si="610"/>
        <v>5.9816998588834895E-3</v>
      </c>
      <c r="H154" s="115">
        <f t="shared" si="611"/>
        <v>5981</v>
      </c>
      <c r="I154" s="86">
        <f t="shared" si="605"/>
        <v>1294491</v>
      </c>
      <c r="J154" s="63">
        <f t="shared" si="612"/>
        <v>4.9202229859341244E-3</v>
      </c>
      <c r="K154" s="115">
        <f t="shared" si="613"/>
        <v>6338</v>
      </c>
      <c r="L154" s="88"/>
      <c r="M154" s="1"/>
      <c r="N154" s="75">
        <f>SUM(Population!H388:L388,Population!O388,Population!CG388)</f>
        <v>141975</v>
      </c>
      <c r="O154" s="75">
        <f>Population!G388</f>
        <v>1466</v>
      </c>
      <c r="P154" s="86">
        <f t="shared" ref="P154" si="624">SUM(N154:O154)</f>
        <v>143441</v>
      </c>
      <c r="Q154" s="87">
        <f t="shared" si="615"/>
        <v>2.9085824156615974E-3</v>
      </c>
      <c r="R154" s="115">
        <f t="shared" si="616"/>
        <v>416</v>
      </c>
      <c r="S154" s="89"/>
      <c r="T154" s="1"/>
      <c r="U154" s="78">
        <f t="shared" ref="U154" si="625">I154+P154</f>
        <v>1437932</v>
      </c>
      <c r="V154" s="63">
        <f t="shared" si="618"/>
        <v>4.7191893670808244E-3</v>
      </c>
      <c r="W154" s="115">
        <f t="shared" si="619"/>
        <v>6754</v>
      </c>
      <c r="X154" s="304"/>
    </row>
    <row r="155" spans="1:25" s="299" customFormat="1">
      <c r="A155" s="58">
        <v>43800</v>
      </c>
      <c r="C155" s="75">
        <f>Population!DK389+Population!DL389+Population!DM389+Population!DN389</f>
        <v>288909</v>
      </c>
      <c r="D155" s="63">
        <f t="shared" si="608"/>
        <v>9.7703957010258913E-4</v>
      </c>
      <c r="E155" s="115">
        <f t="shared" si="609"/>
        <v>282</v>
      </c>
      <c r="F155" s="75">
        <f>SUM(Population!DO389:'Population'!DV389)</f>
        <v>1024520</v>
      </c>
      <c r="G155" s="63">
        <f t="shared" si="610"/>
        <v>1.8547238990559361E-2</v>
      </c>
      <c r="H155" s="115">
        <f t="shared" si="611"/>
        <v>18656</v>
      </c>
      <c r="I155" s="86">
        <f t="shared" si="605"/>
        <v>1313429</v>
      </c>
      <c r="J155" s="63">
        <f t="shared" si="612"/>
        <v>1.4629688425798247E-2</v>
      </c>
      <c r="K155" s="115">
        <f t="shared" si="613"/>
        <v>18938</v>
      </c>
      <c r="L155" s="88"/>
      <c r="M155" s="1"/>
      <c r="N155" s="75">
        <f>SUM(Population!H389:L389,Population!O389,Population!CG389)</f>
        <v>145082</v>
      </c>
      <c r="O155" s="75">
        <f>Population!G389</f>
        <v>1591</v>
      </c>
      <c r="P155" s="86">
        <f t="shared" ref="P155" si="626">SUM(N155:O155)</f>
        <v>146673</v>
      </c>
      <c r="Q155" s="87">
        <f t="shared" si="615"/>
        <v>2.2531912075348052E-2</v>
      </c>
      <c r="R155" s="115">
        <f t="shared" si="616"/>
        <v>3232</v>
      </c>
      <c r="S155" s="89"/>
      <c r="T155" s="1"/>
      <c r="U155" s="78">
        <f t="shared" ref="U155" si="627">I155+P155</f>
        <v>1460102</v>
      </c>
      <c r="V155" s="63">
        <f t="shared" si="618"/>
        <v>1.5417975258913495E-2</v>
      </c>
      <c r="W155" s="115">
        <f t="shared" si="619"/>
        <v>22170</v>
      </c>
      <c r="X155" s="305"/>
    </row>
    <row r="156" spans="1:25" s="299" customFormat="1">
      <c r="A156" s="58">
        <v>43831</v>
      </c>
      <c r="C156" s="75">
        <f>Population!DK390+Population!DL390+Population!DM390+Population!DN390</f>
        <v>288253</v>
      </c>
      <c r="D156" s="63">
        <f t="shared" si="608"/>
        <v>-2.2706111612999249E-3</v>
      </c>
      <c r="E156" s="115">
        <f t="shared" ref="E156" si="628">C156-C155</f>
        <v>-656</v>
      </c>
      <c r="F156" s="75">
        <f>SUM(Population!DO390:'Population'!DV390)</f>
        <v>1058596</v>
      </c>
      <c r="G156" s="63">
        <f t="shared" si="610"/>
        <v>3.3260453675867725E-2</v>
      </c>
      <c r="H156" s="115">
        <f t="shared" ref="H156" si="629">F156-F155</f>
        <v>34076</v>
      </c>
      <c r="I156" s="86">
        <f t="shared" ref="I156" si="630">C156+F156</f>
        <v>1346849</v>
      </c>
      <c r="J156" s="63">
        <f t="shared" si="612"/>
        <v>2.5444847037791919E-2</v>
      </c>
      <c r="K156" s="115">
        <f t="shared" si="613"/>
        <v>33420</v>
      </c>
      <c r="L156" s="88"/>
      <c r="M156" s="1"/>
      <c r="N156" s="75">
        <f>SUM(Population!H390:L390,Population!O390,Population!CG390)</f>
        <v>149536</v>
      </c>
      <c r="O156" s="75">
        <f>Population!G390</f>
        <v>1719</v>
      </c>
      <c r="P156" s="86">
        <f t="shared" ref="P156" si="631">SUM(N156:O156)</f>
        <v>151255</v>
      </c>
      <c r="Q156" s="87">
        <f t="shared" si="615"/>
        <v>3.1239560109904346E-2</v>
      </c>
      <c r="R156" s="115">
        <f t="shared" si="616"/>
        <v>4582</v>
      </c>
      <c r="S156" s="89"/>
      <c r="T156" s="1"/>
      <c r="U156" s="78">
        <f t="shared" ref="U156" si="632">I156+P156</f>
        <v>1498104</v>
      </c>
      <c r="V156" s="63">
        <f t="shared" si="618"/>
        <v>2.6026948802206969E-2</v>
      </c>
      <c r="W156" s="115">
        <f t="shared" si="619"/>
        <v>38002</v>
      </c>
      <c r="X156" s="307"/>
    </row>
    <row r="157" spans="1:25" s="299" customFormat="1">
      <c r="A157" s="58">
        <v>43862</v>
      </c>
      <c r="C157" s="75">
        <f>Population!DK391+Population!DL391+Population!DM391+Population!DN391</f>
        <v>287726</v>
      </c>
      <c r="D157" s="63">
        <f t="shared" ref="D157" si="633">(C157-C156)/C156</f>
        <v>-1.8282550398434707E-3</v>
      </c>
      <c r="E157" s="115">
        <f t="shared" ref="E157" si="634">C157-C156</f>
        <v>-527</v>
      </c>
      <c r="F157" s="75">
        <f>SUM(Population!DO391:'Population'!DV391)</f>
        <v>1069457</v>
      </c>
      <c r="G157" s="63">
        <f t="shared" ref="G157" si="635">(F157-F156)/F156</f>
        <v>1.0259815831535355E-2</v>
      </c>
      <c r="H157" s="115">
        <f t="shared" ref="H157" si="636">F157-F156</f>
        <v>10861</v>
      </c>
      <c r="I157" s="86">
        <f t="shared" ref="I157" si="637">C157+F157</f>
        <v>1357183</v>
      </c>
      <c r="J157" s="63">
        <f t="shared" si="612"/>
        <v>7.6727235198600589E-3</v>
      </c>
      <c r="K157" s="115">
        <f t="shared" ref="K157" si="638">I157-I156</f>
        <v>10334</v>
      </c>
      <c r="L157" s="88"/>
      <c r="M157" s="1"/>
      <c r="N157" s="75">
        <f>SUM(Population!H391:L391,Population!O391,Population!CG391)</f>
        <v>150154</v>
      </c>
      <c r="O157" s="75">
        <f>Population!G391</f>
        <v>1687</v>
      </c>
      <c r="P157" s="86">
        <f t="shared" ref="P157" si="639">SUM(N157:O157)</f>
        <v>151841</v>
      </c>
      <c r="Q157" s="87">
        <f t="shared" si="615"/>
        <v>3.8742520908399722E-3</v>
      </c>
      <c r="R157" s="115">
        <f t="shared" ref="R157" si="640">P157-P156</f>
        <v>586</v>
      </c>
      <c r="S157" s="89"/>
      <c r="T157" s="1"/>
      <c r="U157" s="78">
        <f t="shared" ref="U157" si="641">I157+P157</f>
        <v>1509024</v>
      </c>
      <c r="V157" s="63">
        <f t="shared" si="618"/>
        <v>7.2892135659473577E-3</v>
      </c>
      <c r="W157" s="115">
        <f t="shared" ref="W157" si="642">U157-U156</f>
        <v>10920</v>
      </c>
      <c r="X157" s="31"/>
    </row>
    <row r="158" spans="1:25" s="299" customFormat="1">
      <c r="A158" s="58">
        <v>43891</v>
      </c>
      <c r="C158" s="75">
        <f>Population!DK392+Population!DL392+Population!DM392+Population!DN392</f>
        <v>287489</v>
      </c>
      <c r="D158" s="63">
        <f t="shared" ref="D158" si="643">(C158-C157)/C157</f>
        <v>-8.2370032600460159E-4</v>
      </c>
      <c r="E158" s="115">
        <f t="shared" ref="E158" si="644">C158-C157</f>
        <v>-237</v>
      </c>
      <c r="F158" s="75">
        <f>SUM(Population!DO392:'Population'!DV392)</f>
        <v>1076318</v>
      </c>
      <c r="G158" s="63">
        <f t="shared" ref="G158" si="645">(F158-F157)/F157</f>
        <v>6.4154052009571215E-3</v>
      </c>
      <c r="H158" s="115">
        <f t="shared" ref="H158" si="646">F158-F157</f>
        <v>6861</v>
      </c>
      <c r="I158" s="86">
        <f t="shared" ref="I158" si="647">C158+F158</f>
        <v>1363807</v>
      </c>
      <c r="J158" s="63">
        <f t="shared" ref="J158" si="648">(I158-I157)/I157</f>
        <v>4.8806977393616039E-3</v>
      </c>
      <c r="K158" s="115">
        <f t="shared" ref="K158" si="649">I158-I157</f>
        <v>6624</v>
      </c>
      <c r="L158" s="88"/>
      <c r="M158" s="1"/>
      <c r="N158" s="75">
        <f>SUM(Population!H392:L392,Population!O392,Population!CG392)</f>
        <v>150625</v>
      </c>
      <c r="O158" s="75">
        <f>Population!G392</f>
        <v>1563</v>
      </c>
      <c r="P158" s="86">
        <f t="shared" ref="P158" si="650">SUM(N158:O158)</f>
        <v>152188</v>
      </c>
      <c r="Q158" s="87">
        <f t="shared" ref="Q158" si="651">(P158-P157)/P157</f>
        <v>2.2852852655079986E-3</v>
      </c>
      <c r="R158" s="115">
        <f t="shared" ref="R158" si="652">P158-P157</f>
        <v>347</v>
      </c>
      <c r="S158" s="89"/>
      <c r="T158" s="1"/>
      <c r="U158" s="78">
        <f t="shared" ref="U158" si="653">I158+P158</f>
        <v>1515995</v>
      </c>
      <c r="V158" s="63">
        <f t="shared" ref="V158" si="654">(U158-U157)/U157</f>
        <v>4.6195421676527345E-3</v>
      </c>
      <c r="W158" s="115">
        <f t="shared" ref="W158" si="655">U158-U157</f>
        <v>6971</v>
      </c>
      <c r="X158" s="31"/>
    </row>
    <row r="159" spans="1:25" s="299" customFormat="1">
      <c r="A159" s="58">
        <v>43922</v>
      </c>
      <c r="C159" s="75">
        <f>Population!DK393+Population!DL393+Population!DM393+Population!DN393</f>
        <v>289023</v>
      </c>
      <c r="D159" s="63">
        <f t="shared" ref="D159" si="656">(C159-C158)/C158</f>
        <v>5.3358563284160434E-3</v>
      </c>
      <c r="E159" s="115">
        <f t="shared" ref="E159" si="657">C159-C158</f>
        <v>1534</v>
      </c>
      <c r="F159" s="75">
        <f>SUM(Population!DO393:'Population'!DV393)</f>
        <v>1092032</v>
      </c>
      <c r="G159" s="63">
        <f t="shared" ref="G159" si="658">(F159-F158)/F158</f>
        <v>1.4599774416111223E-2</v>
      </c>
      <c r="H159" s="115">
        <f t="shared" ref="H159" si="659">F159-F158</f>
        <v>15714</v>
      </c>
      <c r="I159" s="86">
        <f t="shared" ref="I159" si="660">C159+F159</f>
        <v>1381055</v>
      </c>
      <c r="J159" s="63">
        <f t="shared" ref="J159" si="661">(I159-I158)/I158</f>
        <v>1.2646950778225951E-2</v>
      </c>
      <c r="K159" s="115">
        <f t="shared" ref="K159" si="662">I159-I158</f>
        <v>17248</v>
      </c>
      <c r="L159" s="88"/>
      <c r="M159" s="1"/>
      <c r="N159" s="75">
        <f>SUM(Population!H393:L393,Population!O393,Population!CG393)</f>
        <v>151973</v>
      </c>
      <c r="O159" s="75">
        <f>Population!G393</f>
        <v>1642</v>
      </c>
      <c r="P159" s="86">
        <f t="shared" ref="P159" si="663">SUM(N159:O159)</f>
        <v>153615</v>
      </c>
      <c r="Q159" s="87">
        <f t="shared" ref="Q159" si="664">(P159-P158)/P158</f>
        <v>9.3765605698215362E-3</v>
      </c>
      <c r="R159" s="115">
        <f t="shared" ref="R159" si="665">P159-P158</f>
        <v>1427</v>
      </c>
      <c r="S159" s="89"/>
      <c r="T159" s="1"/>
      <c r="U159" s="78">
        <f t="shared" ref="U159" si="666">I159+P159</f>
        <v>1534670</v>
      </c>
      <c r="V159" s="63">
        <f t="shared" ref="V159:V161" si="667">(U159-U158)/U158</f>
        <v>1.2318642211880646E-2</v>
      </c>
      <c r="W159" s="115">
        <f t="shared" ref="W159:W161" si="668">U159-U158</f>
        <v>18675</v>
      </c>
      <c r="X159" s="31"/>
    </row>
    <row r="160" spans="1:25" s="299" customFormat="1">
      <c r="A160" s="58">
        <v>43952</v>
      </c>
      <c r="C160" s="75">
        <f>Population!DK394+Population!DL394+Population!DM394+Population!DN394</f>
        <v>294521</v>
      </c>
      <c r="D160" s="63">
        <f t="shared" ref="D160" si="669">(C160-C159)/C159</f>
        <v>1.9022707535386457E-2</v>
      </c>
      <c r="E160" s="115">
        <f t="shared" ref="E160" si="670">C160-C159</f>
        <v>5498</v>
      </c>
      <c r="F160" s="75">
        <f>SUM(Population!DO394:'Population'!DV394)</f>
        <v>1135867</v>
      </c>
      <c r="G160" s="63">
        <f t="shared" ref="G160" si="671">(F160-F159)/F159</f>
        <v>4.0140765105784446E-2</v>
      </c>
      <c r="H160" s="115">
        <f t="shared" ref="H160" si="672">F160-F159</f>
        <v>43835</v>
      </c>
      <c r="I160" s="86">
        <f t="shared" ref="I160" si="673">C160+F160</f>
        <v>1430388</v>
      </c>
      <c r="J160" s="63">
        <f t="shared" ref="J160" si="674">(I160-I159)/I159</f>
        <v>3.5721242093906473E-2</v>
      </c>
      <c r="K160" s="115">
        <f t="shared" ref="K160" si="675">I160-I159</f>
        <v>49333</v>
      </c>
      <c r="L160" s="88"/>
      <c r="M160" s="1"/>
      <c r="N160" s="75">
        <f>SUM(Population!H394:L394,Population!O394,Population!CG394)</f>
        <v>153710</v>
      </c>
      <c r="O160" s="75">
        <f>Population!G394</f>
        <v>1772</v>
      </c>
      <c r="P160" s="86">
        <f t="shared" ref="P160" si="676">SUM(N160:O160)</f>
        <v>155482</v>
      </c>
      <c r="Q160" s="87">
        <f t="shared" ref="Q160" si="677">(P160-P159)/P159</f>
        <v>1.2153761025941477E-2</v>
      </c>
      <c r="R160" s="115">
        <f t="shared" ref="R160" si="678">P160-P159</f>
        <v>1867</v>
      </c>
      <c r="S160" s="89"/>
      <c r="T160" s="1"/>
      <c r="U160" s="78">
        <f t="shared" ref="U160" si="679">I160+P160</f>
        <v>1585870</v>
      </c>
      <c r="V160" s="63">
        <f t="shared" si="667"/>
        <v>3.3362221194132943E-2</v>
      </c>
      <c r="W160" s="115">
        <f t="shared" si="668"/>
        <v>51200</v>
      </c>
      <c r="X160" s="31"/>
    </row>
    <row r="161" spans="1:24" s="299" customFormat="1">
      <c r="A161" s="58">
        <v>43983</v>
      </c>
      <c r="C161" s="75">
        <f>Population!DK395+Population!DL395+Population!DM395+Population!DN395</f>
        <v>295701</v>
      </c>
      <c r="D161" s="63">
        <f t="shared" ref="D161" si="680">(C161-C160)/C160</f>
        <v>4.0065054783869399E-3</v>
      </c>
      <c r="E161" s="115">
        <f t="shared" ref="E161" si="681">C161-C160</f>
        <v>1180</v>
      </c>
      <c r="F161" s="75">
        <f>SUM(Population!DO395:'Population'!DV395)</f>
        <v>1156071</v>
      </c>
      <c r="G161" s="63">
        <f t="shared" ref="G161" si="682">(F161-F160)/F160</f>
        <v>1.7787293758864373E-2</v>
      </c>
      <c r="H161" s="115">
        <f t="shared" ref="H161" si="683">F161-F160</f>
        <v>20204</v>
      </c>
      <c r="I161" s="86">
        <f t="shared" ref="I161" si="684">C161+F161</f>
        <v>1451772</v>
      </c>
      <c r="J161" s="63">
        <f>(I161-I160)/I160</f>
        <v>1.4949789847230261E-2</v>
      </c>
      <c r="K161" s="115">
        <f>I161-I160</f>
        <v>21384</v>
      </c>
      <c r="L161" s="88"/>
      <c r="M161" s="1"/>
      <c r="N161" s="75">
        <f>SUM(Population!H395:L395,Population!O395,Population!CG395)</f>
        <v>154090</v>
      </c>
      <c r="O161" s="75">
        <f>Population!G395</f>
        <v>1841</v>
      </c>
      <c r="P161" s="86">
        <f t="shared" ref="P161" si="685">SUM(N161:O161)</f>
        <v>155931</v>
      </c>
      <c r="Q161" s="87">
        <f t="shared" ref="Q161" si="686">(P161-P160)/P160</f>
        <v>2.8877940854889956E-3</v>
      </c>
      <c r="R161" s="115">
        <f t="shared" ref="R161" si="687">P161-P160</f>
        <v>449</v>
      </c>
      <c r="S161" s="89"/>
      <c r="T161" s="1"/>
      <c r="U161" s="78">
        <f t="shared" ref="U161:U163" si="688">I161+P161</f>
        <v>1607703</v>
      </c>
      <c r="V161" s="63">
        <f t="shared" si="667"/>
        <v>1.3767206643671927E-2</v>
      </c>
      <c r="W161" s="115">
        <f t="shared" si="668"/>
        <v>21833</v>
      </c>
      <c r="X161" s="31"/>
    </row>
    <row r="162" spans="1:24" s="313" customFormat="1" ht="7.5" customHeight="1">
      <c r="A162" s="58"/>
      <c r="J162" s="63"/>
      <c r="K162" s="115"/>
      <c r="L162" s="88"/>
      <c r="M162" s="1"/>
      <c r="V162" s="63"/>
      <c r="W162" s="115"/>
    </row>
    <row r="163" spans="1:24" s="313" customFormat="1">
      <c r="A163" s="58">
        <v>44013</v>
      </c>
      <c r="C163" s="75">
        <f>Population!DK396+Population!DL396+Population!DM396+Population!DN396</f>
        <v>296652</v>
      </c>
      <c r="D163" s="63">
        <f>(C163-C161)/C161</f>
        <v>3.2160865198291519E-3</v>
      </c>
      <c r="E163" s="115">
        <f>C163-C161</f>
        <v>951</v>
      </c>
      <c r="F163" s="75">
        <f>SUM(Population!DO396:'Population'!DV396)</f>
        <v>1176664</v>
      </c>
      <c r="G163" s="63">
        <f>(F163-F161)/F161</f>
        <v>1.7812919794718489E-2</v>
      </c>
      <c r="H163" s="115">
        <f>F163-F161</f>
        <v>20593</v>
      </c>
      <c r="I163" s="86">
        <f t="shared" ref="I163" si="689">C163+F163</f>
        <v>1473316</v>
      </c>
      <c r="J163" s="63">
        <f>(I163-I161)/I161</f>
        <v>1.4839795780604667E-2</v>
      </c>
      <c r="K163" s="115">
        <f>I163-I161</f>
        <v>21544</v>
      </c>
      <c r="L163" s="88"/>
      <c r="M163" s="1"/>
      <c r="N163" s="75">
        <f>SUM(Population!H396:L396,Population!O396,Population!CG396)</f>
        <v>154570</v>
      </c>
      <c r="O163" s="75">
        <f>Population!G396</f>
        <v>1936</v>
      </c>
      <c r="P163" s="86">
        <f t="shared" ref="P163" si="690">SUM(N163:O163)</f>
        <v>156506</v>
      </c>
      <c r="Q163" s="87">
        <f>(P163-P161)/P161</f>
        <v>3.6875284581000573E-3</v>
      </c>
      <c r="R163" s="115">
        <f>P163-P161</f>
        <v>575</v>
      </c>
      <c r="S163" s="89"/>
      <c r="T163" s="1"/>
      <c r="U163" s="78">
        <f t="shared" si="688"/>
        <v>1629822</v>
      </c>
      <c r="V163" s="63">
        <f>(U163-U161)/U161</f>
        <v>1.3758138163578721E-2</v>
      </c>
      <c r="W163" s="115">
        <f>U163-U161</f>
        <v>22119</v>
      </c>
      <c r="X163" s="31"/>
    </row>
    <row r="164" spans="1:24" s="313" customFormat="1">
      <c r="A164" s="58">
        <v>44044</v>
      </c>
      <c r="C164" s="75">
        <f>Population!DK397+Population!DL397+Population!DM397+Population!DN397</f>
        <v>297856</v>
      </c>
      <c r="D164" s="63">
        <f>(C164-C163)/C163</f>
        <v>4.058627617545137E-3</v>
      </c>
      <c r="E164" s="115">
        <f>C164-C163</f>
        <v>1204</v>
      </c>
      <c r="F164" s="75">
        <f>SUM(Population!DO397:'Population'!DV397)</f>
        <v>1196056</v>
      </c>
      <c r="G164" s="63">
        <f>(F164-F163)/F163</f>
        <v>1.6480490607344151E-2</v>
      </c>
      <c r="H164" s="115">
        <f>F164-F163</f>
        <v>19392</v>
      </c>
      <c r="I164" s="86">
        <f t="shared" ref="I164:I165" si="691">C164+F164</f>
        <v>1493912</v>
      </c>
      <c r="J164" s="63">
        <f>(I164-I163)/I163</f>
        <v>1.3979349983302971E-2</v>
      </c>
      <c r="K164" s="115">
        <f>I164-I163</f>
        <v>20596</v>
      </c>
      <c r="L164" s="88"/>
      <c r="M164" s="1"/>
      <c r="N164" s="75">
        <f>SUM(Population!H397:L397,Population!O397,Population!CG397)</f>
        <v>155201</v>
      </c>
      <c r="O164" s="75">
        <f>Population!G397</f>
        <v>1739</v>
      </c>
      <c r="P164" s="86">
        <f t="shared" ref="P164" si="692">SUM(N164:O164)</f>
        <v>156940</v>
      </c>
      <c r="Q164" s="87">
        <f>(P164-P163)/P163</f>
        <v>2.7730566240271939E-3</v>
      </c>
      <c r="R164" s="115">
        <f>P164-P163</f>
        <v>434</v>
      </c>
      <c r="S164" s="89"/>
      <c r="T164" s="1"/>
      <c r="U164" s="78">
        <f t="shared" ref="U164:U165" si="693">I164+P164</f>
        <v>1650852</v>
      </c>
      <c r="V164" s="63">
        <f>(U164-U163)/U163</f>
        <v>1.2903249557313621E-2</v>
      </c>
      <c r="W164" s="115">
        <f>U164-U163</f>
        <v>21030</v>
      </c>
      <c r="X164" s="31"/>
    </row>
    <row r="165" spans="1:24" s="313" customFormat="1">
      <c r="A165" s="58">
        <v>44075</v>
      </c>
      <c r="C165" s="75">
        <f>Population!DK398+Population!DL398+Population!DM398+Population!DN398</f>
        <v>298207</v>
      </c>
      <c r="D165" s="63">
        <f>(C165-C164)/C164</f>
        <v>1.1784217877094973E-3</v>
      </c>
      <c r="E165" s="115">
        <f>C165-C164</f>
        <v>351</v>
      </c>
      <c r="F165" s="75">
        <f>SUM(Population!DO398:'Population'!DV398)</f>
        <v>1214444</v>
      </c>
      <c r="G165" s="63">
        <f>(F165-F164)/F164</f>
        <v>1.5373862093413687E-2</v>
      </c>
      <c r="H165" s="115">
        <f>F165-F164</f>
        <v>18388</v>
      </c>
      <c r="I165" s="86">
        <f t="shared" si="691"/>
        <v>1512651</v>
      </c>
      <c r="J165" s="63">
        <f>(I165-I164)/I164</f>
        <v>1.2543576863965214E-2</v>
      </c>
      <c r="K165" s="115">
        <f>I165-I164</f>
        <v>18739</v>
      </c>
      <c r="L165" s="88"/>
      <c r="M165" s="1"/>
      <c r="N165" s="75">
        <f>SUM(Population!H398:L398,Population!O398,Population!CG398)</f>
        <v>155325</v>
      </c>
      <c r="O165" s="75">
        <f>Population!G398</f>
        <v>1567</v>
      </c>
      <c r="P165" s="86">
        <f t="shared" ref="P165:P167" si="694">SUM(N165:O165)</f>
        <v>156892</v>
      </c>
      <c r="Q165" s="87"/>
      <c r="R165" s="115"/>
      <c r="S165" s="89"/>
      <c r="T165" s="1"/>
      <c r="U165" s="78">
        <f t="shared" si="693"/>
        <v>1669543</v>
      </c>
      <c r="V165" s="63">
        <f t="shared" ref="V165:V168" si="695">(U165-U164)/U164</f>
        <v>1.1322032502005025E-2</v>
      </c>
      <c r="W165" s="115">
        <f t="shared" ref="W165:W168" si="696">U165-U164</f>
        <v>18691</v>
      </c>
      <c r="X165" s="31"/>
    </row>
    <row r="166" spans="1:24" s="313" customFormat="1">
      <c r="A166" s="58">
        <v>44105</v>
      </c>
      <c r="C166" s="75">
        <f>Population!DK399+Population!DL399+Population!DM399+Population!DN399</f>
        <v>298784</v>
      </c>
      <c r="D166" s="63">
        <f t="shared" ref="D166:D171" si="697">(C166-C165)/C165</f>
        <v>1.9348975711502413E-3</v>
      </c>
      <c r="E166" s="115">
        <f t="shared" ref="E166:E171" si="698">C166-C165</f>
        <v>577</v>
      </c>
      <c r="F166" s="75">
        <f>SUM(Population!DO399:'Population'!DV399)</f>
        <v>1234490</v>
      </c>
      <c r="G166" s="63">
        <f t="shared" ref="G166:G171" si="699">(F166-F165)/F165</f>
        <v>1.6506318941013336E-2</v>
      </c>
      <c r="H166" s="115">
        <f t="shared" ref="H166:H171" si="700">F166-F165</f>
        <v>20046</v>
      </c>
      <c r="I166" s="86">
        <f t="shared" ref="I166:I167" si="701">C166+F166</f>
        <v>1533274</v>
      </c>
      <c r="J166" s="63">
        <f t="shared" ref="J166:J171" si="702">(I166-I165)/I165</f>
        <v>1.3633680207794131E-2</v>
      </c>
      <c r="K166" s="115">
        <f t="shared" ref="K166:K171" si="703">I166-I165</f>
        <v>20623</v>
      </c>
      <c r="L166" s="88"/>
      <c r="M166" s="1"/>
      <c r="N166" s="75">
        <f>SUM(Population!H399:L399,Population!O399,Population!CG399)</f>
        <v>155551</v>
      </c>
      <c r="O166" s="75">
        <f>Population!G399</f>
        <v>1505</v>
      </c>
      <c r="P166" s="86">
        <f t="shared" si="694"/>
        <v>157056</v>
      </c>
      <c r="Q166" s="87">
        <f t="shared" ref="Q166:Q171" si="704">(P166-P165)/P165</f>
        <v>1.0453050506080616E-3</v>
      </c>
      <c r="R166" s="115">
        <f t="shared" ref="R166:R171" si="705">P166-P165</f>
        <v>164</v>
      </c>
      <c r="S166" s="89"/>
      <c r="T166" s="1"/>
      <c r="U166" s="78">
        <f t="shared" ref="U166:U167" si="706">I166+P166</f>
        <v>1690330</v>
      </c>
      <c r="V166" s="63">
        <f t="shared" si="695"/>
        <v>1.2450712560263498E-2</v>
      </c>
      <c r="W166" s="115">
        <f t="shared" si="696"/>
        <v>20787</v>
      </c>
      <c r="X166" s="31"/>
    </row>
    <row r="167" spans="1:24" s="313" customFormat="1">
      <c r="A167" s="58">
        <v>44136</v>
      </c>
      <c r="C167" s="75">
        <f>Population!DK400+Population!DL400+Population!DM400+Population!DN400</f>
        <v>299461</v>
      </c>
      <c r="D167" s="63">
        <f t="shared" si="697"/>
        <v>2.2658509157116847E-3</v>
      </c>
      <c r="E167" s="115">
        <f t="shared" si="698"/>
        <v>677</v>
      </c>
      <c r="F167" s="75">
        <f>SUM(Population!DO400:'Population'!DV400)</f>
        <v>1252192</v>
      </c>
      <c r="G167" s="63">
        <f t="shared" si="699"/>
        <v>1.4339524824016396E-2</v>
      </c>
      <c r="H167" s="115">
        <f t="shared" si="700"/>
        <v>17702</v>
      </c>
      <c r="I167" s="86">
        <f t="shared" si="701"/>
        <v>1551653</v>
      </c>
      <c r="J167" s="63">
        <f t="shared" si="702"/>
        <v>1.198676818363841E-2</v>
      </c>
      <c r="K167" s="115">
        <f t="shared" si="703"/>
        <v>18379</v>
      </c>
      <c r="L167" s="88"/>
      <c r="M167" s="1"/>
      <c r="N167" s="75">
        <f>SUM(Population!H400:L400,Population!O400,Population!CG400)</f>
        <v>156231</v>
      </c>
      <c r="O167" s="75">
        <f>Population!G400</f>
        <v>1495</v>
      </c>
      <c r="P167" s="86">
        <f t="shared" si="694"/>
        <v>157726</v>
      </c>
      <c r="Q167" s="87">
        <f t="shared" si="704"/>
        <v>4.2659942950285246E-3</v>
      </c>
      <c r="R167" s="115">
        <f t="shared" si="705"/>
        <v>670</v>
      </c>
      <c r="S167" s="89"/>
      <c r="T167" s="1"/>
      <c r="U167" s="78">
        <f t="shared" si="706"/>
        <v>1709379</v>
      </c>
      <c r="V167" s="63">
        <f t="shared" si="695"/>
        <v>1.126939709997456E-2</v>
      </c>
      <c r="W167" s="115">
        <f t="shared" si="696"/>
        <v>19049</v>
      </c>
      <c r="X167" s="31"/>
    </row>
    <row r="168" spans="1:24" s="313" customFormat="1">
      <c r="A168" s="58">
        <v>44166</v>
      </c>
      <c r="C168" s="75">
        <f>Population!DK401+Population!DL401+Population!DM401+Population!DN401</f>
        <v>300133</v>
      </c>
      <c r="D168" s="63">
        <f t="shared" si="697"/>
        <v>2.2440317770928433E-3</v>
      </c>
      <c r="E168" s="115">
        <f t="shared" si="698"/>
        <v>672</v>
      </c>
      <c r="F168" s="75">
        <f>SUM(Population!DO401:'Population'!DV401)</f>
        <v>1273975</v>
      </c>
      <c r="G168" s="63">
        <f t="shared" si="699"/>
        <v>1.7395894559300809E-2</v>
      </c>
      <c r="H168" s="115">
        <f t="shared" si="700"/>
        <v>21783</v>
      </c>
      <c r="I168" s="86">
        <f t="shared" ref="I168" si="707">C168+F168</f>
        <v>1574108</v>
      </c>
      <c r="J168" s="63">
        <f t="shared" si="702"/>
        <v>1.447166344537084E-2</v>
      </c>
      <c r="K168" s="115">
        <f t="shared" si="703"/>
        <v>22455</v>
      </c>
      <c r="L168" s="88"/>
      <c r="M168" s="1"/>
      <c r="N168" s="75">
        <f>SUM(Population!H401:L401,Population!O401,Population!CG401)</f>
        <v>157768</v>
      </c>
      <c r="O168" s="75">
        <f>Population!G401</f>
        <v>1529</v>
      </c>
      <c r="P168" s="86">
        <f t="shared" ref="P168" si="708">SUM(N168:O168)</f>
        <v>159297</v>
      </c>
      <c r="Q168" s="87">
        <f t="shared" si="704"/>
        <v>9.9603109189353688E-3</v>
      </c>
      <c r="R168" s="115">
        <f t="shared" si="705"/>
        <v>1571</v>
      </c>
      <c r="S168" s="89"/>
      <c r="T168" s="1"/>
      <c r="U168" s="78">
        <f t="shared" ref="U168" si="709">I168+P168</f>
        <v>1733405</v>
      </c>
      <c r="V168" s="63">
        <f t="shared" si="695"/>
        <v>1.4055396725945505E-2</v>
      </c>
      <c r="W168" s="115">
        <f t="shared" si="696"/>
        <v>24026</v>
      </c>
    </row>
    <row r="169" spans="1:24" s="313" customFormat="1">
      <c r="A169" s="58">
        <v>44197</v>
      </c>
      <c r="C169" s="75">
        <f>Population!DK402+Population!DL402+Population!DM402+Population!DN402</f>
        <v>300221</v>
      </c>
      <c r="D169" s="63">
        <f t="shared" si="697"/>
        <v>2.9320334651637773E-4</v>
      </c>
      <c r="E169" s="115">
        <f t="shared" si="698"/>
        <v>88</v>
      </c>
      <c r="F169" s="75">
        <f>SUM(Population!DO402:'Population'!DV402)</f>
        <v>1299126</v>
      </c>
      <c r="G169" s="63">
        <f t="shared" si="699"/>
        <v>1.9742145646500127E-2</v>
      </c>
      <c r="H169" s="115">
        <f t="shared" si="700"/>
        <v>25151</v>
      </c>
      <c r="I169" s="86">
        <f t="shared" ref="I169:I172" si="710">C169+F169</f>
        <v>1599347</v>
      </c>
      <c r="J169" s="63">
        <f t="shared" si="702"/>
        <v>1.6033842658826458E-2</v>
      </c>
      <c r="K169" s="115">
        <f t="shared" si="703"/>
        <v>25239</v>
      </c>
      <c r="L169" s="88"/>
      <c r="M169" s="1"/>
      <c r="N169" s="75">
        <f>SUM(Population!H402:L402,Population!O402,Population!CG402)</f>
        <v>159535</v>
      </c>
      <c r="O169" s="75">
        <f>Population!G402</f>
        <v>1572</v>
      </c>
      <c r="P169" s="86">
        <f t="shared" ref="P169:P172" si="711">SUM(N169:O169)</f>
        <v>161107</v>
      </c>
      <c r="Q169" s="87">
        <f t="shared" si="704"/>
        <v>1.1362423648907386E-2</v>
      </c>
      <c r="R169" s="115">
        <f t="shared" si="705"/>
        <v>1810</v>
      </c>
      <c r="S169" s="89"/>
      <c r="T169" s="1"/>
      <c r="U169" s="78">
        <f t="shared" ref="U169:U172" si="712">I169+P169</f>
        <v>1760454</v>
      </c>
      <c r="V169" s="63">
        <f t="shared" ref="V169:V172" si="713">(U169-U168)/U168</f>
        <v>1.5604547119686398E-2</v>
      </c>
      <c r="W169" s="115">
        <f t="shared" ref="W169:W172" si="714">U169-U168</f>
        <v>27049</v>
      </c>
      <c r="X169" s="321"/>
    </row>
    <row r="170" spans="1:24" s="313" customFormat="1">
      <c r="A170" s="58">
        <v>44228</v>
      </c>
      <c r="C170" s="75">
        <f>Population!DK403+Population!DL403+Population!DM403+Population!DN403</f>
        <v>300144</v>
      </c>
      <c r="D170" s="63">
        <f t="shared" si="697"/>
        <v>-2.5647772807365238E-4</v>
      </c>
      <c r="E170" s="115">
        <f t="shared" si="698"/>
        <v>-77</v>
      </c>
      <c r="F170" s="75">
        <f>SUM(Population!DO403:'Population'!DV403)</f>
        <v>1314695</v>
      </c>
      <c r="G170" s="63">
        <f t="shared" si="699"/>
        <v>1.1984210923343848E-2</v>
      </c>
      <c r="H170" s="115">
        <f t="shared" si="700"/>
        <v>15569</v>
      </c>
      <c r="I170" s="86">
        <f t="shared" si="710"/>
        <v>1614839</v>
      </c>
      <c r="J170" s="63">
        <f t="shared" si="702"/>
        <v>9.6864532837464285E-3</v>
      </c>
      <c r="K170" s="115">
        <f t="shared" si="703"/>
        <v>15492</v>
      </c>
      <c r="L170" s="88"/>
      <c r="M170" s="1"/>
      <c r="N170" s="75">
        <f>SUM(Population!H403:L403,Population!O403,Population!CG403)</f>
        <v>160449</v>
      </c>
      <c r="O170" s="75">
        <f>Population!G403</f>
        <v>1629</v>
      </c>
      <c r="P170" s="86">
        <f t="shared" si="711"/>
        <v>162078</v>
      </c>
      <c r="Q170" s="87">
        <f t="shared" si="704"/>
        <v>6.0270503454226071E-3</v>
      </c>
      <c r="R170" s="115">
        <f t="shared" si="705"/>
        <v>971</v>
      </c>
      <c r="S170" s="89"/>
      <c r="T170" s="1"/>
      <c r="U170" s="78">
        <f t="shared" si="712"/>
        <v>1776917</v>
      </c>
      <c r="V170" s="63">
        <f t="shared" si="713"/>
        <v>9.3515649940299483E-3</v>
      </c>
      <c r="W170" s="115">
        <f t="shared" si="714"/>
        <v>16463</v>
      </c>
      <c r="X170" s="322"/>
    </row>
    <row r="171" spans="1:24" s="313" customFormat="1">
      <c r="A171" s="58">
        <v>44256</v>
      </c>
      <c r="C171" s="75">
        <f>Population!DK404+Population!DL404+Population!DM404+Population!DN404</f>
        <v>300376</v>
      </c>
      <c r="D171" s="63">
        <f t="shared" si="697"/>
        <v>7.729623114238499E-4</v>
      </c>
      <c r="E171" s="115">
        <f t="shared" si="698"/>
        <v>232</v>
      </c>
      <c r="F171" s="75">
        <f>SUM(Population!DO404:'Population'!DV404)</f>
        <v>1328235</v>
      </c>
      <c r="G171" s="63">
        <f t="shared" si="699"/>
        <v>1.0298966680484828E-2</v>
      </c>
      <c r="H171" s="115">
        <f t="shared" si="700"/>
        <v>13540</v>
      </c>
      <c r="I171" s="86">
        <f t="shared" si="710"/>
        <v>1628611</v>
      </c>
      <c r="J171" s="63">
        <f t="shared" si="702"/>
        <v>8.5284043796316541E-3</v>
      </c>
      <c r="K171" s="115">
        <f t="shared" si="703"/>
        <v>13772</v>
      </c>
      <c r="L171" s="88"/>
      <c r="M171" s="1"/>
      <c r="N171" s="75">
        <f>SUM(Population!H404:L404,Population!O404,Population!CG404)</f>
        <v>161267</v>
      </c>
      <c r="O171" s="75">
        <f>Population!G404</f>
        <v>1624</v>
      </c>
      <c r="P171" s="86">
        <f t="shared" si="711"/>
        <v>162891</v>
      </c>
      <c r="Q171" s="87">
        <f t="shared" si="704"/>
        <v>5.0161033576426161E-3</v>
      </c>
      <c r="R171" s="115">
        <f t="shared" si="705"/>
        <v>813</v>
      </c>
      <c r="S171" s="89"/>
      <c r="T171" s="1"/>
      <c r="U171" s="78">
        <f t="shared" si="712"/>
        <v>1791502</v>
      </c>
      <c r="V171" s="63">
        <f t="shared" si="713"/>
        <v>8.2080367287836187E-3</v>
      </c>
      <c r="W171" s="115">
        <f t="shared" si="714"/>
        <v>14585</v>
      </c>
      <c r="X171" s="323"/>
    </row>
    <row r="172" spans="1:24" s="313" customFormat="1">
      <c r="A172" s="58">
        <v>44287</v>
      </c>
      <c r="C172" s="75">
        <f>Population!DK405+Population!DL405+Population!DM405+Population!DN405</f>
        <v>301254</v>
      </c>
      <c r="D172" s="63">
        <f t="shared" ref="D172" si="715">(C172-C171)/C171</f>
        <v>2.9230031693610677E-3</v>
      </c>
      <c r="E172" s="115">
        <f t="shared" ref="E172" si="716">C172-C171</f>
        <v>878</v>
      </c>
      <c r="F172" s="75">
        <f>SUM(Population!DO405:'Population'!DV405)</f>
        <v>1343997</v>
      </c>
      <c r="G172" s="63">
        <f t="shared" ref="G172" si="717">(F172-F171)/F171</f>
        <v>1.1866875966978736E-2</v>
      </c>
      <c r="H172" s="115">
        <f t="shared" ref="H172" si="718">F172-F171</f>
        <v>15762</v>
      </c>
      <c r="I172" s="86">
        <f t="shared" si="710"/>
        <v>1645251</v>
      </c>
      <c r="J172" s="63">
        <f t="shared" ref="J172" si="719">(I172-I171)/I171</f>
        <v>1.0217295597291188E-2</v>
      </c>
      <c r="K172" s="115">
        <f t="shared" ref="K172" si="720">I172-I171</f>
        <v>16640</v>
      </c>
      <c r="L172" s="88"/>
      <c r="M172" s="1"/>
      <c r="N172" s="75">
        <f>SUM(Population!H405:L405,Population!O405,Population!CG405)</f>
        <v>162095</v>
      </c>
      <c r="O172" s="75">
        <f>Population!G405</f>
        <v>1636</v>
      </c>
      <c r="P172" s="86">
        <f t="shared" si="711"/>
        <v>163731</v>
      </c>
      <c r="Q172" s="87">
        <f t="shared" ref="Q172" si="721">(P172-P171)/P171</f>
        <v>5.1568226605521487E-3</v>
      </c>
      <c r="R172" s="115">
        <f t="shared" ref="R172" si="722">P172-P171</f>
        <v>840</v>
      </c>
      <c r="S172" s="89"/>
      <c r="T172" s="1"/>
      <c r="U172" s="78">
        <f t="shared" si="712"/>
        <v>1808982</v>
      </c>
      <c r="V172" s="63">
        <f t="shared" si="713"/>
        <v>9.7571758222988313E-3</v>
      </c>
      <c r="W172" s="115">
        <f t="shared" si="714"/>
        <v>17480</v>
      </c>
      <c r="X172" s="324"/>
    </row>
    <row r="173" spans="1:24" s="313" customFormat="1">
      <c r="A173" s="58">
        <v>44317</v>
      </c>
      <c r="C173" s="75">
        <f>Population!DK406+Population!DL406+Population!DM406+Population!DN406</f>
        <v>301822</v>
      </c>
      <c r="D173" s="63">
        <f t="shared" ref="D173:D174" si="723">(C173-C172)/C172</f>
        <v>1.8854521433740298E-3</v>
      </c>
      <c r="E173" s="115">
        <f t="shared" ref="E173:E174" si="724">C173-C172</f>
        <v>568</v>
      </c>
      <c r="F173" s="75">
        <f>SUM(Population!DO406:'Population'!DV406)</f>
        <v>1358103</v>
      </c>
      <c r="G173" s="63">
        <f t="shared" ref="G173:G174" si="725">(F173-F172)/F172</f>
        <v>1.0495559141873084E-2</v>
      </c>
      <c r="H173" s="115">
        <f t="shared" ref="H173:H174" si="726">F173-F172</f>
        <v>14106</v>
      </c>
      <c r="I173" s="86">
        <f t="shared" ref="I173:I174" si="727">C173+F173</f>
        <v>1659925</v>
      </c>
      <c r="J173" s="63">
        <f t="shared" ref="J173:J174" si="728">(I173-I172)/I172</f>
        <v>8.9190038480450699E-3</v>
      </c>
      <c r="K173" s="115">
        <f t="shared" ref="K173:K174" si="729">I173-I172</f>
        <v>14674</v>
      </c>
      <c r="L173" s="88"/>
      <c r="M173" s="1"/>
      <c r="N173" s="75">
        <f>SUM(Population!H406:L406,Population!O406,Population!CG406)</f>
        <v>162723</v>
      </c>
      <c r="O173" s="75">
        <f>Population!G406</f>
        <v>1682</v>
      </c>
      <c r="P173" s="86">
        <f t="shared" ref="P173:P174" si="730">SUM(N173:O173)</f>
        <v>164405</v>
      </c>
      <c r="Q173" s="87">
        <f t="shared" ref="Q173:Q174" si="731">(P173-P172)/P172</f>
        <v>4.1165081749943502E-3</v>
      </c>
      <c r="R173" s="115">
        <f t="shared" ref="R173:R174" si="732">P173-P172</f>
        <v>674</v>
      </c>
      <c r="S173" s="89"/>
      <c r="T173" s="1"/>
      <c r="U173" s="78">
        <f t="shared" ref="U173:U174" si="733">I173+P173</f>
        <v>1824330</v>
      </c>
      <c r="V173" s="63">
        <f t="shared" ref="V173:V174" si="734">(U173-U172)/U172</f>
        <v>8.4843298606619641E-3</v>
      </c>
      <c r="W173" s="115">
        <f t="shared" ref="W173:W174" si="735">U173-U172</f>
        <v>15348</v>
      </c>
      <c r="X173" s="325"/>
    </row>
    <row r="174" spans="1:24" s="313" customFormat="1">
      <c r="A174" s="58">
        <v>44348</v>
      </c>
      <c r="C174" s="75">
        <f>Population!DK407+Population!DL407+Population!DM407+Population!DN407</f>
        <v>302094</v>
      </c>
      <c r="D174" s="63">
        <f t="shared" si="723"/>
        <v>9.0119341863747506E-4</v>
      </c>
      <c r="E174" s="115">
        <f t="shared" si="724"/>
        <v>272</v>
      </c>
      <c r="F174" s="75">
        <f>SUM(Population!DO407:'Population'!DV407)</f>
        <v>1371629</v>
      </c>
      <c r="G174" s="63">
        <f t="shared" si="725"/>
        <v>9.9594802456072912E-3</v>
      </c>
      <c r="H174" s="115">
        <f t="shared" si="726"/>
        <v>13526</v>
      </c>
      <c r="I174" s="86">
        <f t="shared" si="727"/>
        <v>1673723</v>
      </c>
      <c r="J174" s="63">
        <f t="shared" si="728"/>
        <v>8.3124237540852745E-3</v>
      </c>
      <c r="K174" s="115">
        <f t="shared" si="729"/>
        <v>13798</v>
      </c>
      <c r="L174" s="88"/>
      <c r="M174" s="1"/>
      <c r="N174" s="75">
        <f>SUM(Population!H407:L407,Population!O407,Population!CG407)</f>
        <v>163389</v>
      </c>
      <c r="O174" s="75">
        <f>Population!G407</f>
        <v>1701</v>
      </c>
      <c r="P174" s="86">
        <f t="shared" si="730"/>
        <v>165090</v>
      </c>
      <c r="Q174" s="87">
        <f t="shared" si="731"/>
        <v>4.1665399470819011E-3</v>
      </c>
      <c r="R174" s="115">
        <f t="shared" si="732"/>
        <v>685</v>
      </c>
      <c r="S174" s="89"/>
      <c r="T174" s="1"/>
      <c r="U174" s="78">
        <f t="shared" si="733"/>
        <v>1838813</v>
      </c>
      <c r="V174" s="63">
        <f t="shared" si="734"/>
        <v>7.9388049311253997E-3</v>
      </c>
      <c r="W174" s="115">
        <f t="shared" si="735"/>
        <v>14483</v>
      </c>
      <c r="X174" s="326"/>
    </row>
    <row r="175" spans="1:24" s="275" customFormat="1" ht="7.5" customHeight="1">
      <c r="A175" s="58"/>
    </row>
    <row r="176" spans="1:24" s="327" customFormat="1">
      <c r="A176" s="58">
        <v>44378</v>
      </c>
      <c r="C176" s="75">
        <f>Population!DK408+Population!DL408+Population!DM408+Population!DN408</f>
        <v>301442</v>
      </c>
      <c r="D176" s="63">
        <f>(C176-C174)/C174</f>
        <v>-2.1582686183770614E-3</v>
      </c>
      <c r="E176" s="115">
        <f>C176-C174</f>
        <v>-652</v>
      </c>
      <c r="F176" s="75">
        <f>SUM(Population!DO408:'Population'!DV408)</f>
        <v>1385591</v>
      </c>
      <c r="G176" s="63">
        <f>(F176-F174)/F174</f>
        <v>1.0179137361487692E-2</v>
      </c>
      <c r="H176" s="115">
        <f>F176-F174</f>
        <v>13962</v>
      </c>
      <c r="I176" s="86">
        <f t="shared" ref="I176" si="736">C176+F176</f>
        <v>1687033</v>
      </c>
      <c r="J176" s="63">
        <f>(I176-I174)/I174</f>
        <v>7.9523314192372335E-3</v>
      </c>
      <c r="K176" s="115">
        <f>I176-I174</f>
        <v>13310</v>
      </c>
      <c r="L176" s="88"/>
      <c r="M176" s="1"/>
      <c r="N176" s="75">
        <f>SUM(Population!H408:L408,Population!O408,Population!CG408)</f>
        <v>163793</v>
      </c>
      <c r="O176" s="75">
        <f>Population!G408</f>
        <v>1737</v>
      </c>
      <c r="P176" s="86">
        <f t="shared" ref="P176" si="737">SUM(N176:O176)</f>
        <v>165530</v>
      </c>
      <c r="Q176" s="87">
        <f>(P176-P174)/P174</f>
        <v>2.6652129141680296E-3</v>
      </c>
      <c r="R176" s="115">
        <f>P176-P174</f>
        <v>440</v>
      </c>
      <c r="S176" s="89"/>
      <c r="T176" s="1"/>
      <c r="U176" s="78">
        <f t="shared" ref="U176" si="738">I176+P176</f>
        <v>1852563</v>
      </c>
      <c r="V176" s="63">
        <f>(U176-U174)/U174</f>
        <v>7.4776499839842329E-3</v>
      </c>
      <c r="W176" s="115">
        <f>U176-U174</f>
        <v>13750</v>
      </c>
    </row>
    <row r="177" spans="1:25" s="327" customFormat="1">
      <c r="A177" s="58">
        <v>44409</v>
      </c>
      <c r="C177" s="75"/>
      <c r="D177" s="63"/>
      <c r="E177" s="115"/>
      <c r="F177" s="75"/>
      <c r="G177" s="63"/>
      <c r="H177" s="115"/>
      <c r="I177" s="86"/>
      <c r="J177" s="63"/>
      <c r="K177" s="115"/>
      <c r="L177" s="88"/>
      <c r="M177" s="1"/>
      <c r="N177" s="75"/>
      <c r="O177" s="75"/>
      <c r="P177" s="86"/>
      <c r="Q177" s="87"/>
      <c r="R177" s="115"/>
      <c r="S177" s="89"/>
      <c r="T177" s="1"/>
      <c r="U177" s="78"/>
      <c r="V177" s="63"/>
      <c r="W177" s="115"/>
    </row>
    <row r="178" spans="1:25" s="327" customFormat="1">
      <c r="A178" s="58">
        <v>44440</v>
      </c>
      <c r="C178" s="75"/>
      <c r="D178" s="63"/>
      <c r="E178" s="115"/>
      <c r="F178" s="75"/>
      <c r="G178" s="63"/>
      <c r="H178" s="115"/>
      <c r="I178" s="86"/>
      <c r="J178" s="63"/>
      <c r="K178" s="115"/>
      <c r="L178" s="88"/>
      <c r="M178" s="1"/>
      <c r="N178" s="75"/>
      <c r="O178" s="75"/>
      <c r="P178" s="86"/>
      <c r="Q178" s="87"/>
      <c r="R178" s="115"/>
      <c r="S178" s="89"/>
      <c r="T178" s="1"/>
      <c r="U178" s="78"/>
      <c r="V178" s="63"/>
      <c r="W178" s="115"/>
    </row>
    <row r="179" spans="1:25" s="327" customFormat="1">
      <c r="A179" s="58">
        <v>44470</v>
      </c>
      <c r="C179" s="75"/>
      <c r="D179" s="63"/>
      <c r="E179" s="115"/>
      <c r="F179" s="75"/>
      <c r="G179" s="63"/>
      <c r="H179" s="115"/>
      <c r="I179" s="86"/>
      <c r="J179" s="63"/>
      <c r="K179" s="115"/>
      <c r="L179" s="88"/>
      <c r="M179" s="1"/>
      <c r="N179" s="75"/>
      <c r="O179" s="75"/>
      <c r="P179" s="86"/>
      <c r="Q179" s="87"/>
      <c r="R179" s="115"/>
      <c r="S179" s="89"/>
      <c r="T179" s="1"/>
      <c r="U179" s="78"/>
      <c r="V179" s="63"/>
      <c r="W179" s="115"/>
    </row>
    <row r="180" spans="1:25" s="327" customFormat="1">
      <c r="A180" s="58">
        <v>44501</v>
      </c>
      <c r="C180" s="75"/>
      <c r="D180" s="63"/>
      <c r="E180" s="115"/>
      <c r="F180" s="75"/>
      <c r="G180" s="63"/>
      <c r="H180" s="115"/>
      <c r="I180" s="86"/>
      <c r="J180" s="63"/>
      <c r="K180" s="115"/>
      <c r="L180" s="88"/>
      <c r="M180" s="1"/>
      <c r="N180" s="75"/>
      <c r="O180" s="75"/>
      <c r="P180" s="86"/>
      <c r="Q180" s="87"/>
      <c r="R180" s="115"/>
      <c r="S180" s="89"/>
      <c r="T180" s="1"/>
      <c r="U180" s="78"/>
      <c r="V180" s="63"/>
      <c r="W180" s="115"/>
    </row>
    <row r="181" spans="1:25" s="327" customFormat="1">
      <c r="A181" s="58">
        <v>44531</v>
      </c>
      <c r="C181" s="75"/>
      <c r="D181" s="63"/>
      <c r="E181" s="115"/>
      <c r="F181" s="75"/>
      <c r="G181" s="63"/>
      <c r="H181" s="115"/>
      <c r="I181" s="86"/>
      <c r="J181" s="63"/>
      <c r="K181" s="115"/>
      <c r="L181" s="88"/>
      <c r="M181" s="1"/>
      <c r="N181" s="75"/>
      <c r="O181" s="75"/>
      <c r="P181" s="86"/>
      <c r="Q181" s="87"/>
      <c r="R181" s="115"/>
      <c r="S181" s="89"/>
      <c r="T181" s="1"/>
      <c r="U181" s="78"/>
      <c r="V181" s="63"/>
      <c r="W181" s="115"/>
    </row>
    <row r="182" spans="1:25" s="327" customFormat="1">
      <c r="A182" s="58">
        <v>44562</v>
      </c>
      <c r="C182" s="75"/>
      <c r="D182" s="63"/>
      <c r="E182" s="115"/>
      <c r="F182" s="75"/>
      <c r="G182" s="63"/>
      <c r="H182" s="115"/>
      <c r="I182" s="86"/>
      <c r="J182" s="63"/>
      <c r="K182" s="115"/>
      <c r="L182" s="88"/>
      <c r="M182" s="1"/>
      <c r="N182" s="75"/>
      <c r="O182" s="75"/>
      <c r="P182" s="86"/>
      <c r="Q182" s="87"/>
      <c r="R182" s="115"/>
      <c r="S182" s="89"/>
      <c r="T182" s="1"/>
      <c r="U182" s="78"/>
      <c r="V182" s="63"/>
      <c r="W182" s="115"/>
    </row>
    <row r="183" spans="1:25" s="327" customFormat="1">
      <c r="A183" s="58">
        <v>44593</v>
      </c>
      <c r="C183" s="75"/>
      <c r="D183" s="63"/>
      <c r="E183" s="115"/>
      <c r="F183" s="75"/>
      <c r="G183" s="63"/>
      <c r="H183" s="115"/>
      <c r="I183" s="86"/>
      <c r="J183" s="63"/>
      <c r="K183" s="115"/>
      <c r="L183" s="88"/>
      <c r="M183" s="1"/>
      <c r="N183" s="75"/>
      <c r="O183" s="75"/>
      <c r="P183" s="86"/>
      <c r="Q183" s="87"/>
      <c r="R183" s="115"/>
      <c r="S183" s="89"/>
      <c r="T183" s="1"/>
      <c r="U183" s="78"/>
      <c r="V183" s="63"/>
      <c r="W183" s="115"/>
    </row>
    <row r="184" spans="1:25" s="327" customFormat="1">
      <c r="A184" s="58">
        <v>44621</v>
      </c>
      <c r="C184" s="75"/>
      <c r="D184" s="63"/>
      <c r="E184" s="115"/>
      <c r="F184" s="75"/>
      <c r="G184" s="63"/>
      <c r="H184" s="115"/>
      <c r="I184" s="86"/>
      <c r="J184" s="63"/>
      <c r="K184" s="115"/>
      <c r="L184" s="88"/>
      <c r="M184" s="1"/>
      <c r="N184" s="75"/>
      <c r="O184" s="75"/>
      <c r="P184" s="86"/>
      <c r="Q184" s="87"/>
      <c r="R184" s="115"/>
      <c r="S184" s="89"/>
      <c r="T184" s="1"/>
      <c r="U184" s="78"/>
      <c r="V184" s="63"/>
      <c r="W184" s="115"/>
    </row>
    <row r="185" spans="1:25" s="327" customFormat="1">
      <c r="A185" s="58">
        <v>44652</v>
      </c>
      <c r="C185" s="75"/>
      <c r="D185" s="63"/>
      <c r="E185" s="115"/>
      <c r="F185" s="75"/>
      <c r="G185" s="63"/>
      <c r="H185" s="115"/>
      <c r="I185" s="86"/>
      <c r="J185" s="63"/>
      <c r="K185" s="115"/>
      <c r="L185" s="88"/>
      <c r="M185" s="1"/>
      <c r="N185" s="75"/>
      <c r="O185" s="75"/>
      <c r="P185" s="86"/>
      <c r="Q185" s="87"/>
      <c r="R185" s="115"/>
      <c r="S185" s="89"/>
      <c r="T185" s="1"/>
      <c r="U185" s="78"/>
      <c r="V185" s="63"/>
      <c r="W185" s="115"/>
    </row>
    <row r="186" spans="1:25" s="327" customFormat="1">
      <c r="A186" s="58">
        <v>44682</v>
      </c>
      <c r="C186" s="75"/>
      <c r="D186" s="63"/>
      <c r="E186" s="115"/>
      <c r="F186" s="75"/>
      <c r="G186" s="63"/>
      <c r="H186" s="115"/>
      <c r="I186" s="86"/>
      <c r="J186" s="63"/>
      <c r="K186" s="115"/>
      <c r="L186" s="88"/>
      <c r="M186" s="1"/>
      <c r="N186" s="75"/>
      <c r="O186" s="75"/>
      <c r="P186" s="86"/>
      <c r="Q186" s="87"/>
      <c r="R186" s="115"/>
      <c r="S186" s="89"/>
      <c r="T186" s="1"/>
      <c r="U186" s="78"/>
      <c r="V186" s="63"/>
      <c r="W186" s="115"/>
    </row>
    <row r="187" spans="1:25" s="327" customFormat="1">
      <c r="A187" s="58">
        <v>44713</v>
      </c>
      <c r="C187" s="75"/>
      <c r="D187" s="63"/>
      <c r="E187" s="115"/>
      <c r="F187" s="75"/>
      <c r="G187" s="63"/>
      <c r="H187" s="115"/>
      <c r="I187" s="86"/>
      <c r="J187" s="63"/>
      <c r="K187" s="115"/>
      <c r="L187" s="88"/>
      <c r="M187" s="1"/>
      <c r="N187" s="75"/>
      <c r="O187" s="75"/>
      <c r="P187" s="86"/>
      <c r="Q187" s="87"/>
      <c r="R187" s="115"/>
      <c r="S187" s="89"/>
      <c r="T187" s="1"/>
      <c r="U187" s="78"/>
      <c r="V187" s="63"/>
      <c r="W187" s="115"/>
    </row>
    <row r="188" spans="1:25" s="327" customFormat="1">
      <c r="A188" s="58"/>
      <c r="C188" s="75"/>
      <c r="D188" s="63"/>
      <c r="E188" s="115"/>
      <c r="F188" s="75"/>
      <c r="G188" s="63"/>
      <c r="H188" s="115"/>
      <c r="I188" s="86"/>
      <c r="J188" s="63"/>
      <c r="K188" s="115"/>
      <c r="L188" s="88"/>
      <c r="M188" s="1"/>
      <c r="N188" s="75"/>
      <c r="O188" s="75"/>
      <c r="P188" s="86"/>
      <c r="Q188" s="87"/>
      <c r="R188" s="115"/>
      <c r="S188" s="89"/>
      <c r="T188" s="1"/>
      <c r="U188" s="78"/>
      <c r="V188" s="63"/>
      <c r="W188" s="115"/>
    </row>
    <row r="189" spans="1:25" s="275" customFormat="1">
      <c r="A189" s="58"/>
      <c r="C189" s="75"/>
      <c r="D189" s="63"/>
      <c r="E189" s="115"/>
      <c r="F189" s="75"/>
      <c r="G189" s="63"/>
      <c r="H189" s="115"/>
      <c r="I189" s="86"/>
      <c r="J189" s="63"/>
      <c r="K189" s="115"/>
      <c r="L189" s="88"/>
      <c r="M189" s="1"/>
      <c r="N189" s="75"/>
      <c r="O189" s="75"/>
      <c r="P189" s="86"/>
      <c r="Q189" s="87"/>
      <c r="R189" s="115"/>
      <c r="S189" s="89"/>
      <c r="T189" s="1"/>
      <c r="U189" s="78"/>
      <c r="V189" s="63"/>
      <c r="W189" s="115"/>
    </row>
    <row r="190" spans="1:25" ht="40.5" customHeight="1">
      <c r="A190" s="83" t="s">
        <v>146</v>
      </c>
      <c r="B190" s="83"/>
      <c r="L190" s="93" t="s">
        <v>149</v>
      </c>
      <c r="M190" s="71"/>
      <c r="N190" s="71"/>
      <c r="O190" s="71"/>
      <c r="P190" s="71"/>
      <c r="Q190" s="71"/>
      <c r="R190" s="71"/>
      <c r="S190" s="93" t="s">
        <v>149</v>
      </c>
      <c r="X190" s="93" t="s">
        <v>149</v>
      </c>
    </row>
    <row r="191" spans="1:25" hidden="1">
      <c r="A191" s="100" t="s">
        <v>151</v>
      </c>
      <c r="B191" s="101"/>
      <c r="C191" s="99">
        <f>Population!DK431+Population!DL431+Population!DM431+Population!DN431</f>
        <v>231695.83333333334</v>
      </c>
      <c r="D191" s="127">
        <f>AVERAGE(D7:D18)</f>
        <v>2.3367765373230802E-3</v>
      </c>
      <c r="E191" s="68">
        <f>AVERAGE(E7:E18)</f>
        <v>528.58333333333337</v>
      </c>
      <c r="F191" s="99">
        <f>SUM(Population!DO431:'Population'!DT431)</f>
        <v>462580.08333333337</v>
      </c>
      <c r="G191" s="127">
        <f>AVERAGE(G7:G18)</f>
        <v>8.1907374995435055E-3</v>
      </c>
      <c r="H191" s="68">
        <f>AVERAGE(H7:H18)</f>
        <v>3795.0833333333335</v>
      </c>
      <c r="I191" s="99">
        <f>C191+F191</f>
        <v>694275.91666666674</v>
      </c>
      <c r="J191" s="126">
        <f>AVERAGE(J7:J18)</f>
        <v>6.2253398126537367E-3</v>
      </c>
      <c r="K191" s="68">
        <f>AVERAGE(K7:K18)</f>
        <v>4323.666666666667</v>
      </c>
      <c r="L191" s="95">
        <f>AVERAGE(J7:J18)</f>
        <v>6.2253398126537367E-3</v>
      </c>
      <c r="M191" s="94"/>
      <c r="N191" s="99">
        <f>SUM(Population!H431:K431,Population!CG431)</f>
        <v>94535.833333333328</v>
      </c>
      <c r="O191" s="99">
        <f>Population!G431</f>
        <v>1140</v>
      </c>
      <c r="P191" s="102">
        <f>N191+O191</f>
        <v>95675.833333333328</v>
      </c>
      <c r="Q191" s="126">
        <f>AVERAGE(Q7:Q18)</f>
        <v>5.4885421494968905E-3</v>
      </c>
      <c r="R191" s="68">
        <f>AVERAGE(R7:R18)</f>
        <v>513.41666666666663</v>
      </c>
      <c r="S191" s="95">
        <f>AVERAGE(Q7:Q18)</f>
        <v>5.4885421494968905E-3</v>
      </c>
      <c r="U191" s="102">
        <f>I191+P191</f>
        <v>789951.75000000012</v>
      </c>
      <c r="V191" s="126">
        <f>AVERAGE(V7:V18)</f>
        <v>6.1331705549619586E-3</v>
      </c>
      <c r="W191" s="68">
        <f>AVERAGE(W7:W18)</f>
        <v>4837.083333333333</v>
      </c>
      <c r="X191" s="95">
        <f>AVERAGE(V7:V18)</f>
        <v>6.1331705549619586E-3</v>
      </c>
    </row>
    <row r="192" spans="1:25" hidden="1">
      <c r="A192" s="100" t="s">
        <v>152</v>
      </c>
      <c r="B192" s="101"/>
      <c r="C192" s="99">
        <f>Population!DK432+Population!DL432+Population!DM432+Population!DN432</f>
        <v>239696.66666666666</v>
      </c>
      <c r="D192" s="127">
        <f>AVERAGE(D20:D31)</f>
        <v>3.3392511116604726E-3</v>
      </c>
      <c r="E192" s="68">
        <f>AVERAGE(E20:E31)</f>
        <v>782.58333333333337</v>
      </c>
      <c r="F192" s="99">
        <f>AVERAGE(F20:F31)</f>
        <v>524048.25</v>
      </c>
      <c r="G192" s="127">
        <f>AVERAGE(G20:G31)</f>
        <v>9.2751445149603946E-3</v>
      </c>
      <c r="H192" s="68">
        <f>AVERAGE(H20:H31)</f>
        <v>4767.75</v>
      </c>
      <c r="I192" s="99">
        <f>C192+F192</f>
        <v>763744.91666666663</v>
      </c>
      <c r="J192" s="126">
        <f>AVERAGE(J20:J31)</f>
        <v>7.3723206337368277E-3</v>
      </c>
      <c r="K192" s="68">
        <f>AVERAGE(K20:K31)</f>
        <v>5550.333333333333</v>
      </c>
      <c r="L192" s="95">
        <f>AVERAGE(J20:J31)</f>
        <v>7.3723206337368277E-3</v>
      </c>
      <c r="M192" s="94"/>
      <c r="N192" s="99">
        <f>SUM(Population!H432:K432,Population!CG432)</f>
        <v>98752.166666666672</v>
      </c>
      <c r="O192" s="99">
        <f>Population!G432</f>
        <v>1174.75</v>
      </c>
      <c r="P192" s="102">
        <f t="shared" ref="P192:P194" si="739">N192+O192</f>
        <v>99926.916666666672</v>
      </c>
      <c r="Q192" s="126">
        <f>AVERAGE(Q20:Q31)</f>
        <v>2.4789145640423094E-3</v>
      </c>
      <c r="R192" s="68">
        <f>AVERAGE(R20:R31)</f>
        <v>242.16666666666666</v>
      </c>
      <c r="S192" s="95">
        <f>AVERAGE(Q20:Q31)</f>
        <v>2.4789145640423094E-3</v>
      </c>
      <c r="T192" s="120"/>
      <c r="U192" s="102">
        <f>I192+P192</f>
        <v>863671.83333333326</v>
      </c>
      <c r="V192" s="126">
        <f>AVERAGE(V20:V31)</f>
        <v>6.8022389000464076E-3</v>
      </c>
      <c r="W192" s="68">
        <f>AVERAGE(W20:W31)</f>
        <v>5792.5</v>
      </c>
      <c r="X192" s="95">
        <f>AVERAGE(V20:V31)</f>
        <v>6.8022389000464076E-3</v>
      </c>
      <c r="Y192" s="120"/>
    </row>
    <row r="193" spans="1:25" hidden="1">
      <c r="A193" s="100" t="s">
        <v>162</v>
      </c>
      <c r="B193" s="101"/>
      <c r="C193" s="99">
        <f t="shared" ref="C193:K193" si="740">AVERAGE(C33:C44)</f>
        <v>249293.5</v>
      </c>
      <c r="D193" s="127">
        <f t="shared" si="740"/>
        <v>3.1432406960321259E-3</v>
      </c>
      <c r="E193" s="68">
        <f t="shared" si="740"/>
        <v>757.41666666666663</v>
      </c>
      <c r="F193" s="99">
        <f t="shared" si="740"/>
        <v>554892.41666666663</v>
      </c>
      <c r="G193" s="127">
        <f t="shared" si="740"/>
        <v>2.3549873199305757E-3</v>
      </c>
      <c r="H193" s="68">
        <f t="shared" si="740"/>
        <v>1295.3333333333333</v>
      </c>
      <c r="I193" s="99">
        <f>C193+F193</f>
        <v>804185.91666666663</v>
      </c>
      <c r="J193" s="126">
        <f t="shared" si="740"/>
        <v>2.5840368622568966E-3</v>
      </c>
      <c r="K193" s="68">
        <f t="shared" si="740"/>
        <v>2052.75</v>
      </c>
      <c r="L193" s="95">
        <f>AVERAGE(J33:J44)</f>
        <v>2.5840368622568966E-3</v>
      </c>
      <c r="M193" s="94"/>
      <c r="N193" s="99">
        <f>AVERAGE(N33:N44)</f>
        <v>103590.41666666667</v>
      </c>
      <c r="O193" s="99">
        <f>AVERAGE(O33:O44)</f>
        <v>1251.0833333333333</v>
      </c>
      <c r="P193" s="102">
        <f t="shared" si="739"/>
        <v>104841.5</v>
      </c>
      <c r="Q193" s="126">
        <f t="shared" ref="Q193" si="741">AVERAGE(Q33:Q44)</f>
        <v>6.6108871002193226E-3</v>
      </c>
      <c r="R193" s="68">
        <f>AVERAGE(R33:R44)</f>
        <v>684.08333333333337</v>
      </c>
      <c r="S193" s="95">
        <f>AVERAGE(Q33:Q44)</f>
        <v>6.6108871002193226E-3</v>
      </c>
      <c r="T193" s="120"/>
      <c r="U193" s="102">
        <f t="shared" ref="U193:U194" si="742">I193+P193</f>
        <v>909027.41666666663</v>
      </c>
      <c r="V193" s="126">
        <f t="shared" ref="V193" si="743">AVERAGE(V33:V44)</f>
        <v>3.0425535536320399E-3</v>
      </c>
      <c r="W193" s="68">
        <f>AVERAGE(W33:W44)</f>
        <v>2736.8333333333335</v>
      </c>
      <c r="X193" s="95">
        <f>AVERAGE(V33:V44)</f>
        <v>3.0425535536320399E-3</v>
      </c>
      <c r="Y193" s="119"/>
    </row>
    <row r="194" spans="1:25" hidden="1">
      <c r="A194" s="100" t="s">
        <v>184</v>
      </c>
      <c r="B194" s="101"/>
      <c r="C194" s="99">
        <f t="shared" ref="C194:H194" si="744">AVERAGE(C46:C57)</f>
        <v>257364.25</v>
      </c>
      <c r="D194" s="127">
        <f t="shared" si="744"/>
        <v>2.4352357409920993E-3</v>
      </c>
      <c r="E194" s="68">
        <f t="shared" si="744"/>
        <v>594.83333333333337</v>
      </c>
      <c r="F194" s="99">
        <f t="shared" si="744"/>
        <v>577511.91666666663</v>
      </c>
      <c r="G194" s="127">
        <f t="shared" si="744"/>
        <v>5.1088110594241475E-3</v>
      </c>
      <c r="H194" s="68">
        <f t="shared" si="744"/>
        <v>2948.0833333333335</v>
      </c>
      <c r="I194" s="99">
        <f>C194+F194</f>
        <v>834876.16666666663</v>
      </c>
      <c r="J194" s="126">
        <f>AVERAGE(J46:J57)</f>
        <v>4.2619733618092367E-3</v>
      </c>
      <c r="K194" s="68">
        <f>AVERAGE(K46:K57)</f>
        <v>3542.9166666666665</v>
      </c>
      <c r="L194" s="95">
        <f>AVERAGE(J46:J57)</f>
        <v>4.2619733618092367E-3</v>
      </c>
      <c r="M194" s="94"/>
      <c r="N194" s="99">
        <f>AVERAGE(N46:N57)</f>
        <v>110148.5</v>
      </c>
      <c r="O194" s="99">
        <f>AVERAGE(O46:O57)</f>
        <v>1332.9166666666667</v>
      </c>
      <c r="P194" s="102">
        <f t="shared" si="739"/>
        <v>111481.41666666667</v>
      </c>
      <c r="Q194" s="126">
        <f>AVERAGE(Q46:Q57)</f>
        <v>4.6772203365980525E-3</v>
      </c>
      <c r="R194" s="68">
        <f>AVERAGE(R46:R57)</f>
        <v>518.25</v>
      </c>
      <c r="S194" s="95">
        <f>AVERAGE(Q46:Q57)</f>
        <v>4.6772203365980525E-3</v>
      </c>
      <c r="T194" s="120"/>
      <c r="U194" s="102">
        <f t="shared" si="742"/>
        <v>946357.58333333326</v>
      </c>
      <c r="V194" s="126">
        <f>AVERAGE(V46:V57)</f>
        <v>4.3073947378030704E-3</v>
      </c>
      <c r="W194" s="68">
        <f>AVERAGE(W46:W57)</f>
        <v>4061.1666666666665</v>
      </c>
      <c r="X194" s="95">
        <f>AVERAGE(V46:V57)</f>
        <v>4.3073947378030704E-3</v>
      </c>
      <c r="Y194" s="119"/>
    </row>
    <row r="195" spans="1:25" hidden="1">
      <c r="A195" s="100" t="s">
        <v>194</v>
      </c>
      <c r="B195" s="101"/>
      <c r="C195" s="99">
        <f>AVERAGE(C59:C70)</f>
        <v>262906.08333333331</v>
      </c>
      <c r="D195" s="127">
        <f t="shared" ref="D195:K195" si="745">AVERAGE(D59:D70)</f>
        <v>1.6341800385816735E-3</v>
      </c>
      <c r="E195" s="68">
        <f t="shared" si="745"/>
        <v>394.66666666666669</v>
      </c>
      <c r="F195" s="99">
        <f t="shared" si="745"/>
        <v>614532</v>
      </c>
      <c r="G195" s="127">
        <f t="shared" si="745"/>
        <v>3.7534034858969566E-3</v>
      </c>
      <c r="H195" s="68">
        <f t="shared" si="745"/>
        <v>2284.4166666666665</v>
      </c>
      <c r="I195" s="99">
        <f t="shared" si="745"/>
        <v>877438.08333333337</v>
      </c>
      <c r="J195" s="126">
        <f t="shared" si="745"/>
        <v>3.0934986936587243E-3</v>
      </c>
      <c r="K195" s="68">
        <f t="shared" si="745"/>
        <v>2679.0833333333335</v>
      </c>
      <c r="L195" s="95">
        <f>AVERAGE(J59:J70)</f>
        <v>3.0934986936587243E-3</v>
      </c>
      <c r="M195" s="94"/>
      <c r="N195" s="99">
        <f t="shared" ref="N195:P195" si="746">AVERAGE(N59:N70)</f>
        <v>113667.5</v>
      </c>
      <c r="O195" s="99">
        <f t="shared" si="746"/>
        <v>1509.4166666666667</v>
      </c>
      <c r="P195" s="102">
        <f t="shared" si="746"/>
        <v>115176.91666666667</v>
      </c>
      <c r="Q195" s="126">
        <f>AVERAGE(Q59:Q70)</f>
        <v>8.1455840232556658E-4</v>
      </c>
      <c r="R195" s="68">
        <f>AVERAGE(R59:R70)</f>
        <v>91.75</v>
      </c>
      <c r="S195" s="95">
        <f>AVERAGE(Q59:Q70)</f>
        <v>8.1455840232556658E-4</v>
      </c>
      <c r="T195" s="120"/>
      <c r="U195" s="102">
        <f>AVERAGE(U59:U70)</f>
        <v>992615</v>
      </c>
      <c r="V195" s="126">
        <f t="shared" ref="V195" si="747">AVERAGE(V59:V70)</f>
        <v>2.8243080926930592E-3</v>
      </c>
      <c r="W195" s="68">
        <f>AVERAGE(W59:W70)</f>
        <v>2770.8333333333335</v>
      </c>
      <c r="X195" s="95">
        <f>AVERAGE(V59:V70)</f>
        <v>2.8243080926930592E-3</v>
      </c>
    </row>
    <row r="196" spans="1:25" s="136" customFormat="1" hidden="1">
      <c r="A196" s="100" t="s">
        <v>348</v>
      </c>
      <c r="B196" s="101"/>
      <c r="C196" s="99">
        <f>AVERAGE(C72:C83)</f>
        <v>266182.91666666669</v>
      </c>
      <c r="D196" s="127">
        <f>AVERAGE(D72:D83)</f>
        <v>1.1483251294724999E-3</v>
      </c>
      <c r="E196" s="68">
        <f>AVERAGE(E72:E83)</f>
        <v>265.91666666666669</v>
      </c>
      <c r="F196" s="99">
        <f t="shared" ref="F196:K196" si="748">AVERAGE(F72:F83)</f>
        <v>623078.91666666663</v>
      </c>
      <c r="G196" s="127">
        <f>AVERAGE(G72:G83)</f>
        <v>1.7479726868714976E-3</v>
      </c>
      <c r="H196" s="68">
        <f>AVERAGE(H72:H83)</f>
        <v>1091.0833333333333</v>
      </c>
      <c r="I196" s="99">
        <f t="shared" si="748"/>
        <v>889261.83333333337</v>
      </c>
      <c r="J196" s="126">
        <f>AVERAGE(J72:J83)</f>
        <v>1.5412553170087702E-3</v>
      </c>
      <c r="K196" s="68">
        <f t="shared" si="748"/>
        <v>1357</v>
      </c>
      <c r="L196" s="95">
        <f>AVERAGE(J72:J83)</f>
        <v>1.5412553170087702E-3</v>
      </c>
      <c r="M196" s="94"/>
      <c r="N196" s="99">
        <f t="shared" ref="N196:O196" si="749">AVERAGE(N72:N83)</f>
        <v>113956.16666666667</v>
      </c>
      <c r="O196" s="99">
        <f t="shared" si="749"/>
        <v>1221.3333333333333</v>
      </c>
      <c r="P196" s="102">
        <f>AVERAGE(P72:P83)</f>
        <v>115177.5</v>
      </c>
      <c r="Q196" s="126">
        <f>AVERAGE(Q72:Q83)</f>
        <v>2.4554744558585168E-4</v>
      </c>
      <c r="R196" s="68">
        <f>AVERAGE(R72:R83)</f>
        <v>23.166666666666668</v>
      </c>
      <c r="S196" s="95">
        <f>AVERAGE(Q72:Q83)</f>
        <v>2.4554744558585168E-4</v>
      </c>
      <c r="T196" s="120"/>
      <c r="U196" s="102">
        <f>AVERAGE(U72:U83)</f>
        <v>1004439.3333333334</v>
      </c>
      <c r="V196" s="126">
        <f>AVERAGE(V72:V83)</f>
        <v>1.3850180655559199E-3</v>
      </c>
      <c r="W196" s="68">
        <f>AVERAGE(W72:W83)</f>
        <v>1380.1666666666667</v>
      </c>
      <c r="X196" s="95">
        <f>AVERAGE(V72:V83)</f>
        <v>1.3850180655559199E-3</v>
      </c>
    </row>
    <row r="197" spans="1:25" hidden="1">
      <c r="A197" s="100" t="s">
        <v>351</v>
      </c>
      <c r="B197" s="101"/>
      <c r="C197" s="99">
        <f>AVERAGE(C85:C96)</f>
        <v>270034.75</v>
      </c>
      <c r="D197" s="127">
        <f t="shared" ref="D197:F197" si="750">AVERAGE(D85:D96)</f>
        <v>1.1893843936392652E-3</v>
      </c>
      <c r="E197" s="68">
        <f t="shared" si="750"/>
        <v>286.91666666666669</v>
      </c>
      <c r="F197" s="99">
        <f t="shared" si="750"/>
        <v>667270.83333333337</v>
      </c>
      <c r="G197" s="127">
        <f>AVERAGE(G85:G96)</f>
        <v>8.941406344866518E-3</v>
      </c>
      <c r="H197" s="68">
        <f>AVERAGE(H85:H96)</f>
        <v>5967.083333333333</v>
      </c>
      <c r="I197" s="99">
        <f>AVERAGE(I85:I96)</f>
        <v>937305.58333333337</v>
      </c>
      <c r="J197" s="126">
        <f>AVERAGE(J85:J96)</f>
        <v>6.6897729136297336E-3</v>
      </c>
      <c r="K197" s="68">
        <f>AVERAGE(K85:K96)</f>
        <v>6254</v>
      </c>
      <c r="L197" s="95">
        <f>AVERAGE(J85:J96)</f>
        <v>6.6897729136297336E-3</v>
      </c>
      <c r="N197" s="99">
        <f>AVERAGE(N85:N96)</f>
        <v>110071.91666666667</v>
      </c>
      <c r="O197" s="99">
        <f>AVERAGE(O85:O96)</f>
        <v>326.25</v>
      </c>
      <c r="P197" s="102">
        <f>AVERAGE(P85:P96)</f>
        <v>110398.16666666667</v>
      </c>
      <c r="Q197" s="126">
        <f>AVERAGE(Q85:Q96)</f>
        <v>-6.9262871268180072E-3</v>
      </c>
      <c r="R197" s="68">
        <f>AVERAGE(R85:R96)</f>
        <v>-776</v>
      </c>
      <c r="S197" s="95">
        <f>AVERAGE(Q85:Q96)</f>
        <v>-6.9262871268180072E-3</v>
      </c>
      <c r="U197" s="102">
        <f>AVERAGE(U85:U96)</f>
        <v>1047703.75</v>
      </c>
      <c r="V197" s="126">
        <f>AVERAGE(V85:V96)</f>
        <v>5.2406038393097501E-3</v>
      </c>
      <c r="W197" s="68">
        <f>AVERAGE(W85:W96)</f>
        <v>5478</v>
      </c>
      <c r="X197" s="95">
        <f>AVERAGE(V85:V96)</f>
        <v>5.2406038393097501E-3</v>
      </c>
    </row>
    <row r="198" spans="1:25">
      <c r="A198" s="100" t="s">
        <v>384</v>
      </c>
      <c r="B198" s="101"/>
      <c r="C198" s="99">
        <f t="shared" ref="C198:I198" si="751">AVERAGE(C98:C109)</f>
        <v>275381.25</v>
      </c>
      <c r="D198" s="127">
        <f>AVERAGE(D98:D109)</f>
        <v>1.9107649586401481E-3</v>
      </c>
      <c r="E198" s="68">
        <f>AVERAGE(E98:E109)</f>
        <v>525.08333333333337</v>
      </c>
      <c r="F198" s="99">
        <f t="shared" si="751"/>
        <v>715729.91666666663</v>
      </c>
      <c r="G198" s="127">
        <f>AVERAGE(G98:G109)</f>
        <v>8.4279974663784528E-4</v>
      </c>
      <c r="H198" s="68">
        <f t="shared" si="751"/>
        <v>595.16666666666663</v>
      </c>
      <c r="I198" s="99">
        <f t="shared" si="751"/>
        <v>991111.16666666663</v>
      </c>
      <c r="J198" s="126">
        <f>AVERAGE(J98:J109)</f>
        <v>1.1389165489705509E-3</v>
      </c>
      <c r="K198" s="68">
        <f>AVERAGE(K98:K109)</f>
        <v>1120.25</v>
      </c>
      <c r="L198" s="95">
        <f>AVERAGE(J98:J109)</f>
        <v>1.1389165489705509E-3</v>
      </c>
      <c r="M198" s="188"/>
      <c r="N198" s="99">
        <f>AVERAGE(N98:N109)</f>
        <v>107489.08333333333</v>
      </c>
      <c r="O198" s="99">
        <f>AVERAGE(O98:O109)</f>
        <v>1060.0833333333333</v>
      </c>
      <c r="P198" s="102">
        <f>AVERAGE(P98:P109)</f>
        <v>108549.16666666667</v>
      </c>
      <c r="Q198" s="126">
        <f>AVERAGE(Q98:Q109)</f>
        <v>3.9515813704289228E-3</v>
      </c>
      <c r="R198" s="68">
        <f>AVERAGE(R98:R109)</f>
        <v>429.33333333333331</v>
      </c>
      <c r="S198" s="95">
        <f>AVERAGE(Q98:Q109)</f>
        <v>3.9515813704289228E-3</v>
      </c>
      <c r="T198" s="188"/>
      <c r="U198" s="102">
        <f>AVERAGE(U98:U109)</f>
        <v>1099660.3333333333</v>
      </c>
      <c r="V198" s="126">
        <f>AVERAGE(V98:V109)</f>
        <v>1.4174587694538692E-3</v>
      </c>
      <c r="W198" s="68">
        <f>AVERAGE(W98:W109)</f>
        <v>1549.5833333333333</v>
      </c>
      <c r="X198" s="95">
        <f>AVERAGE(V98:V109)</f>
        <v>1.4174587694538692E-3</v>
      </c>
      <c r="Y198" s="188"/>
    </row>
    <row r="199" spans="1:25">
      <c r="A199" s="100" t="s">
        <v>406</v>
      </c>
      <c r="B199" s="101"/>
      <c r="C199" s="99">
        <f t="shared" ref="C199:K199" si="752">AVERAGE(C111:C122)</f>
        <v>279148.66666666669</v>
      </c>
      <c r="D199" s="127">
        <f t="shared" si="752"/>
        <v>6.6381700279989197E-4</v>
      </c>
      <c r="E199" s="245">
        <f t="shared" si="752"/>
        <v>184.5</v>
      </c>
      <c r="F199" s="99">
        <f t="shared" si="752"/>
        <v>732092.08333333337</v>
      </c>
      <c r="G199" s="127">
        <f t="shared" si="752"/>
        <v>3.1523951299498522E-3</v>
      </c>
      <c r="H199" s="68">
        <f t="shared" si="752"/>
        <v>2293.3333333333335</v>
      </c>
      <c r="I199" s="99">
        <f t="shared" si="752"/>
        <v>1011240.75</v>
      </c>
      <c r="J199" s="126">
        <f t="shared" si="752"/>
        <v>2.4611426375440938E-3</v>
      </c>
      <c r="K199" s="68">
        <f t="shared" si="752"/>
        <v>2477.8333333333335</v>
      </c>
      <c r="L199" s="95">
        <f>AVERAGE(J111:J122)</f>
        <v>2.4611426375440938E-3</v>
      </c>
      <c r="M199" s="243"/>
      <c r="N199" s="99">
        <f>AVERAGE(N111:N122)</f>
        <v>112937</v>
      </c>
      <c r="O199" s="99">
        <f>AVERAGE(O111:O122)</f>
        <v>1064.4166666666667</v>
      </c>
      <c r="P199" s="102">
        <f>AVERAGE(P111:P122)</f>
        <v>114001.41666666667</v>
      </c>
      <c r="Q199" s="126">
        <f>AVERAGE(Q111:Q122)</f>
        <v>4.3309874506309827E-3</v>
      </c>
      <c r="R199" s="68">
        <f>AVERAGE(R111:R122)</f>
        <v>494.83333333333331</v>
      </c>
      <c r="S199" s="95">
        <f>AVERAGE(Q111:Q122)</f>
        <v>4.3309874506309827E-3</v>
      </c>
      <c r="T199" s="243"/>
      <c r="U199" s="102">
        <f>AVERAGE(U111:U122)</f>
        <v>1125242.1666666667</v>
      </c>
      <c r="V199" s="126">
        <f>AVERAGE(V111:V122)</f>
        <v>2.6510530410949495E-3</v>
      </c>
      <c r="W199" s="68">
        <f>AVERAGE(W111:W122)</f>
        <v>2972.6666666666665</v>
      </c>
      <c r="X199" s="95">
        <f>AVERAGE(V111:V122)</f>
        <v>2.6510530410949495E-3</v>
      </c>
    </row>
    <row r="200" spans="1:25">
      <c r="A200" s="100" t="s">
        <v>408</v>
      </c>
      <c r="B200" s="101"/>
      <c r="C200" s="99">
        <f t="shared" ref="C200:K200" si="753">AVERAGE(C124:C135)</f>
        <v>284312.91666666669</v>
      </c>
      <c r="D200" s="127">
        <f t="shared" si="753"/>
        <v>1.6275611927731766E-3</v>
      </c>
      <c r="E200" s="245">
        <f t="shared" si="753"/>
        <v>460.75</v>
      </c>
      <c r="F200" s="99">
        <f t="shared" si="753"/>
        <v>764005.75</v>
      </c>
      <c r="G200" s="127">
        <f t="shared" si="753"/>
        <v>4.339217381985682E-3</v>
      </c>
      <c r="H200" s="68">
        <f t="shared" si="753"/>
        <v>3304.8333333333335</v>
      </c>
      <c r="I200" s="99">
        <f t="shared" si="753"/>
        <v>1048318.6666666666</v>
      </c>
      <c r="J200" s="126">
        <f t="shared" si="753"/>
        <v>3.6034230299825019E-3</v>
      </c>
      <c r="K200" s="68">
        <f t="shared" si="753"/>
        <v>3765.5833333333335</v>
      </c>
      <c r="L200" s="95">
        <f>AVERAGE(J124:J135)</f>
        <v>3.6034230299825019E-3</v>
      </c>
      <c r="M200" s="261"/>
      <c r="N200" s="99">
        <f>AVERAGE(N124:N135)</f>
        <v>128769.83333333333</v>
      </c>
      <c r="O200" s="99">
        <f>AVERAGE(O124:O135)</f>
        <v>1151.5</v>
      </c>
      <c r="P200" s="102">
        <f>AVERAGE(P124:P135)</f>
        <v>129921.33333333333</v>
      </c>
      <c r="Q200" s="126">
        <f>AVERAGE(Q124:Q135)</f>
        <v>1.2242553493376884E-2</v>
      </c>
      <c r="R200" s="68">
        <f>AVERAGE(R124:R135)</f>
        <v>1540.75</v>
      </c>
      <c r="S200" s="95">
        <f>AVERAGE(Q124:Q135)</f>
        <v>1.2242553493376884E-2</v>
      </c>
      <c r="T200" s="261"/>
      <c r="U200" s="102">
        <f>AVERAGE(U124:U135)</f>
        <v>1178240</v>
      </c>
      <c r="V200" s="126">
        <f>AVERAGE(V124:V135)</f>
        <v>4.5307749268871751E-3</v>
      </c>
      <c r="W200" s="68">
        <f>AVERAGE(W124:W135)</f>
        <v>5306.333333333333</v>
      </c>
      <c r="X200" s="95">
        <f>AVERAGE(V124:V135)</f>
        <v>4.5307749268871751E-3</v>
      </c>
    </row>
    <row r="201" spans="1:25" s="275" customFormat="1">
      <c r="A201" s="100" t="s">
        <v>455</v>
      </c>
      <c r="B201" s="101"/>
      <c r="C201" s="99">
        <f t="shared" ref="C201:K201" si="754">AVERAGE(C137:C148)</f>
        <v>286519.83333333331</v>
      </c>
      <c r="D201" s="127">
        <f t="shared" si="754"/>
        <v>3.5526386466627383E-4</v>
      </c>
      <c r="E201" s="245">
        <f t="shared" si="754"/>
        <v>101.08333333333333</v>
      </c>
      <c r="F201" s="99">
        <f>AVERAGE(F137:F148)</f>
        <v>853535.91666666663</v>
      </c>
      <c r="G201" s="127">
        <f t="shared" si="754"/>
        <v>1.7343228554147553E-2</v>
      </c>
      <c r="H201" s="68">
        <f t="shared" si="754"/>
        <v>14673.75</v>
      </c>
      <c r="I201" s="99">
        <f t="shared" si="754"/>
        <v>1140055.75</v>
      </c>
      <c r="J201" s="126">
        <f t="shared" si="754"/>
        <v>1.3019103726958239E-2</v>
      </c>
      <c r="K201" s="68">
        <f t="shared" si="754"/>
        <v>14774.833333333334</v>
      </c>
      <c r="L201" s="95">
        <f>AVERAGE(J137:J148)</f>
        <v>1.3019103726958239E-2</v>
      </c>
      <c r="N201" s="99">
        <f>AVERAGE(N137:N148)</f>
        <v>135966.16666666666</v>
      </c>
      <c r="O201" s="99">
        <f>AVERAGE(O137:O148)</f>
        <v>1218.8333333333333</v>
      </c>
      <c r="P201" s="102">
        <f>AVERAGE(P137:P148)</f>
        <v>137185</v>
      </c>
      <c r="Q201" s="126">
        <f>AVERAGE(Q137:Q148)</f>
        <v>2.0276314215335774E-3</v>
      </c>
      <c r="R201" s="68">
        <f>AVERAGE(R137:R148)</f>
        <v>276.58333333333331</v>
      </c>
      <c r="S201" s="95">
        <f>AVERAGE(Q137:Q148)</f>
        <v>2.0276314215335774E-3</v>
      </c>
      <c r="U201" s="102">
        <f>AVERAGE(U137:U148)</f>
        <v>1277240.75</v>
      </c>
      <c r="V201" s="126">
        <f>AVERAGE(V137:V148)</f>
        <v>1.1831737779725023E-2</v>
      </c>
      <c r="W201" s="68">
        <f>AVERAGE(W137:W148)</f>
        <v>15051.416666666666</v>
      </c>
      <c r="X201" s="95">
        <f>AVERAGE(V137:V148)</f>
        <v>1.1831737779725023E-2</v>
      </c>
    </row>
    <row r="202" spans="1:25">
      <c r="A202" s="100" t="s">
        <v>469</v>
      </c>
      <c r="B202" s="101"/>
      <c r="C202" s="99">
        <f t="shared" ref="C202:K202" si="755">AVERAGE(C150:C161)</f>
        <v>289325.25</v>
      </c>
      <c r="D202" s="127">
        <f>AVERAGE(D150:D161)</f>
        <v>2.3008834721379417E-3</v>
      </c>
      <c r="E202" s="245">
        <f t="shared" si="755"/>
        <v>666.08333333333337</v>
      </c>
      <c r="F202" s="99">
        <f t="shared" si="755"/>
        <v>1045997.25</v>
      </c>
      <c r="G202" s="127">
        <f t="shared" si="755"/>
        <v>1.5696220066153069E-2</v>
      </c>
      <c r="H202" s="68">
        <f t="shared" si="755"/>
        <v>16374.583333333334</v>
      </c>
      <c r="I202" s="99">
        <f t="shared" si="755"/>
        <v>1335322.5</v>
      </c>
      <c r="J202" s="126">
        <f>AVERAGE(J150:J161)</f>
        <v>1.276997928787073E-2</v>
      </c>
      <c r="K202" s="68">
        <f t="shared" si="755"/>
        <v>17040.666666666668</v>
      </c>
      <c r="L202" s="95">
        <f>AVERAGE(J150:J161)</f>
        <v>1.276997928787073E-2</v>
      </c>
      <c r="M202" s="299"/>
      <c r="N202" s="99">
        <f>AVERAGE(N150:N161)</f>
        <v>146412.5</v>
      </c>
      <c r="O202" s="99">
        <f>AVERAGE(O150:O161)</f>
        <v>1586.9166666666667</v>
      </c>
      <c r="P202" s="102">
        <f>AVERAGE(P150:P161)</f>
        <v>147999.41666666666</v>
      </c>
      <c r="Q202" s="126">
        <f>AVERAGE(Q150:Q161)</f>
        <v>9.2978963735050775E-3</v>
      </c>
      <c r="R202" s="68">
        <f>AVERAGE(R150:R161)</f>
        <v>1360.8333333333333</v>
      </c>
      <c r="S202" s="95">
        <f>AVERAGE(Q150:Q161)</f>
        <v>9.2978963735050775E-3</v>
      </c>
      <c r="T202" s="299"/>
      <c r="U202" s="102">
        <f>AVERAGE(U150:U161)</f>
        <v>1483321.9166666667</v>
      </c>
      <c r="V202" s="126">
        <f>AVERAGE(V150:V161)</f>
        <v>1.2423769508826453E-2</v>
      </c>
      <c r="W202" s="68">
        <f>AVERAGE(W150:W161)</f>
        <v>18401.5</v>
      </c>
      <c r="X202" s="95">
        <f>AVERAGE(V150:V161)</f>
        <v>1.2423769508826453E-2</v>
      </c>
    </row>
    <row r="203" spans="1:25" s="313" customFormat="1">
      <c r="A203" s="190" t="s">
        <v>484</v>
      </c>
      <c r="B203" s="190"/>
      <c r="C203" s="99">
        <f>AVERAGE(C163:C174)</f>
        <v>299750.33333333331</v>
      </c>
      <c r="D203" s="127">
        <f>AVERAGE(D163:D174)</f>
        <v>1.7847710708564751E-3</v>
      </c>
      <c r="E203" s="245">
        <f>AVERAGE(E163:E174)</f>
        <v>532.75</v>
      </c>
      <c r="F203" s="99">
        <f>AVERAGE(F163:F174)</f>
        <v>1280300.5</v>
      </c>
      <c r="G203" s="127">
        <f>AVERAGE(G151:G163)</f>
        <v>1.6454354416197324E-2</v>
      </c>
      <c r="H203" s="68">
        <f>AVERAGE(H151:H163)</f>
        <v>17393.75</v>
      </c>
      <c r="I203" s="99">
        <f>AVERAGE(I163:I174)</f>
        <v>1580050.8333333333</v>
      </c>
      <c r="J203" s="126">
        <f>AVERAGE(J163:J174)</f>
        <v>1.1929354832191855E-2</v>
      </c>
      <c r="K203" s="68">
        <f>AVERAGE(K163:K174)</f>
        <v>18495.916666666668</v>
      </c>
      <c r="L203" s="95">
        <f>AVERAGE(J163:J174)</f>
        <v>1.1929354832191855E-2</v>
      </c>
      <c r="N203" s="99">
        <f>AVERAGE(N163:N174)</f>
        <v>158675.33333333334</v>
      </c>
      <c r="O203" s="99">
        <f>AVERAGE(O163:O174)</f>
        <v>1634.5833333333333</v>
      </c>
      <c r="P203" s="102">
        <f>AVERAGE(P163:P174)</f>
        <v>160309.91666666666</v>
      </c>
      <c r="Q203" s="126">
        <f>AVERAGE(Q163:Q174)</f>
        <v>5.2343312255727463E-3</v>
      </c>
      <c r="R203" s="68">
        <f>AVERAGE(R163:R174)</f>
        <v>837</v>
      </c>
      <c r="S203" s="95">
        <f>AVERAGE(Q163:Q174)</f>
        <v>5.2343312255727463E-3</v>
      </c>
      <c r="U203" s="102">
        <f>AVERAGE(U163:U174)</f>
        <v>1740360.75</v>
      </c>
      <c r="V203" s="126">
        <f>AVERAGE(V163:V174)</f>
        <v>1.1258615505472256E-2</v>
      </c>
      <c r="W203" s="68">
        <f>AVERAGE(W163:W174)</f>
        <v>19259.166666666668</v>
      </c>
      <c r="X203" s="95">
        <f>AVERAGE(V163:V174)</f>
        <v>1.1258615505472256E-2</v>
      </c>
    </row>
    <row r="204" spans="1:25" s="327" customFormat="1">
      <c r="A204" s="190" t="s">
        <v>485</v>
      </c>
      <c r="B204" s="190"/>
      <c r="C204" s="99">
        <f t="shared" ref="C204:K204" si="756">AVERAGE(C176:C187)</f>
        <v>301442</v>
      </c>
      <c r="D204" s="127">
        <f t="shared" si="756"/>
        <v>-2.1582686183770614E-3</v>
      </c>
      <c r="E204" s="245">
        <f t="shared" si="756"/>
        <v>-652</v>
      </c>
      <c r="F204" s="99">
        <f t="shared" si="756"/>
        <v>1385591</v>
      </c>
      <c r="G204" s="127">
        <f t="shared" si="756"/>
        <v>1.0179137361487692E-2</v>
      </c>
      <c r="H204" s="68">
        <f t="shared" si="756"/>
        <v>13962</v>
      </c>
      <c r="I204" s="99">
        <f t="shared" si="756"/>
        <v>1687033</v>
      </c>
      <c r="J204" s="126">
        <f t="shared" si="756"/>
        <v>7.9523314192372335E-3</v>
      </c>
      <c r="K204" s="68">
        <f t="shared" si="756"/>
        <v>13310</v>
      </c>
      <c r="L204" s="95">
        <f>AVERAGE(J176:J187)</f>
        <v>7.9523314192372335E-3</v>
      </c>
      <c r="N204" s="99">
        <f>AVERAGE(N176:N187)</f>
        <v>163793</v>
      </c>
      <c r="O204" s="99">
        <f>AVERAGE(O176:O187)</f>
        <v>1737</v>
      </c>
      <c r="P204" s="102">
        <f>AVERAGE(P176:P187)</f>
        <v>165530</v>
      </c>
      <c r="Q204" s="126">
        <f>AVERAGE(Q176:Q187)</f>
        <v>2.6652129141680296E-3</v>
      </c>
      <c r="R204" s="68">
        <f>AVERAGE(R176:R187)</f>
        <v>440</v>
      </c>
      <c r="S204" s="95">
        <f>AVERAGE(Q164:Q176)</f>
        <v>5.1413934488516531E-3</v>
      </c>
      <c r="U204" s="102">
        <f>AVERAGE(U176:U187)</f>
        <v>1852563</v>
      </c>
      <c r="V204" s="126">
        <f>AVERAGE(V176:V187)</f>
        <v>7.4776499839842329E-3</v>
      </c>
      <c r="W204" s="68">
        <f>AVERAGE(W176:W187)</f>
        <v>13750</v>
      </c>
      <c r="X204" s="95">
        <f>AVERAGE(V176:V187)</f>
        <v>7.4776499839842329E-3</v>
      </c>
    </row>
    <row r="205" spans="1:25">
      <c r="I205" s="280"/>
    </row>
    <row r="206" spans="1:25">
      <c r="I206" s="36"/>
    </row>
    <row r="207" spans="1:25">
      <c r="T207" s="117"/>
    </row>
    <row r="246" spans="16:16">
      <c r="P246" s="35">
        <f>P226/P49</f>
        <v>0</v>
      </c>
    </row>
  </sheetData>
  <mergeCells count="4">
    <mergeCell ref="C3:I3"/>
    <mergeCell ref="N3:P3"/>
    <mergeCell ref="C1:U1"/>
    <mergeCell ref="U3:U4"/>
  </mergeCells>
  <phoneticPr fontId="3" type="noConversion"/>
  <pageMargins left="0.64" right="0.3" top="0.41" bottom="0.35" header="0.36" footer="0.32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365"/>
  <sheetViews>
    <sheetView tabSelected="1" zoomScaleNormal="100" workbookViewId="0">
      <pane xSplit="2" ySplit="6" topLeftCell="C171" activePane="bottomRight" state="frozen"/>
      <selection activeCell="F136" sqref="F136"/>
      <selection pane="topRight" activeCell="F136" sqref="F136"/>
      <selection pane="bottomLeft" activeCell="F136" sqref="F136"/>
      <selection pane="bottomRight" activeCell="E177" sqref="E177"/>
    </sheetView>
  </sheetViews>
  <sheetFormatPr baseColWidth="10" defaultColWidth="9.1640625" defaultRowHeight="13"/>
  <cols>
    <col min="1" max="1" width="10.33203125" style="209" customWidth="1"/>
    <col min="2" max="2" width="0.83203125" style="209" customWidth="1"/>
    <col min="3" max="3" width="9.83203125" style="207" customWidth="1"/>
    <col min="4" max="4" width="11.5" style="207" customWidth="1"/>
    <col min="5" max="7" width="9.83203125" style="207" customWidth="1"/>
    <col min="8" max="8" width="15" style="207" customWidth="1"/>
    <col min="9" max="11" width="13.5" style="207" customWidth="1"/>
    <col min="12" max="13" width="15" style="207" customWidth="1"/>
    <col min="14" max="18" width="11.5" style="207" customWidth="1"/>
    <col min="19" max="19" width="9.5" style="207" bestFit="1" customWidth="1"/>
    <col min="20" max="20" width="17.83203125" style="207" customWidth="1"/>
    <col min="21" max="21" width="15.5" style="207" customWidth="1"/>
    <col min="22" max="22" width="13.5" style="207" customWidth="1"/>
    <col min="23" max="23" width="11.33203125" style="207" customWidth="1"/>
    <col min="24" max="24" width="5.1640625" style="207" customWidth="1"/>
    <col min="25" max="25" width="14" style="208" customWidth="1"/>
    <col min="26" max="26" width="12.33203125" style="207" customWidth="1"/>
    <col min="27" max="27" width="13.1640625" style="207" customWidth="1"/>
    <col min="28" max="28" width="12.6640625" style="207" customWidth="1"/>
    <col min="29" max="16384" width="9.1640625" style="207"/>
  </cols>
  <sheetData>
    <row r="1" spans="1:25" s="241" customFormat="1" ht="18">
      <c r="A1" s="238"/>
      <c r="B1" s="238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</row>
    <row r="2" spans="1:25" s="241" customFormat="1" ht="9.75" customHeight="1">
      <c r="A2" s="238"/>
      <c r="B2" s="238"/>
    </row>
    <row r="3" spans="1:25" s="239" customFormat="1" ht="14">
      <c r="A3" s="240"/>
      <c r="B3" s="240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288"/>
      <c r="P3" s="288"/>
      <c r="Q3" s="288"/>
      <c r="R3" s="288"/>
      <c r="T3" s="355" t="s">
        <v>131</v>
      </c>
      <c r="U3" s="355"/>
      <c r="V3" s="355"/>
      <c r="W3" s="355"/>
      <c r="Y3" s="340" t="s">
        <v>127</v>
      </c>
    </row>
    <row r="4" spans="1:25" s="237" customFormat="1" ht="12.75" customHeight="1">
      <c r="A4" s="238"/>
      <c r="B4" s="238"/>
      <c r="C4" s="356" t="s">
        <v>235</v>
      </c>
      <c r="D4" s="356"/>
      <c r="E4" s="356"/>
      <c r="F4" s="356"/>
      <c r="G4" s="356"/>
      <c r="H4" s="357"/>
      <c r="I4" s="345" t="s">
        <v>144</v>
      </c>
      <c r="J4" s="346"/>
      <c r="K4" s="346"/>
      <c r="L4" s="346"/>
      <c r="M4" s="346"/>
      <c r="N4" s="347"/>
      <c r="O4" s="345" t="s">
        <v>449</v>
      </c>
      <c r="P4" s="346"/>
      <c r="Q4" s="346"/>
      <c r="R4" s="369" t="s">
        <v>0</v>
      </c>
      <c r="T4" s="358" t="s">
        <v>128</v>
      </c>
      <c r="U4" s="357"/>
      <c r="V4" s="205" t="s">
        <v>126</v>
      </c>
      <c r="W4" s="359" t="s">
        <v>0</v>
      </c>
      <c r="Y4" s="340"/>
    </row>
    <row r="5" spans="1:25" s="237" customFormat="1" ht="12.75" customHeight="1">
      <c r="A5" s="238"/>
      <c r="B5" s="238"/>
      <c r="C5" s="361" t="s">
        <v>234</v>
      </c>
      <c r="D5" s="361"/>
      <c r="E5" s="361"/>
      <c r="F5" s="361"/>
      <c r="G5" s="362"/>
      <c r="H5" s="363" t="s">
        <v>148</v>
      </c>
      <c r="I5" s="341" t="s">
        <v>153</v>
      </c>
      <c r="J5" s="350" t="s">
        <v>111</v>
      </c>
      <c r="K5" s="343" t="s">
        <v>128</v>
      </c>
      <c r="L5" s="348" t="s">
        <v>353</v>
      </c>
      <c r="M5" s="343" t="s">
        <v>391</v>
      </c>
      <c r="N5" s="367" t="s">
        <v>0</v>
      </c>
      <c r="O5" s="341" t="s">
        <v>153</v>
      </c>
      <c r="P5" s="343" t="s">
        <v>450</v>
      </c>
      <c r="Q5" s="367" t="s">
        <v>0</v>
      </c>
      <c r="R5" s="369"/>
      <c r="T5" s="352" t="s">
        <v>382</v>
      </c>
      <c r="U5" s="363" t="s">
        <v>383</v>
      </c>
      <c r="V5" s="365" t="s">
        <v>132</v>
      </c>
      <c r="W5" s="359"/>
      <c r="Y5" s="340"/>
    </row>
    <row r="6" spans="1:25" s="235" customFormat="1" ht="28">
      <c r="A6" s="236"/>
      <c r="B6" s="236"/>
      <c r="C6" s="84" t="s">
        <v>231</v>
      </c>
      <c r="D6" s="84" t="s">
        <v>230</v>
      </c>
      <c r="E6" s="84" t="s">
        <v>228</v>
      </c>
      <c r="F6" s="84" t="s">
        <v>229</v>
      </c>
      <c r="G6" s="142" t="s">
        <v>0</v>
      </c>
      <c r="H6" s="364"/>
      <c r="I6" s="342"/>
      <c r="J6" s="351"/>
      <c r="K6" s="344"/>
      <c r="L6" s="349"/>
      <c r="M6" s="344"/>
      <c r="N6" s="368"/>
      <c r="O6" s="342"/>
      <c r="P6" s="344"/>
      <c r="Q6" s="368"/>
      <c r="R6" s="369"/>
      <c r="T6" s="353"/>
      <c r="U6" s="364"/>
      <c r="V6" s="366"/>
      <c r="W6" s="360"/>
      <c r="Y6" s="340"/>
    </row>
    <row r="7" spans="1:25" s="229" customFormat="1" ht="12.75" hidden="1" customHeight="1">
      <c r="A7" s="58">
        <v>39630</v>
      </c>
      <c r="B7" s="58"/>
      <c r="C7" s="74"/>
      <c r="D7" s="74"/>
      <c r="E7" s="74"/>
      <c r="F7" s="74"/>
      <c r="G7" s="74">
        <f>Population!DK252+Population!DL252</f>
        <v>184946</v>
      </c>
      <c r="H7" s="80">
        <f>Population!DM252+Population!DN252</f>
        <v>44818</v>
      </c>
      <c r="I7" s="74">
        <f>Population!DP252</f>
        <v>62621</v>
      </c>
      <c r="J7" s="74">
        <f>Population!DR252</f>
        <v>16451</v>
      </c>
      <c r="K7" s="74">
        <f>Population!DO252+Population!DT252</f>
        <v>358825</v>
      </c>
      <c r="L7" s="74">
        <f>Population!DS252</f>
        <v>6241</v>
      </c>
      <c r="M7" s="251"/>
      <c r="N7" s="143">
        <f>SUM(H7:M7)</f>
        <v>488956</v>
      </c>
      <c r="O7" s="76"/>
      <c r="P7" s="76"/>
      <c r="Q7" s="76"/>
      <c r="R7" s="76">
        <f t="shared" ref="R7:R70" si="0">G7+N7+Q7</f>
        <v>673902</v>
      </c>
      <c r="T7" s="77">
        <f>Population!CG252</f>
        <v>36499</v>
      </c>
      <c r="U7" s="82">
        <f>SUM(Population!H252:K252)</f>
        <v>54123</v>
      </c>
      <c r="V7" s="74">
        <f>Population!G252</f>
        <v>1122</v>
      </c>
      <c r="W7" s="76">
        <f t="shared" ref="W7:W18" si="1">SUM(T7:V7)</f>
        <v>91744</v>
      </c>
      <c r="Y7" s="233">
        <f t="shared" ref="Y7:Y70" si="2">R7+W7</f>
        <v>765646</v>
      </c>
    </row>
    <row r="8" spans="1:25" s="229" customFormat="1" hidden="1">
      <c r="A8" s="58">
        <v>39661</v>
      </c>
      <c r="B8" s="58"/>
      <c r="C8" s="74"/>
      <c r="D8" s="74"/>
      <c r="E8" s="74"/>
      <c r="F8" s="74"/>
      <c r="G8" s="74">
        <f>Population!DK253+Population!DL253</f>
        <v>185334</v>
      </c>
      <c r="H8" s="80">
        <f>Population!DM253+Population!DN253</f>
        <v>45276</v>
      </c>
      <c r="I8" s="74">
        <f>Population!DP253</f>
        <v>63443</v>
      </c>
      <c r="J8" s="74">
        <f>Population!DR253</f>
        <v>16792</v>
      </c>
      <c r="K8" s="74">
        <f>Population!DO253+Population!DT253</f>
        <v>359112</v>
      </c>
      <c r="L8" s="74">
        <f>Population!DS253</f>
        <v>5804</v>
      </c>
      <c r="M8" s="74"/>
      <c r="N8" s="143">
        <f t="shared" ref="N8:N70" si="3">SUM(H8:M8)</f>
        <v>490427</v>
      </c>
      <c r="O8" s="76"/>
      <c r="P8" s="76"/>
      <c r="Q8" s="76"/>
      <c r="R8" s="76">
        <f t="shared" si="0"/>
        <v>675761</v>
      </c>
      <c r="T8" s="77">
        <f>Population!CG253</f>
        <v>36792</v>
      </c>
      <c r="U8" s="82">
        <f>SUM(Population!H253:K253)</f>
        <v>55031</v>
      </c>
      <c r="V8" s="74">
        <f>Population!G253</f>
        <v>1128</v>
      </c>
      <c r="W8" s="76">
        <f t="shared" si="1"/>
        <v>92951</v>
      </c>
      <c r="Y8" s="233">
        <f t="shared" si="2"/>
        <v>768712</v>
      </c>
    </row>
    <row r="9" spans="1:25" s="229" customFormat="1" hidden="1">
      <c r="A9" s="58">
        <v>39692</v>
      </c>
      <c r="B9" s="58"/>
      <c r="C9" s="74"/>
      <c r="D9" s="74"/>
      <c r="E9" s="74"/>
      <c r="F9" s="74"/>
      <c r="G9" s="74">
        <f>Population!DK254+Population!DL254</f>
        <v>185597</v>
      </c>
      <c r="H9" s="80">
        <f>Population!DM254+Population!DN254</f>
        <v>45659</v>
      </c>
      <c r="I9" s="74">
        <f>Population!DP254</f>
        <v>63940</v>
      </c>
      <c r="J9" s="74">
        <f>Population!DR254</f>
        <v>16825</v>
      </c>
      <c r="K9" s="74">
        <f>Population!DO254+Population!DT254</f>
        <v>360532</v>
      </c>
      <c r="L9" s="74">
        <f>Population!DS254</f>
        <v>5400</v>
      </c>
      <c r="M9" s="74"/>
      <c r="N9" s="143">
        <f t="shared" si="3"/>
        <v>492356</v>
      </c>
      <c r="O9" s="76"/>
      <c r="P9" s="76"/>
      <c r="Q9" s="76"/>
      <c r="R9" s="76">
        <f t="shared" si="0"/>
        <v>677953</v>
      </c>
      <c r="T9" s="77">
        <f>Population!CG254</f>
        <v>36952</v>
      </c>
      <c r="U9" s="82">
        <f>SUM(Population!H254:K254)</f>
        <v>55050</v>
      </c>
      <c r="V9" s="74">
        <f>Population!G254</f>
        <v>1119</v>
      </c>
      <c r="W9" s="76">
        <f t="shared" si="1"/>
        <v>93121</v>
      </c>
      <c r="Y9" s="233">
        <f t="shared" si="2"/>
        <v>771074</v>
      </c>
    </row>
    <row r="10" spans="1:25" s="229" customFormat="1" hidden="1">
      <c r="A10" s="58">
        <v>39722</v>
      </c>
      <c r="B10" s="58"/>
      <c r="C10" s="74"/>
      <c r="D10" s="74"/>
      <c r="E10" s="74"/>
      <c r="F10" s="74"/>
      <c r="G10" s="74">
        <f>Population!DK255+Population!DL255</f>
        <v>185798</v>
      </c>
      <c r="H10" s="80">
        <f>Population!DM255+Population!DN255</f>
        <v>45904</v>
      </c>
      <c r="I10" s="74">
        <f>Population!DP255</f>
        <v>64903</v>
      </c>
      <c r="J10" s="74">
        <f>Population!DR255</f>
        <v>16757</v>
      </c>
      <c r="K10" s="74">
        <f>Population!DO255+Population!DT255</f>
        <v>363048</v>
      </c>
      <c r="L10" s="74">
        <f>Population!DS255</f>
        <v>5037</v>
      </c>
      <c r="M10" s="74"/>
      <c r="N10" s="143">
        <f t="shared" si="3"/>
        <v>495649</v>
      </c>
      <c r="O10" s="76"/>
      <c r="P10" s="76"/>
      <c r="Q10" s="76"/>
      <c r="R10" s="76">
        <f t="shared" si="0"/>
        <v>681447</v>
      </c>
      <c r="T10" s="77">
        <f>Population!CG255</f>
        <v>37361</v>
      </c>
      <c r="U10" s="82">
        <f>SUM(Population!H255:K255)</f>
        <v>56080</v>
      </c>
      <c r="V10" s="74">
        <f>Population!G255</f>
        <v>1152</v>
      </c>
      <c r="W10" s="76">
        <f t="shared" si="1"/>
        <v>94593</v>
      </c>
      <c r="Y10" s="233">
        <f t="shared" si="2"/>
        <v>776040</v>
      </c>
    </row>
    <row r="11" spans="1:25" s="229" customFormat="1" hidden="1">
      <c r="A11" s="58">
        <v>39753</v>
      </c>
      <c r="B11" s="58"/>
      <c r="C11" s="74"/>
      <c r="D11" s="74"/>
      <c r="E11" s="74"/>
      <c r="F11" s="74"/>
      <c r="G11" s="74">
        <f>Population!DK256+Population!DL256</f>
        <v>186396</v>
      </c>
      <c r="H11" s="80">
        <f>Population!DM256+Population!DN256</f>
        <v>46257</v>
      </c>
      <c r="I11" s="74">
        <f>Population!DP256</f>
        <v>66315</v>
      </c>
      <c r="J11" s="74">
        <f>Population!DR256</f>
        <v>16994</v>
      </c>
      <c r="K11" s="74">
        <f>Population!DO256+Population!DT256</f>
        <v>367855</v>
      </c>
      <c r="L11" s="74">
        <f>Population!DS256</f>
        <v>4800</v>
      </c>
      <c r="M11" s="74"/>
      <c r="N11" s="143">
        <f t="shared" si="3"/>
        <v>502221</v>
      </c>
      <c r="O11" s="76"/>
      <c r="P11" s="76"/>
      <c r="Q11" s="76"/>
      <c r="R11" s="76">
        <f t="shared" si="0"/>
        <v>688617</v>
      </c>
      <c r="T11" s="77">
        <f>Population!CG256</f>
        <v>38083</v>
      </c>
      <c r="U11" s="82">
        <f>SUM(Population!H256:K256)</f>
        <v>56911</v>
      </c>
      <c r="V11" s="74">
        <f>Population!G256</f>
        <v>1201</v>
      </c>
      <c r="W11" s="76">
        <f t="shared" si="1"/>
        <v>96195</v>
      </c>
      <c r="Y11" s="233">
        <f t="shared" si="2"/>
        <v>784812</v>
      </c>
    </row>
    <row r="12" spans="1:25" s="229" customFormat="1" hidden="1">
      <c r="A12" s="58">
        <v>39783</v>
      </c>
      <c r="B12" s="58"/>
      <c r="C12" s="74"/>
      <c r="D12" s="74"/>
      <c r="E12" s="74"/>
      <c r="F12" s="74"/>
      <c r="G12" s="74">
        <f>Population!DK257+Population!DL257</f>
        <v>186843</v>
      </c>
      <c r="H12" s="80">
        <f>Population!DM257+Population!DN257</f>
        <v>46640</v>
      </c>
      <c r="I12" s="74">
        <f>Population!DP257</f>
        <v>67001</v>
      </c>
      <c r="J12" s="74">
        <f>Population!DR257</f>
        <v>16528</v>
      </c>
      <c r="K12" s="74">
        <f>Population!DO257+Population!DT257</f>
        <v>370399</v>
      </c>
      <c r="L12" s="74">
        <f>Population!DS257</f>
        <v>4638</v>
      </c>
      <c r="M12" s="74"/>
      <c r="N12" s="143">
        <f t="shared" si="3"/>
        <v>505206</v>
      </c>
      <c r="O12" s="76"/>
      <c r="P12" s="76"/>
      <c r="Q12" s="76"/>
      <c r="R12" s="76">
        <f t="shared" si="0"/>
        <v>692049</v>
      </c>
      <c r="T12" s="77">
        <f>Population!CG257</f>
        <v>38511</v>
      </c>
      <c r="U12" s="82">
        <f>SUM(Population!H257:K257)</f>
        <v>56831</v>
      </c>
      <c r="V12" s="74">
        <f>Population!G257</f>
        <v>1169</v>
      </c>
      <c r="W12" s="76">
        <f t="shared" si="1"/>
        <v>96511</v>
      </c>
      <c r="Y12" s="233">
        <f t="shared" si="2"/>
        <v>788560</v>
      </c>
    </row>
    <row r="13" spans="1:25" s="229" customFormat="1" hidden="1">
      <c r="A13" s="58">
        <v>39814</v>
      </c>
      <c r="B13" s="58"/>
      <c r="C13" s="74"/>
      <c r="D13" s="74"/>
      <c r="E13" s="74"/>
      <c r="F13" s="74"/>
      <c r="G13" s="74">
        <f>Population!DK258+Population!DL258</f>
        <v>186753</v>
      </c>
      <c r="H13" s="80">
        <f>Population!DM258+Population!DN258</f>
        <v>39424</v>
      </c>
      <c r="I13" s="74">
        <f>Population!DP258</f>
        <v>67322</v>
      </c>
      <c r="J13" s="74">
        <f>Population!DR258</f>
        <v>16249</v>
      </c>
      <c r="K13" s="74">
        <f>Population!DO258+Population!DT258</f>
        <v>373911</v>
      </c>
      <c r="L13" s="74">
        <f>Population!DS258</f>
        <v>4291</v>
      </c>
      <c r="M13" s="74"/>
      <c r="N13" s="143">
        <f t="shared" si="3"/>
        <v>501197</v>
      </c>
      <c r="O13" s="76"/>
      <c r="P13" s="76"/>
      <c r="Q13" s="76"/>
      <c r="R13" s="76">
        <f t="shared" si="0"/>
        <v>687950</v>
      </c>
      <c r="T13" s="77">
        <f>Population!CG258</f>
        <v>38809</v>
      </c>
      <c r="U13" s="82">
        <f>SUM(Population!H258:K258)</f>
        <v>57205</v>
      </c>
      <c r="V13" s="74">
        <f>Population!G258</f>
        <v>1165</v>
      </c>
      <c r="W13" s="76">
        <f t="shared" si="1"/>
        <v>97179</v>
      </c>
      <c r="Y13" s="233">
        <f t="shared" si="2"/>
        <v>785129</v>
      </c>
    </row>
    <row r="14" spans="1:25" s="229" customFormat="1" hidden="1">
      <c r="A14" s="58">
        <v>39845</v>
      </c>
      <c r="B14" s="58"/>
      <c r="C14" s="74"/>
      <c r="D14" s="74"/>
      <c r="E14" s="74"/>
      <c r="F14" s="74"/>
      <c r="G14" s="74">
        <f>Population!DK259+Population!DL259</f>
        <v>187213</v>
      </c>
      <c r="H14" s="80">
        <f>Population!DM259+Population!DN259</f>
        <v>42298</v>
      </c>
      <c r="I14" s="74">
        <f>Population!DP259</f>
        <v>67786</v>
      </c>
      <c r="J14" s="74">
        <f>Population!DR259</f>
        <v>16187</v>
      </c>
      <c r="K14" s="74">
        <f>Population!DO259+Population!DT259</f>
        <v>378178</v>
      </c>
      <c r="L14" s="74">
        <f>Population!DS259</f>
        <v>4026</v>
      </c>
      <c r="M14" s="74"/>
      <c r="N14" s="143">
        <f t="shared" si="3"/>
        <v>508475</v>
      </c>
      <c r="O14" s="76"/>
      <c r="P14" s="76"/>
      <c r="Q14" s="76"/>
      <c r="R14" s="76">
        <f t="shared" si="0"/>
        <v>695688</v>
      </c>
      <c r="T14" s="77">
        <f>Population!CG259</f>
        <v>39039</v>
      </c>
      <c r="U14" s="82">
        <f>SUM(Population!H259:K259)</f>
        <v>57005</v>
      </c>
      <c r="V14" s="74">
        <f>Population!G259</f>
        <v>1161</v>
      </c>
      <c r="W14" s="76">
        <f t="shared" si="1"/>
        <v>97205</v>
      </c>
      <c r="Y14" s="233">
        <f t="shared" si="2"/>
        <v>792893</v>
      </c>
    </row>
    <row r="15" spans="1:25" s="229" customFormat="1" hidden="1">
      <c r="A15" s="58">
        <v>39873</v>
      </c>
      <c r="B15" s="58"/>
      <c r="C15" s="74"/>
      <c r="D15" s="74"/>
      <c r="E15" s="74"/>
      <c r="F15" s="74"/>
      <c r="G15" s="74">
        <f>Population!DK260+Population!DL260</f>
        <v>187358</v>
      </c>
      <c r="H15" s="80">
        <f>Population!DM260+Population!DN260</f>
        <v>44541</v>
      </c>
      <c r="I15" s="74">
        <f>Population!DP260</f>
        <v>68269</v>
      </c>
      <c r="J15" s="74">
        <f>Population!DR260</f>
        <v>16016</v>
      </c>
      <c r="K15" s="74">
        <f>Population!DO260+Population!DT260</f>
        <v>382685</v>
      </c>
      <c r="L15" s="74">
        <f>Population!DS260</f>
        <v>3821</v>
      </c>
      <c r="M15" s="74"/>
      <c r="N15" s="143">
        <f t="shared" si="3"/>
        <v>515332</v>
      </c>
      <c r="O15" s="76"/>
      <c r="P15" s="76"/>
      <c r="Q15" s="76"/>
      <c r="R15" s="76">
        <f t="shared" si="0"/>
        <v>702690</v>
      </c>
      <c r="T15" s="77">
        <f>Population!CG260</f>
        <v>38731</v>
      </c>
      <c r="U15" s="82">
        <f>SUM(Population!H260:K260)</f>
        <v>56918</v>
      </c>
      <c r="V15" s="74">
        <f>Population!G260</f>
        <v>1127</v>
      </c>
      <c r="W15" s="76">
        <f t="shared" si="1"/>
        <v>96776</v>
      </c>
      <c r="Y15" s="233">
        <f t="shared" si="2"/>
        <v>799466</v>
      </c>
    </row>
    <row r="16" spans="1:25" s="229" customFormat="1" hidden="1">
      <c r="A16" s="58">
        <v>39904</v>
      </c>
      <c r="B16" s="58"/>
      <c r="C16" s="74"/>
      <c r="D16" s="74"/>
      <c r="E16" s="74"/>
      <c r="F16" s="74"/>
      <c r="G16" s="74">
        <f>Population!DK261+Population!DL261</f>
        <v>187577</v>
      </c>
      <c r="H16" s="80">
        <f>Population!DM261+Population!DN261</f>
        <v>45616</v>
      </c>
      <c r="I16" s="74">
        <f>Population!DP261</f>
        <v>69264</v>
      </c>
      <c r="J16" s="74">
        <f>Population!DR261</f>
        <v>16332</v>
      </c>
      <c r="K16" s="74">
        <f>Population!DO261+Population!DT261</f>
        <v>389448</v>
      </c>
      <c r="L16" s="74">
        <f>Population!DS261</f>
        <v>3774</v>
      </c>
      <c r="M16" s="74"/>
      <c r="N16" s="143">
        <f t="shared" si="3"/>
        <v>524434</v>
      </c>
      <c r="O16" s="76"/>
      <c r="P16" s="76"/>
      <c r="Q16" s="76"/>
      <c r="R16" s="76">
        <f t="shared" si="0"/>
        <v>712011</v>
      </c>
      <c r="T16" s="77">
        <f>Population!CG261</f>
        <v>38781</v>
      </c>
      <c r="U16" s="82">
        <f>SUM(Population!H261:K261)</f>
        <v>57569</v>
      </c>
      <c r="V16" s="74">
        <f>Population!G261</f>
        <v>1118</v>
      </c>
      <c r="W16" s="76">
        <f t="shared" si="1"/>
        <v>97468</v>
      </c>
      <c r="Y16" s="233">
        <f t="shared" si="2"/>
        <v>809479</v>
      </c>
    </row>
    <row r="17" spans="1:25" s="229" customFormat="1" hidden="1">
      <c r="A17" s="58">
        <v>39934</v>
      </c>
      <c r="B17" s="58"/>
      <c r="C17" s="74"/>
      <c r="D17" s="74"/>
      <c r="E17" s="74"/>
      <c r="F17" s="74"/>
      <c r="G17" s="74">
        <f>Population!DK262+Population!DL262</f>
        <v>188381</v>
      </c>
      <c r="H17" s="80">
        <f>Population!DM262+Population!DN262</f>
        <v>46258</v>
      </c>
      <c r="I17" s="74">
        <f>Population!DP262</f>
        <v>70686</v>
      </c>
      <c r="J17" s="74">
        <f>Population!DR262</f>
        <v>14034</v>
      </c>
      <c r="K17" s="74">
        <f>Population!DO262+Population!DT262</f>
        <v>395737</v>
      </c>
      <c r="L17" s="74">
        <f>Population!DS262</f>
        <v>3758</v>
      </c>
      <c r="M17" s="74"/>
      <c r="N17" s="143">
        <f t="shared" si="3"/>
        <v>530473</v>
      </c>
      <c r="O17" s="76"/>
      <c r="P17" s="76"/>
      <c r="Q17" s="76"/>
      <c r="R17" s="76">
        <f t="shared" si="0"/>
        <v>718854</v>
      </c>
      <c r="T17" s="77">
        <f>Population!CG262</f>
        <v>38787</v>
      </c>
      <c r="U17" s="82">
        <f>SUM(Population!H262:K262)</f>
        <v>57154</v>
      </c>
      <c r="V17" s="74">
        <f>Population!G262</f>
        <v>1124</v>
      </c>
      <c r="W17" s="76">
        <f t="shared" si="1"/>
        <v>97065</v>
      </c>
      <c r="Y17" s="233">
        <f t="shared" si="2"/>
        <v>815919</v>
      </c>
    </row>
    <row r="18" spans="1:25" s="229" customFormat="1" hidden="1">
      <c r="A18" s="58">
        <v>39965</v>
      </c>
      <c r="B18" s="58"/>
      <c r="C18" s="74"/>
      <c r="D18" s="74"/>
      <c r="E18" s="74"/>
      <c r="F18" s="74"/>
      <c r="G18" s="74">
        <f>Population!DK263+Population!DL263</f>
        <v>188739</v>
      </c>
      <c r="H18" s="80">
        <f>Population!DM263+Population!DN263</f>
        <v>46724</v>
      </c>
      <c r="I18" s="74">
        <f>Population!DP263</f>
        <v>71027</v>
      </c>
      <c r="J18" s="74">
        <f>Population!DR263</f>
        <v>14154</v>
      </c>
      <c r="K18" s="74">
        <f>Population!DO263+Population!DT263</f>
        <v>399947</v>
      </c>
      <c r="L18" s="74">
        <f>Population!DS263</f>
        <v>3798</v>
      </c>
      <c r="M18" s="74"/>
      <c r="N18" s="143">
        <f t="shared" si="3"/>
        <v>535650</v>
      </c>
      <c r="O18" s="76"/>
      <c r="P18" s="76"/>
      <c r="Q18" s="76"/>
      <c r="R18" s="76">
        <f t="shared" si="0"/>
        <v>724389</v>
      </c>
      <c r="T18" s="77">
        <f>Population!CG263</f>
        <v>39119</v>
      </c>
      <c r="U18" s="82">
        <f>SUM(Population!H263:K263)</f>
        <v>57089</v>
      </c>
      <c r="V18" s="74">
        <f>Population!G263</f>
        <v>1094</v>
      </c>
      <c r="W18" s="76">
        <f t="shared" si="1"/>
        <v>97302</v>
      </c>
      <c r="Y18" s="233">
        <f t="shared" si="2"/>
        <v>821691</v>
      </c>
    </row>
    <row r="19" spans="1:25" s="229" customFormat="1" ht="9" hidden="1" customHeight="1">
      <c r="A19" s="58"/>
      <c r="B19" s="58"/>
      <c r="C19" s="74"/>
      <c r="D19" s="74"/>
      <c r="E19" s="74"/>
      <c r="F19" s="74"/>
      <c r="G19" s="74"/>
      <c r="H19" s="79"/>
      <c r="I19" s="74"/>
      <c r="J19" s="74"/>
      <c r="K19" s="74"/>
      <c r="L19" s="74"/>
      <c r="M19" s="74"/>
      <c r="N19" s="143"/>
      <c r="O19" s="76"/>
      <c r="P19" s="76"/>
      <c r="Q19" s="76"/>
      <c r="R19" s="76"/>
      <c r="T19" s="77"/>
      <c r="U19" s="77"/>
      <c r="V19" s="74"/>
      <c r="W19" s="76"/>
      <c r="Y19" s="233"/>
    </row>
    <row r="20" spans="1:25" s="229" customFormat="1" hidden="1">
      <c r="A20" s="58">
        <v>39995</v>
      </c>
      <c r="B20" s="58"/>
      <c r="C20" s="74"/>
      <c r="D20" s="74"/>
      <c r="E20" s="74"/>
      <c r="F20" s="74"/>
      <c r="G20" s="74">
        <f>Population!DK264+Population!DL264</f>
        <v>188940</v>
      </c>
      <c r="H20" s="81">
        <f>Population!DM264+Population!DN264</f>
        <v>47274</v>
      </c>
      <c r="I20" s="74">
        <f>Population!DP264</f>
        <v>71971</v>
      </c>
      <c r="J20" s="74">
        <f>Population!DR264</f>
        <v>14471</v>
      </c>
      <c r="K20" s="74">
        <f>Population!DO264+Population!DT264</f>
        <v>404891</v>
      </c>
      <c r="L20" s="74">
        <f>Population!DS264</f>
        <v>3949</v>
      </c>
      <c r="M20" s="74"/>
      <c r="N20" s="143">
        <f t="shared" si="3"/>
        <v>542556</v>
      </c>
      <c r="O20" s="76"/>
      <c r="P20" s="76"/>
      <c r="Q20" s="76"/>
      <c r="R20" s="76">
        <f t="shared" si="0"/>
        <v>731496</v>
      </c>
      <c r="T20" s="77">
        <f>Population!CG264</f>
        <v>39566</v>
      </c>
      <c r="U20" s="82">
        <f>SUM(Population!H264:K264)</f>
        <v>56953</v>
      </c>
      <c r="V20" s="74">
        <f>Population!G264</f>
        <v>1130</v>
      </c>
      <c r="W20" s="76">
        <f t="shared" ref="W20:W31" si="4">SUM(T20:V20)</f>
        <v>97649</v>
      </c>
      <c r="Y20" s="233">
        <f t="shared" si="2"/>
        <v>829145</v>
      </c>
    </row>
    <row r="21" spans="1:25" s="229" customFormat="1" hidden="1">
      <c r="A21" s="58">
        <v>40026</v>
      </c>
      <c r="B21" s="58"/>
      <c r="C21" s="74"/>
      <c r="D21" s="74"/>
      <c r="E21" s="74"/>
      <c r="F21" s="74"/>
      <c r="G21" s="74">
        <f>Population!DK265+Population!DL265</f>
        <v>189027</v>
      </c>
      <c r="H21" s="81">
        <f>Population!DM265+Population!DN265</f>
        <v>47732</v>
      </c>
      <c r="I21" s="74">
        <f>Population!DP265</f>
        <v>73301</v>
      </c>
      <c r="J21" s="74">
        <f>Population!DR265</f>
        <v>14764</v>
      </c>
      <c r="K21" s="74">
        <f>Population!DO265+Population!DT265</f>
        <v>409632</v>
      </c>
      <c r="L21" s="74">
        <f>Population!DS265</f>
        <v>4055</v>
      </c>
      <c r="M21" s="74"/>
      <c r="N21" s="143">
        <f t="shared" si="3"/>
        <v>549484</v>
      </c>
      <c r="O21" s="76"/>
      <c r="P21" s="76"/>
      <c r="Q21" s="76"/>
      <c r="R21" s="76">
        <f t="shared" si="0"/>
        <v>738511</v>
      </c>
      <c r="T21" s="77">
        <f>Population!CG265</f>
        <v>40269</v>
      </c>
      <c r="U21" s="82">
        <f>SUM(Population!H265:K265)</f>
        <v>56533</v>
      </c>
      <c r="V21" s="74">
        <f>Population!G265</f>
        <v>1149</v>
      </c>
      <c r="W21" s="76">
        <f t="shared" si="4"/>
        <v>97951</v>
      </c>
      <c r="Y21" s="233">
        <f t="shared" si="2"/>
        <v>836462</v>
      </c>
    </row>
    <row r="22" spans="1:25" s="229" customFormat="1" hidden="1">
      <c r="A22" s="58">
        <v>40057</v>
      </c>
      <c r="B22" s="58"/>
      <c r="C22" s="74"/>
      <c r="D22" s="74"/>
      <c r="E22" s="74"/>
      <c r="F22" s="74"/>
      <c r="G22" s="74">
        <f>Population!DK266+Population!DL266</f>
        <v>189495</v>
      </c>
      <c r="H22" s="81">
        <f>Population!DM266+Population!DN266</f>
        <v>47701</v>
      </c>
      <c r="I22" s="74">
        <f>Population!DP266</f>
        <v>74328</v>
      </c>
      <c r="J22" s="74">
        <f>Population!DR266</f>
        <v>14779</v>
      </c>
      <c r="K22" s="74">
        <f>Population!DO266+Population!DT266</f>
        <v>411809</v>
      </c>
      <c r="L22" s="74">
        <f>Population!DS266</f>
        <v>4145</v>
      </c>
      <c r="M22" s="74"/>
      <c r="N22" s="143">
        <f t="shared" si="3"/>
        <v>552762</v>
      </c>
      <c r="O22" s="76"/>
      <c r="P22" s="76"/>
      <c r="Q22" s="76"/>
      <c r="R22" s="76">
        <f t="shared" si="0"/>
        <v>742257</v>
      </c>
      <c r="T22" s="77">
        <f>Population!CG266</f>
        <v>40829</v>
      </c>
      <c r="U22" s="82">
        <f>SUM(Population!H266:K266)</f>
        <v>56291</v>
      </c>
      <c r="V22" s="74">
        <f>Population!G266</f>
        <v>1157</v>
      </c>
      <c r="W22" s="76">
        <f t="shared" si="4"/>
        <v>98277</v>
      </c>
      <c r="Y22" s="233">
        <f t="shared" si="2"/>
        <v>840534</v>
      </c>
    </row>
    <row r="23" spans="1:25" s="229" customFormat="1" hidden="1">
      <c r="A23" s="58">
        <v>40087</v>
      </c>
      <c r="B23" s="58"/>
      <c r="C23" s="74"/>
      <c r="D23" s="74"/>
      <c r="E23" s="74"/>
      <c r="F23" s="74"/>
      <c r="G23" s="74">
        <f>Population!DK267+Population!DL267</f>
        <v>190413</v>
      </c>
      <c r="H23" s="81">
        <f>Population!DM267+Population!DN267</f>
        <v>48861</v>
      </c>
      <c r="I23" s="74">
        <f>Population!DP267</f>
        <v>75754</v>
      </c>
      <c r="J23" s="74">
        <f>Population!DR267</f>
        <v>14680</v>
      </c>
      <c r="K23" s="74">
        <f>Population!DO267+Population!DT267</f>
        <v>417213</v>
      </c>
      <c r="L23" s="74">
        <f>Population!DS267</f>
        <v>4268</v>
      </c>
      <c r="M23" s="74"/>
      <c r="N23" s="143">
        <f t="shared" si="3"/>
        <v>560776</v>
      </c>
      <c r="O23" s="76"/>
      <c r="P23" s="76"/>
      <c r="Q23" s="76"/>
      <c r="R23" s="76">
        <f t="shared" si="0"/>
        <v>751189</v>
      </c>
      <c r="T23" s="77">
        <f>Population!CG267</f>
        <v>41951</v>
      </c>
      <c r="U23" s="82">
        <f>SUM(Population!H267:K267)</f>
        <v>56271</v>
      </c>
      <c r="V23" s="74">
        <f>Population!G267</f>
        <v>1195</v>
      </c>
      <c r="W23" s="76">
        <f t="shared" si="4"/>
        <v>99417</v>
      </c>
      <c r="Y23" s="233">
        <f t="shared" si="2"/>
        <v>850606</v>
      </c>
    </row>
    <row r="24" spans="1:25" s="229" customFormat="1" hidden="1">
      <c r="A24" s="58">
        <v>40118</v>
      </c>
      <c r="B24" s="58"/>
      <c r="C24" s="74"/>
      <c r="D24" s="74"/>
      <c r="E24" s="74"/>
      <c r="F24" s="74"/>
      <c r="G24" s="74">
        <f>Population!DK268+Population!DL268</f>
        <v>191214</v>
      </c>
      <c r="H24" s="81">
        <f>Population!DM268+Population!DN268</f>
        <v>49284</v>
      </c>
      <c r="I24" s="74">
        <f>Population!DP268</f>
        <v>77109</v>
      </c>
      <c r="J24" s="74">
        <f>Population!DR268</f>
        <v>14804</v>
      </c>
      <c r="K24" s="74">
        <f>Population!DO268+Population!DT268</f>
        <v>423789</v>
      </c>
      <c r="L24" s="74">
        <f>Population!DS268</f>
        <v>4371</v>
      </c>
      <c r="M24" s="74"/>
      <c r="N24" s="143">
        <f t="shared" si="3"/>
        <v>569357</v>
      </c>
      <c r="O24" s="76"/>
      <c r="P24" s="76"/>
      <c r="Q24" s="76"/>
      <c r="R24" s="76">
        <f t="shared" si="0"/>
        <v>760571</v>
      </c>
      <c r="T24" s="77">
        <f>Population!CG268</f>
        <v>43135</v>
      </c>
      <c r="U24" s="82">
        <f>SUM(Population!H268:K268)</f>
        <v>56570</v>
      </c>
      <c r="V24" s="74">
        <f>Population!G268</f>
        <v>1193</v>
      </c>
      <c r="W24" s="76">
        <f t="shared" si="4"/>
        <v>100898</v>
      </c>
      <c r="Y24" s="233">
        <f t="shared" si="2"/>
        <v>861469</v>
      </c>
    </row>
    <row r="25" spans="1:25" s="229" customFormat="1" hidden="1">
      <c r="A25" s="58">
        <v>40148</v>
      </c>
      <c r="B25" s="58"/>
      <c r="C25" s="74"/>
      <c r="D25" s="74"/>
      <c r="E25" s="74"/>
      <c r="F25" s="74"/>
      <c r="G25" s="74">
        <f>Population!DK269+Population!DL269</f>
        <v>191411</v>
      </c>
      <c r="H25" s="81">
        <f>Population!DM269+Population!DN269</f>
        <v>49597</v>
      </c>
      <c r="I25" s="74">
        <f>Population!DP269</f>
        <v>77288</v>
      </c>
      <c r="J25" s="74">
        <f>Population!DR269</f>
        <v>14351</v>
      </c>
      <c r="K25" s="74">
        <f>Population!DO269+Population!DT269</f>
        <v>426918</v>
      </c>
      <c r="L25" s="74">
        <f>Population!DS269</f>
        <v>4480</v>
      </c>
      <c r="M25" s="74"/>
      <c r="N25" s="143">
        <f t="shared" si="3"/>
        <v>572634</v>
      </c>
      <c r="O25" s="76"/>
      <c r="P25" s="76"/>
      <c r="Q25" s="76"/>
      <c r="R25" s="76">
        <f t="shared" si="0"/>
        <v>764045</v>
      </c>
      <c r="T25" s="77">
        <f>Population!CG269</f>
        <v>44098</v>
      </c>
      <c r="U25" s="82">
        <f>SUM(Population!H269:K269)</f>
        <v>56402</v>
      </c>
      <c r="V25" s="74">
        <f>Population!G269</f>
        <v>1165</v>
      </c>
      <c r="W25" s="76">
        <f t="shared" si="4"/>
        <v>101665</v>
      </c>
      <c r="Y25" s="233">
        <f t="shared" si="2"/>
        <v>865710</v>
      </c>
    </row>
    <row r="26" spans="1:25" s="229" customFormat="1" hidden="1">
      <c r="A26" s="58">
        <v>40179</v>
      </c>
      <c r="B26" s="58"/>
      <c r="C26" s="74"/>
      <c r="D26" s="74"/>
      <c r="E26" s="74"/>
      <c r="F26" s="74"/>
      <c r="G26" s="74">
        <f>Population!DK270+Population!DL270</f>
        <v>191864</v>
      </c>
      <c r="H26" s="81">
        <f>Population!DM270+Population!DN270</f>
        <v>41796</v>
      </c>
      <c r="I26" s="74">
        <f>Population!DP270</f>
        <v>78185</v>
      </c>
      <c r="J26" s="74">
        <f>Population!DR270</f>
        <v>14298</v>
      </c>
      <c r="K26" s="74">
        <f>Population!DO270+Population!DT270</f>
        <v>430361</v>
      </c>
      <c r="L26" s="74">
        <f>Population!DS270</f>
        <v>4602</v>
      </c>
      <c r="M26" s="74"/>
      <c r="N26" s="143">
        <f t="shared" si="3"/>
        <v>569242</v>
      </c>
      <c r="O26" s="76"/>
      <c r="P26" s="76"/>
      <c r="Q26" s="76"/>
      <c r="R26" s="76">
        <f t="shared" si="0"/>
        <v>761106</v>
      </c>
      <c r="T26" s="77">
        <f>Population!CG270</f>
        <v>44723</v>
      </c>
      <c r="U26" s="82">
        <f>SUM(Population!H270:K270)</f>
        <v>56131</v>
      </c>
      <c r="V26" s="74">
        <f>Population!G270</f>
        <v>1165</v>
      </c>
      <c r="W26" s="76">
        <f t="shared" si="4"/>
        <v>102019</v>
      </c>
      <c r="Y26" s="233">
        <f t="shared" si="2"/>
        <v>863125</v>
      </c>
    </row>
    <row r="27" spans="1:25" s="229" customFormat="1" hidden="1">
      <c r="A27" s="58">
        <v>40210</v>
      </c>
      <c r="B27" s="58"/>
      <c r="C27" s="74"/>
      <c r="D27" s="74"/>
      <c r="E27" s="74"/>
      <c r="F27" s="74"/>
      <c r="G27" s="74">
        <f>Population!DK271+Population!DL271</f>
        <v>192248</v>
      </c>
      <c r="H27" s="81">
        <f>Population!DM271+Population!DN271</f>
        <v>47857</v>
      </c>
      <c r="I27" s="74">
        <f>Population!DP271</f>
        <v>79634</v>
      </c>
      <c r="J27" s="74">
        <f>Population!DR271</f>
        <v>15385</v>
      </c>
      <c r="K27" s="74">
        <f>Population!DO271+Population!DT271</f>
        <v>435204</v>
      </c>
      <c r="L27" s="74">
        <f>Population!DS271</f>
        <v>4718</v>
      </c>
      <c r="M27" s="74"/>
      <c r="N27" s="143">
        <f t="shared" si="3"/>
        <v>582798</v>
      </c>
      <c r="O27" s="76"/>
      <c r="P27" s="76"/>
      <c r="Q27" s="76"/>
      <c r="R27" s="76">
        <f t="shared" si="0"/>
        <v>775046</v>
      </c>
      <c r="T27" s="77">
        <f>Population!CG271</f>
        <v>44913</v>
      </c>
      <c r="U27" s="82">
        <f>SUM(Population!H271:K271)</f>
        <v>54944</v>
      </c>
      <c r="V27" s="74">
        <f>Population!G271</f>
        <v>1189</v>
      </c>
      <c r="W27" s="76">
        <f t="shared" si="4"/>
        <v>101046</v>
      </c>
      <c r="Y27" s="233">
        <f t="shared" si="2"/>
        <v>876092</v>
      </c>
    </row>
    <row r="28" spans="1:25" s="229" customFormat="1" hidden="1">
      <c r="A28" s="58">
        <v>40238</v>
      </c>
      <c r="B28" s="58"/>
      <c r="C28" s="74"/>
      <c r="D28" s="74"/>
      <c r="E28" s="74"/>
      <c r="F28" s="74"/>
      <c r="G28" s="74">
        <f>Population!DK272+Population!DL272</f>
        <v>192123</v>
      </c>
      <c r="H28" s="81">
        <f>Population!DM272+Population!DN272</f>
        <v>48688</v>
      </c>
      <c r="I28" s="74">
        <f>Population!DP272</f>
        <v>79494</v>
      </c>
      <c r="J28" s="74">
        <f>Population!DR272</f>
        <v>15892</v>
      </c>
      <c r="K28" s="74">
        <f>Population!DO272+Population!DT272</f>
        <v>435866</v>
      </c>
      <c r="L28" s="74">
        <f>Population!DS272</f>
        <v>4741</v>
      </c>
      <c r="M28" s="74"/>
      <c r="N28" s="143">
        <f t="shared" si="3"/>
        <v>584681</v>
      </c>
      <c r="O28" s="76"/>
      <c r="P28" s="76"/>
      <c r="Q28" s="76"/>
      <c r="R28" s="76">
        <f t="shared" si="0"/>
        <v>776804</v>
      </c>
      <c r="T28" s="77">
        <f>Population!CG272</f>
        <v>44823</v>
      </c>
      <c r="U28" s="82">
        <f>SUM(Population!H272:K272)</f>
        <v>54301</v>
      </c>
      <c r="V28" s="74">
        <f>Population!G272</f>
        <v>1149</v>
      </c>
      <c r="W28" s="76">
        <f t="shared" si="4"/>
        <v>100273</v>
      </c>
      <c r="Y28" s="233">
        <f t="shared" si="2"/>
        <v>877077</v>
      </c>
    </row>
    <row r="29" spans="1:25" s="229" customFormat="1" hidden="1">
      <c r="A29" s="58">
        <v>40269</v>
      </c>
      <c r="B29" s="58"/>
      <c r="C29" s="74"/>
      <c r="D29" s="74"/>
      <c r="E29" s="74"/>
      <c r="F29" s="74"/>
      <c r="G29" s="74">
        <f>Population!DK273+Population!DL273</f>
        <v>192682</v>
      </c>
      <c r="H29" s="81">
        <f>Population!DM273+Population!DN273</f>
        <v>49513</v>
      </c>
      <c r="I29" s="74">
        <f>Population!DP273</f>
        <v>80833</v>
      </c>
      <c r="J29" s="74">
        <f>Population!DR273</f>
        <v>15880</v>
      </c>
      <c r="K29" s="74">
        <f>Population!DO273+Population!DT273</f>
        <v>440219</v>
      </c>
      <c r="L29" s="74">
        <f>Population!DS273</f>
        <v>4947</v>
      </c>
      <c r="M29" s="74"/>
      <c r="N29" s="143">
        <f t="shared" si="3"/>
        <v>591392</v>
      </c>
      <c r="O29" s="76"/>
      <c r="P29" s="76"/>
      <c r="Q29" s="76"/>
      <c r="R29" s="76">
        <f t="shared" si="0"/>
        <v>784074</v>
      </c>
      <c r="T29" s="77">
        <f>Population!CG273</f>
        <v>44854</v>
      </c>
      <c r="U29" s="82">
        <f>SUM(Population!H273:K273)</f>
        <v>53798</v>
      </c>
      <c r="V29" s="74">
        <f>Population!G273</f>
        <v>1170</v>
      </c>
      <c r="W29" s="76">
        <f t="shared" si="4"/>
        <v>99822</v>
      </c>
      <c r="Y29" s="233">
        <f t="shared" si="2"/>
        <v>883896</v>
      </c>
    </row>
    <row r="30" spans="1:25" s="229" customFormat="1" hidden="1">
      <c r="A30" s="58">
        <v>40299</v>
      </c>
      <c r="B30" s="58"/>
      <c r="C30" s="74"/>
      <c r="D30" s="74"/>
      <c r="E30" s="74"/>
      <c r="F30" s="74"/>
      <c r="G30" s="74">
        <f>Population!DK274+Population!DL274</f>
        <v>193535</v>
      </c>
      <c r="H30" s="81">
        <f>Population!DM274+Population!DN274</f>
        <v>50251</v>
      </c>
      <c r="I30" s="74">
        <f>Population!DP274</f>
        <v>81004</v>
      </c>
      <c r="J30" s="74">
        <f>Population!DR274</f>
        <v>15819</v>
      </c>
      <c r="K30" s="74">
        <f>Population!DO274+Population!DT274</f>
        <v>443132</v>
      </c>
      <c r="L30" s="74">
        <f>Population!DS274</f>
        <v>5106</v>
      </c>
      <c r="M30" s="74"/>
      <c r="N30" s="143">
        <f t="shared" si="3"/>
        <v>595312</v>
      </c>
      <c r="O30" s="76"/>
      <c r="P30" s="76"/>
      <c r="Q30" s="76"/>
      <c r="R30" s="76">
        <f t="shared" si="0"/>
        <v>788847</v>
      </c>
      <c r="T30" s="77">
        <f>Population!CG274</f>
        <v>44943</v>
      </c>
      <c r="U30" s="82">
        <f>SUM(Population!H274:K274)</f>
        <v>53751</v>
      </c>
      <c r="V30" s="74">
        <f>Population!G274</f>
        <v>1204</v>
      </c>
      <c r="W30" s="76">
        <f t="shared" si="4"/>
        <v>99898</v>
      </c>
      <c r="Y30" s="233">
        <f t="shared" si="2"/>
        <v>888745</v>
      </c>
    </row>
    <row r="31" spans="1:25" s="229" customFormat="1" hidden="1">
      <c r="A31" s="58">
        <v>40330</v>
      </c>
      <c r="B31" s="58"/>
      <c r="C31" s="74"/>
      <c r="D31" s="74"/>
      <c r="E31" s="74"/>
      <c r="F31" s="74"/>
      <c r="G31" s="74">
        <f>Population!DK275+Population!DL275</f>
        <v>194144</v>
      </c>
      <c r="H31" s="81">
        <f>Population!DM275+Population!DN275</f>
        <v>50710</v>
      </c>
      <c r="I31" s="74">
        <f>Population!DP275</f>
        <v>81283</v>
      </c>
      <c r="J31" s="74">
        <f>Population!DR275</f>
        <v>15550</v>
      </c>
      <c r="K31" s="74">
        <f>Population!DO275+Population!DT275</f>
        <v>444030</v>
      </c>
      <c r="L31" s="74">
        <f>Population!DS275</f>
        <v>5276</v>
      </c>
      <c r="M31" s="74"/>
      <c r="N31" s="143">
        <f t="shared" si="3"/>
        <v>596849</v>
      </c>
      <c r="O31" s="76"/>
      <c r="P31" s="76"/>
      <c r="Q31" s="76"/>
      <c r="R31" s="76">
        <f t="shared" si="0"/>
        <v>790993</v>
      </c>
      <c r="T31" s="77">
        <f>Population!CG275</f>
        <v>45107</v>
      </c>
      <c r="U31" s="82">
        <f>SUM(Population!H275:K275)</f>
        <v>53870</v>
      </c>
      <c r="V31" s="74">
        <f>Population!G275</f>
        <v>1231</v>
      </c>
      <c r="W31" s="76">
        <f t="shared" si="4"/>
        <v>100208</v>
      </c>
      <c r="Y31" s="233">
        <f t="shared" si="2"/>
        <v>891201</v>
      </c>
    </row>
    <row r="32" spans="1:25" s="229" customFormat="1" ht="9" hidden="1" customHeight="1">
      <c r="A32" s="58"/>
      <c r="B32" s="58"/>
      <c r="C32" s="74"/>
      <c r="D32" s="74"/>
      <c r="E32" s="74"/>
      <c r="F32" s="74"/>
      <c r="G32" s="74"/>
      <c r="H32" s="79"/>
      <c r="I32" s="74"/>
      <c r="J32" s="74"/>
      <c r="K32" s="74"/>
      <c r="L32" s="74"/>
      <c r="M32" s="74"/>
      <c r="N32" s="143"/>
      <c r="O32" s="76"/>
      <c r="P32" s="76"/>
      <c r="Q32" s="76"/>
      <c r="R32" s="76"/>
      <c r="T32" s="77"/>
      <c r="U32" s="77"/>
      <c r="V32" s="74"/>
      <c r="W32" s="76"/>
      <c r="Y32" s="233"/>
    </row>
    <row r="33" spans="1:29" s="229" customFormat="1" hidden="1">
      <c r="A33" s="58">
        <v>40360</v>
      </c>
      <c r="B33" s="58"/>
      <c r="C33" s="74"/>
      <c r="D33" s="74"/>
      <c r="E33" s="74"/>
      <c r="F33" s="74"/>
      <c r="G33" s="143">
        <f>Population!DK276+Population!DL276</f>
        <v>194075</v>
      </c>
      <c r="H33" s="80">
        <f>Population!DM276+Population!DN276</f>
        <v>51173</v>
      </c>
      <c r="I33" s="74">
        <f>Population!DP276</f>
        <v>80537</v>
      </c>
      <c r="J33" s="74">
        <f>Population!DR276</f>
        <v>15228</v>
      </c>
      <c r="K33" s="74">
        <f>Population!DO276+Population!DT276</f>
        <v>442226</v>
      </c>
      <c r="L33" s="74">
        <f>Population!DS276</f>
        <v>5370</v>
      </c>
      <c r="M33" s="74"/>
      <c r="N33" s="143">
        <f t="shared" si="3"/>
        <v>594534</v>
      </c>
      <c r="O33" s="76"/>
      <c r="P33" s="76"/>
      <c r="Q33" s="76"/>
      <c r="R33" s="76">
        <f t="shared" si="0"/>
        <v>788609</v>
      </c>
      <c r="T33" s="77">
        <f>Population!CG276</f>
        <v>45021</v>
      </c>
      <c r="U33" s="82">
        <f>SUM(Population!H276:K276)</f>
        <v>53910</v>
      </c>
      <c r="V33" s="74">
        <f>Population!G276</f>
        <v>1196</v>
      </c>
      <c r="W33" s="76">
        <f t="shared" ref="W33:W44" si="5">SUM(T33:V33)</f>
        <v>100127</v>
      </c>
      <c r="Y33" s="233">
        <f t="shared" si="2"/>
        <v>888736</v>
      </c>
    </row>
    <row r="34" spans="1:29" s="229" customFormat="1" hidden="1">
      <c r="A34" s="58">
        <v>40391</v>
      </c>
      <c r="B34" s="58"/>
      <c r="C34" s="74"/>
      <c r="D34" s="74"/>
      <c r="E34" s="74"/>
      <c r="F34" s="74"/>
      <c r="G34" s="143">
        <f>Population!DK277+Population!DL277</f>
        <v>195067</v>
      </c>
      <c r="H34" s="80">
        <f>Population!DM277+Population!DN277</f>
        <v>51794</v>
      </c>
      <c r="I34" s="74">
        <f>Population!DP277</f>
        <v>82542</v>
      </c>
      <c r="J34" s="74">
        <f>Population!DR277</f>
        <v>15300</v>
      </c>
      <c r="K34" s="74">
        <f>Population!DO277+Population!DT277</f>
        <v>445897</v>
      </c>
      <c r="L34" s="74">
        <f>Population!DS277</f>
        <v>5522</v>
      </c>
      <c r="M34" s="74"/>
      <c r="N34" s="143">
        <f t="shared" si="3"/>
        <v>601055</v>
      </c>
      <c r="O34" s="76"/>
      <c r="P34" s="76"/>
      <c r="Q34" s="76"/>
      <c r="R34" s="76">
        <f t="shared" si="0"/>
        <v>796122</v>
      </c>
      <c r="T34" s="77">
        <f>Population!CG277</f>
        <v>45310</v>
      </c>
      <c r="U34" s="82">
        <f>SUM(Population!H277:K277)</f>
        <v>54114</v>
      </c>
      <c r="V34" s="74">
        <f>Population!G277</f>
        <v>1196</v>
      </c>
      <c r="W34" s="76">
        <f t="shared" si="5"/>
        <v>100620</v>
      </c>
      <c r="Y34" s="233">
        <f t="shared" si="2"/>
        <v>896742</v>
      </c>
    </row>
    <row r="35" spans="1:29" s="229" customFormat="1" hidden="1">
      <c r="A35" s="58">
        <v>40422</v>
      </c>
      <c r="B35" s="58"/>
      <c r="C35" s="74"/>
      <c r="D35" s="74"/>
      <c r="E35" s="74"/>
      <c r="F35" s="74"/>
      <c r="G35" s="143">
        <f>Population!DK278+Population!DL278</f>
        <v>195523</v>
      </c>
      <c r="H35" s="80">
        <f>Population!DM278+Population!DN278</f>
        <v>52213</v>
      </c>
      <c r="I35" s="74">
        <f>Population!DP278</f>
        <v>83264</v>
      </c>
      <c r="J35" s="74">
        <f>Population!DR278</f>
        <v>14577</v>
      </c>
      <c r="K35" s="74">
        <f>Population!DO278+Population!DT278</f>
        <v>447265</v>
      </c>
      <c r="L35" s="74">
        <f>Population!DS278</f>
        <v>5649</v>
      </c>
      <c r="M35" s="74"/>
      <c r="N35" s="143">
        <f t="shared" si="3"/>
        <v>602968</v>
      </c>
      <c r="O35" s="76"/>
      <c r="P35" s="76"/>
      <c r="Q35" s="76"/>
      <c r="R35" s="76">
        <f t="shared" si="0"/>
        <v>798491</v>
      </c>
      <c r="T35" s="77">
        <f>Population!CG278</f>
        <v>45451</v>
      </c>
      <c r="U35" s="82">
        <f>SUM(Population!H278:K278)</f>
        <v>54912</v>
      </c>
      <c r="V35" s="74">
        <f>Population!G278</f>
        <v>1257</v>
      </c>
      <c r="W35" s="76">
        <f t="shared" si="5"/>
        <v>101620</v>
      </c>
      <c r="Y35" s="233">
        <f t="shared" si="2"/>
        <v>900111</v>
      </c>
    </row>
    <row r="36" spans="1:29" s="232" customFormat="1" hidden="1">
      <c r="A36" s="58">
        <v>40452</v>
      </c>
      <c r="B36" s="58"/>
      <c r="C36" s="79"/>
      <c r="D36" s="79"/>
      <c r="E36" s="79"/>
      <c r="F36" s="79"/>
      <c r="G36" s="144">
        <f>Population!DK279+Population!DL279</f>
        <v>196519</v>
      </c>
      <c r="H36" s="80">
        <f>Population!DM279+Population!DN279</f>
        <v>52615</v>
      </c>
      <c r="I36" s="79">
        <f>Population!DP279</f>
        <v>84146</v>
      </c>
      <c r="J36" s="79">
        <f>Population!DR279</f>
        <v>14596</v>
      </c>
      <c r="K36" s="79">
        <f>Population!DO279+Population!DT279</f>
        <v>449007</v>
      </c>
      <c r="L36" s="79">
        <f>Population!DS279</f>
        <v>5790</v>
      </c>
      <c r="M36" s="79"/>
      <c r="N36" s="143">
        <f t="shared" si="3"/>
        <v>606154</v>
      </c>
      <c r="O36" s="76"/>
      <c r="P36" s="76"/>
      <c r="Q36" s="76"/>
      <c r="R36" s="76">
        <f t="shared" si="0"/>
        <v>802673</v>
      </c>
      <c r="T36" s="111">
        <f>Population!CG279</f>
        <v>46291</v>
      </c>
      <c r="U36" s="112">
        <f>SUM(Population!H279:K279)</f>
        <v>55225</v>
      </c>
      <c r="V36" s="79">
        <f>Population!G279</f>
        <v>1264</v>
      </c>
      <c r="W36" s="76">
        <f t="shared" si="5"/>
        <v>102780</v>
      </c>
      <c r="Y36" s="233">
        <f t="shared" si="2"/>
        <v>905453</v>
      </c>
    </row>
    <row r="37" spans="1:29" s="229" customFormat="1" hidden="1">
      <c r="A37" s="58">
        <v>40483</v>
      </c>
      <c r="B37" s="58"/>
      <c r="C37" s="74"/>
      <c r="D37" s="74"/>
      <c r="E37" s="74"/>
      <c r="F37" s="74"/>
      <c r="G37" s="143">
        <f>Population!DK280+Population!DL280</f>
        <v>196935</v>
      </c>
      <c r="H37" s="80">
        <f>Population!DM280+Population!DN280</f>
        <v>53113</v>
      </c>
      <c r="I37" s="74">
        <f>Population!DP280</f>
        <v>84666</v>
      </c>
      <c r="J37" s="74">
        <f>Population!DR280</f>
        <v>14405</v>
      </c>
      <c r="K37" s="74">
        <f>Population!DO280+Population!DT280</f>
        <v>450986</v>
      </c>
      <c r="L37" s="74">
        <f>Population!DS280</f>
        <v>5850</v>
      </c>
      <c r="M37" s="74"/>
      <c r="N37" s="143">
        <f t="shared" si="3"/>
        <v>609020</v>
      </c>
      <c r="O37" s="76"/>
      <c r="P37" s="76"/>
      <c r="Q37" s="76"/>
      <c r="R37" s="76">
        <f t="shared" si="0"/>
        <v>805955</v>
      </c>
      <c r="T37" s="77">
        <f>Population!CG280</f>
        <v>47070</v>
      </c>
      <c r="U37" s="82">
        <f>SUM(Population!H280:K280)</f>
        <v>56432</v>
      </c>
      <c r="V37" s="74">
        <f>Population!G280</f>
        <v>1289</v>
      </c>
      <c r="W37" s="76">
        <f t="shared" si="5"/>
        <v>104791</v>
      </c>
      <c r="Y37" s="233">
        <f t="shared" si="2"/>
        <v>910746</v>
      </c>
    </row>
    <row r="38" spans="1:29" s="229" customFormat="1" hidden="1">
      <c r="A38" s="58">
        <v>40513</v>
      </c>
      <c r="B38" s="58"/>
      <c r="C38" s="74"/>
      <c r="D38" s="74"/>
      <c r="E38" s="74"/>
      <c r="F38" s="74"/>
      <c r="G38" s="143">
        <f>Population!DK281+Population!DL281</f>
        <v>197530</v>
      </c>
      <c r="H38" s="80">
        <f>Population!DM281+Population!DN281</f>
        <v>53573</v>
      </c>
      <c r="I38" s="74">
        <f>Population!DP281</f>
        <v>84664</v>
      </c>
      <c r="J38" s="74">
        <f>Population!DR281</f>
        <v>14150</v>
      </c>
      <c r="K38" s="74">
        <f>Population!DO281+Population!DT281</f>
        <v>452303</v>
      </c>
      <c r="L38" s="74">
        <f>Population!DS281</f>
        <v>5984</v>
      </c>
      <c r="M38" s="74"/>
      <c r="N38" s="143">
        <f t="shared" si="3"/>
        <v>610674</v>
      </c>
      <c r="O38" s="76"/>
      <c r="P38" s="76"/>
      <c r="Q38" s="76"/>
      <c r="R38" s="76">
        <f t="shared" si="0"/>
        <v>808204</v>
      </c>
      <c r="T38" s="77">
        <f>Population!CG281</f>
        <v>47391</v>
      </c>
      <c r="U38" s="82">
        <f>SUM(Population!H281:K281)</f>
        <v>57308</v>
      </c>
      <c r="V38" s="74">
        <f>Population!G281</f>
        <v>1292</v>
      </c>
      <c r="W38" s="76">
        <f t="shared" si="5"/>
        <v>105991</v>
      </c>
      <c r="Y38" s="233">
        <f t="shared" si="2"/>
        <v>914195</v>
      </c>
      <c r="AA38" s="231"/>
      <c r="AB38" s="231"/>
      <c r="AC38" s="231"/>
    </row>
    <row r="39" spans="1:29" s="229" customFormat="1" hidden="1">
      <c r="A39" s="58">
        <v>40544</v>
      </c>
      <c r="B39" s="58"/>
      <c r="C39" s="74"/>
      <c r="D39" s="74"/>
      <c r="E39" s="74"/>
      <c r="F39" s="74"/>
      <c r="G39" s="143">
        <f>Population!DK282+Population!DL282</f>
        <v>197663</v>
      </c>
      <c r="H39" s="80">
        <f>Population!DM282+Population!DN282</f>
        <v>44326</v>
      </c>
      <c r="I39" s="74">
        <f>Population!DP282</f>
        <v>84169</v>
      </c>
      <c r="J39" s="74">
        <f>Population!DR282</f>
        <v>13932</v>
      </c>
      <c r="K39" s="74">
        <f>Population!DO282+Population!DT282</f>
        <v>449801</v>
      </c>
      <c r="L39" s="74">
        <f>Population!DS282</f>
        <v>6066</v>
      </c>
      <c r="M39" s="74"/>
      <c r="N39" s="143">
        <f t="shared" si="3"/>
        <v>598294</v>
      </c>
      <c r="O39" s="76"/>
      <c r="P39" s="76"/>
      <c r="Q39" s="76"/>
      <c r="R39" s="76">
        <f t="shared" si="0"/>
        <v>795957</v>
      </c>
      <c r="T39" s="77">
        <f>Population!CG282</f>
        <v>47391</v>
      </c>
      <c r="U39" s="82">
        <f>SUM(Population!H282:K282)</f>
        <v>57554</v>
      </c>
      <c r="V39" s="74">
        <f>Population!G282</f>
        <v>1267</v>
      </c>
      <c r="W39" s="76">
        <f t="shared" si="5"/>
        <v>106212</v>
      </c>
      <c r="Y39" s="233">
        <f t="shared" si="2"/>
        <v>902169</v>
      </c>
      <c r="AA39" s="231"/>
      <c r="AB39" s="231"/>
      <c r="AC39" s="231"/>
    </row>
    <row r="40" spans="1:29" s="229" customFormat="1" hidden="1">
      <c r="A40" s="58">
        <v>40575</v>
      </c>
      <c r="B40" s="58"/>
      <c r="C40" s="74"/>
      <c r="D40" s="74"/>
      <c r="E40" s="74"/>
      <c r="F40" s="74"/>
      <c r="G40" s="143">
        <f>Population!DK283+Population!DL283</f>
        <v>198188</v>
      </c>
      <c r="H40" s="80">
        <f>Population!DM283+Population!DN283</f>
        <v>51178</v>
      </c>
      <c r="I40" s="74">
        <f>Population!DP283</f>
        <v>85054</v>
      </c>
      <c r="J40" s="74">
        <f>Population!DR283</f>
        <v>14071</v>
      </c>
      <c r="K40" s="74">
        <f>Population!DO283+Population!DT283</f>
        <v>452073</v>
      </c>
      <c r="L40" s="74">
        <f>Population!DS283</f>
        <v>6151</v>
      </c>
      <c r="M40" s="74"/>
      <c r="N40" s="143">
        <f t="shared" si="3"/>
        <v>608527</v>
      </c>
      <c r="O40" s="76"/>
      <c r="P40" s="76"/>
      <c r="Q40" s="76"/>
      <c r="R40" s="76">
        <f t="shared" si="0"/>
        <v>806715</v>
      </c>
      <c r="T40" s="77">
        <f>Population!CG283</f>
        <v>47306</v>
      </c>
      <c r="U40" s="82">
        <f>SUM(Population!H283:K283)</f>
        <v>57994</v>
      </c>
      <c r="V40" s="74">
        <f>Population!G283</f>
        <v>1249</v>
      </c>
      <c r="W40" s="76">
        <f t="shared" si="5"/>
        <v>106549</v>
      </c>
      <c r="Y40" s="233">
        <f t="shared" si="2"/>
        <v>913264</v>
      </c>
      <c r="AA40" s="231"/>
      <c r="AB40" s="231"/>
      <c r="AC40" s="231"/>
    </row>
    <row r="41" spans="1:29" s="229" customFormat="1" hidden="1">
      <c r="A41" s="58">
        <v>40603</v>
      </c>
      <c r="B41" s="58"/>
      <c r="C41" s="74"/>
      <c r="D41" s="74"/>
      <c r="E41" s="74"/>
      <c r="F41" s="74"/>
      <c r="G41" s="143">
        <f>Population!DK284+Population!DL284</f>
        <v>197882</v>
      </c>
      <c r="H41" s="80">
        <f>Population!DM284+Population!DN284</f>
        <v>52845</v>
      </c>
      <c r="I41" s="74">
        <f>Population!DP284</f>
        <v>84315</v>
      </c>
      <c r="J41" s="74">
        <f>Population!DR284</f>
        <v>14074</v>
      </c>
      <c r="K41" s="74">
        <f>Population!DO284+Population!DT284</f>
        <v>450265</v>
      </c>
      <c r="L41" s="74">
        <f>Population!DS284</f>
        <v>6307</v>
      </c>
      <c r="M41" s="74"/>
      <c r="N41" s="143">
        <f t="shared" si="3"/>
        <v>607806</v>
      </c>
      <c r="O41" s="76"/>
      <c r="P41" s="76"/>
      <c r="Q41" s="76"/>
      <c r="R41" s="76">
        <f t="shared" si="0"/>
        <v>805688</v>
      </c>
      <c r="T41" s="77">
        <f>Population!CG284</f>
        <v>46520</v>
      </c>
      <c r="U41" s="82">
        <f>SUM(Population!H284:K284)</f>
        <v>58282</v>
      </c>
      <c r="V41" s="74">
        <f>Population!G284</f>
        <v>1259</v>
      </c>
      <c r="W41" s="76">
        <f t="shared" si="5"/>
        <v>106061</v>
      </c>
      <c r="Y41" s="233">
        <f t="shared" si="2"/>
        <v>911749</v>
      </c>
      <c r="AA41" s="231"/>
      <c r="AB41" s="231"/>
      <c r="AC41" s="231"/>
    </row>
    <row r="42" spans="1:29" s="229" customFormat="1" hidden="1">
      <c r="A42" s="58">
        <v>40634</v>
      </c>
      <c r="B42" s="58"/>
      <c r="C42" s="74"/>
      <c r="D42" s="74"/>
      <c r="E42" s="74"/>
      <c r="F42" s="74"/>
      <c r="G42" s="143">
        <f>Population!DK285+Population!DL285</f>
        <v>198803</v>
      </c>
      <c r="H42" s="80">
        <f>Population!DM285+Population!DN285</f>
        <v>54220</v>
      </c>
      <c r="I42" s="74">
        <f>Population!DP285</f>
        <v>84926</v>
      </c>
      <c r="J42" s="74">
        <f>Population!DR285</f>
        <v>14697</v>
      </c>
      <c r="K42" s="74">
        <f>Population!DO285+Population!DT285</f>
        <v>453983</v>
      </c>
      <c r="L42" s="74">
        <f>Population!DS285</f>
        <v>6906</v>
      </c>
      <c r="M42" s="74"/>
      <c r="N42" s="143">
        <f t="shared" si="3"/>
        <v>614732</v>
      </c>
      <c r="O42" s="76"/>
      <c r="P42" s="76"/>
      <c r="Q42" s="76"/>
      <c r="R42" s="76">
        <f t="shared" si="0"/>
        <v>813535</v>
      </c>
      <c r="T42" s="77">
        <f>Population!CG285</f>
        <v>46329</v>
      </c>
      <c r="U42" s="82">
        <f>SUM(Population!H285:K285)</f>
        <v>60153</v>
      </c>
      <c r="V42" s="74">
        <f>Population!G285</f>
        <v>1240</v>
      </c>
      <c r="W42" s="76">
        <f t="shared" si="5"/>
        <v>107722</v>
      </c>
      <c r="Y42" s="233">
        <f t="shared" si="2"/>
        <v>921257</v>
      </c>
      <c r="AA42" s="231"/>
      <c r="AB42" s="231"/>
      <c r="AC42" s="231"/>
    </row>
    <row r="43" spans="1:29" s="229" customFormat="1" hidden="1">
      <c r="A43" s="58">
        <v>40664</v>
      </c>
      <c r="B43" s="58"/>
      <c r="C43" s="74"/>
      <c r="D43" s="74"/>
      <c r="E43" s="74"/>
      <c r="F43" s="74"/>
      <c r="G43" s="143">
        <f>Population!DK286+Population!DL286</f>
        <v>198485</v>
      </c>
      <c r="H43" s="80">
        <f>Population!DM286+Population!DN286</f>
        <v>53859</v>
      </c>
      <c r="I43" s="74">
        <f>Population!DP286</f>
        <v>85276</v>
      </c>
      <c r="J43" s="74">
        <f>Population!DR286</f>
        <v>14465</v>
      </c>
      <c r="K43" s="74">
        <f>Population!DO286+Population!DT286</f>
        <v>453938</v>
      </c>
      <c r="L43" s="74">
        <f>Population!DS286</f>
        <v>6633</v>
      </c>
      <c r="M43" s="74"/>
      <c r="N43" s="143">
        <f t="shared" si="3"/>
        <v>614171</v>
      </c>
      <c r="O43" s="76"/>
      <c r="P43" s="76"/>
      <c r="Q43" s="76"/>
      <c r="R43" s="76">
        <f t="shared" si="0"/>
        <v>812656</v>
      </c>
      <c r="T43" s="77">
        <f>Population!CG286</f>
        <v>46567</v>
      </c>
      <c r="U43" s="82">
        <f>SUM(Population!H286:K286)</f>
        <v>59384</v>
      </c>
      <c r="V43" s="74">
        <f>Population!G286</f>
        <v>1257</v>
      </c>
      <c r="W43" s="76">
        <f t="shared" si="5"/>
        <v>107208</v>
      </c>
      <c r="Y43" s="233">
        <f t="shared" si="2"/>
        <v>919864</v>
      </c>
    </row>
    <row r="44" spans="1:29" s="229" customFormat="1" hidden="1">
      <c r="A44" s="58">
        <v>40695</v>
      </c>
      <c r="B44" s="58"/>
      <c r="C44" s="74"/>
      <c r="D44" s="74"/>
      <c r="E44" s="74"/>
      <c r="F44" s="74"/>
      <c r="G44" s="143">
        <f>Population!DK287+Population!DL287</f>
        <v>199150</v>
      </c>
      <c r="H44" s="80">
        <f>Population!DM287+Population!DN287</f>
        <v>54793</v>
      </c>
      <c r="I44" s="74">
        <f>Population!DP287</f>
        <v>85063</v>
      </c>
      <c r="J44" s="74">
        <f>Population!DR287</f>
        <v>14829</v>
      </c>
      <c r="K44" s="74">
        <f>Population!DO287+Population!DT287</f>
        <v>454570</v>
      </c>
      <c r="L44" s="74">
        <f>Population!DS287</f>
        <v>7221</v>
      </c>
      <c r="M44" s="74"/>
      <c r="N44" s="143">
        <f t="shared" si="3"/>
        <v>616476</v>
      </c>
      <c r="O44" s="76"/>
      <c r="P44" s="76"/>
      <c r="Q44" s="76"/>
      <c r="R44" s="76">
        <f t="shared" si="0"/>
        <v>815626</v>
      </c>
      <c r="T44" s="77">
        <f>Population!CG287</f>
        <v>46590</v>
      </c>
      <c r="U44" s="82">
        <f>SUM(Population!H287:K287)</f>
        <v>60580</v>
      </c>
      <c r="V44" s="74">
        <f>Population!G287</f>
        <v>1247</v>
      </c>
      <c r="W44" s="76">
        <f t="shared" si="5"/>
        <v>108417</v>
      </c>
      <c r="Y44" s="233">
        <f t="shared" si="2"/>
        <v>924043</v>
      </c>
    </row>
    <row r="45" spans="1:29" s="229" customFormat="1" ht="9" hidden="1" customHeight="1">
      <c r="A45" s="58"/>
      <c r="B45" s="58"/>
      <c r="C45" s="74"/>
      <c r="D45" s="74"/>
      <c r="E45" s="74"/>
      <c r="F45" s="74"/>
      <c r="G45" s="143"/>
      <c r="H45" s="79"/>
      <c r="I45" s="74"/>
      <c r="J45" s="74"/>
      <c r="K45" s="74"/>
      <c r="L45" s="74"/>
      <c r="M45" s="74"/>
      <c r="N45" s="143"/>
      <c r="O45" s="76"/>
      <c r="P45" s="76"/>
      <c r="Q45" s="76"/>
      <c r="R45" s="76"/>
      <c r="T45" s="77"/>
      <c r="U45" s="77"/>
      <c r="V45" s="74"/>
      <c r="W45" s="76"/>
      <c r="Y45" s="233"/>
    </row>
    <row r="46" spans="1:29" s="229" customFormat="1" hidden="1">
      <c r="A46" s="58">
        <v>40725</v>
      </c>
      <c r="B46" s="58"/>
      <c r="C46" s="74"/>
      <c r="D46" s="74"/>
      <c r="E46" s="74"/>
      <c r="F46" s="74"/>
      <c r="G46" s="143">
        <f>Population!DK288+Population!DL288</f>
        <v>199108</v>
      </c>
      <c r="H46" s="80">
        <f>Population!DM288+Population!DN288</f>
        <v>55223</v>
      </c>
      <c r="I46" s="74">
        <f>Population!DP288</f>
        <v>85167</v>
      </c>
      <c r="J46" s="74">
        <f>Population!DR288</f>
        <v>15110</v>
      </c>
      <c r="K46" s="74">
        <f>Population!DO288+Population!DT288</f>
        <v>455823</v>
      </c>
      <c r="L46" s="74">
        <f>Population!DS288</f>
        <v>7685</v>
      </c>
      <c r="M46" s="74"/>
      <c r="N46" s="143">
        <f t="shared" si="3"/>
        <v>619008</v>
      </c>
      <c r="O46" s="76"/>
      <c r="P46" s="76"/>
      <c r="Q46" s="76"/>
      <c r="R46" s="76">
        <f t="shared" si="0"/>
        <v>818116</v>
      </c>
      <c r="T46" s="77">
        <f>Population!CG288</f>
        <v>46472</v>
      </c>
      <c r="U46" s="82">
        <f>SUM(Population!H288:K288)</f>
        <v>60985</v>
      </c>
      <c r="V46" s="74">
        <f>Population!G288</f>
        <v>1248</v>
      </c>
      <c r="W46" s="76">
        <f t="shared" ref="W46:W57" si="6">SUM(T46:V46)</f>
        <v>108705</v>
      </c>
      <c r="Y46" s="233">
        <f t="shared" si="2"/>
        <v>926821</v>
      </c>
    </row>
    <row r="47" spans="1:29" s="229" customFormat="1" hidden="1">
      <c r="A47" s="58">
        <v>40756</v>
      </c>
      <c r="B47" s="58"/>
      <c r="C47" s="74"/>
      <c r="D47" s="74"/>
      <c r="E47" s="74"/>
      <c r="F47" s="74"/>
      <c r="G47" s="143">
        <f>Population!DK289+Population!DL289</f>
        <v>199757</v>
      </c>
      <c r="H47" s="80">
        <f>Population!DM289+Population!DN289</f>
        <v>55667</v>
      </c>
      <c r="I47" s="74">
        <f>Population!DP289</f>
        <v>85316</v>
      </c>
      <c r="J47" s="74">
        <f>Population!DR289</f>
        <v>15042</v>
      </c>
      <c r="K47" s="74">
        <f>Population!DO289+Population!DT289</f>
        <v>455660</v>
      </c>
      <c r="L47" s="74">
        <f>Population!DS289</f>
        <v>7976</v>
      </c>
      <c r="M47" s="74"/>
      <c r="N47" s="143">
        <f t="shared" si="3"/>
        <v>619661</v>
      </c>
      <c r="O47" s="76"/>
      <c r="P47" s="76"/>
      <c r="Q47" s="76"/>
      <c r="R47" s="76">
        <f t="shared" si="0"/>
        <v>819418</v>
      </c>
      <c r="T47" s="77">
        <f>Population!CG289</f>
        <v>46401</v>
      </c>
      <c r="U47" s="82">
        <f>SUM(Population!H289:K289)</f>
        <v>61167</v>
      </c>
      <c r="V47" s="74">
        <f>Population!G289</f>
        <v>1228</v>
      </c>
      <c r="W47" s="76">
        <f t="shared" si="6"/>
        <v>108796</v>
      </c>
      <c r="Y47" s="233">
        <f t="shared" si="2"/>
        <v>928214</v>
      </c>
    </row>
    <row r="48" spans="1:29" s="229" customFormat="1" hidden="1">
      <c r="A48" s="58">
        <v>40787</v>
      </c>
      <c r="B48" s="58"/>
      <c r="C48" s="74"/>
      <c r="D48" s="74"/>
      <c r="E48" s="74"/>
      <c r="F48" s="74"/>
      <c r="G48" s="143">
        <f>Population!DK290+Population!DL290</f>
        <v>200452</v>
      </c>
      <c r="H48" s="80">
        <f>Population!DM290+Population!DN290</f>
        <v>56164</v>
      </c>
      <c r="I48" s="74">
        <f>Population!DP290</f>
        <v>85766</v>
      </c>
      <c r="J48" s="74">
        <f>Population!DR290</f>
        <v>14991</v>
      </c>
      <c r="K48" s="74">
        <f>Population!DO290+Population!DT290</f>
        <v>456850</v>
      </c>
      <c r="L48" s="74">
        <f>Population!DS290</f>
        <v>8296</v>
      </c>
      <c r="M48" s="74"/>
      <c r="N48" s="143">
        <f t="shared" si="3"/>
        <v>622067</v>
      </c>
      <c r="O48" s="76"/>
      <c r="P48" s="76"/>
      <c r="Q48" s="76"/>
      <c r="R48" s="76">
        <f t="shared" si="0"/>
        <v>822519</v>
      </c>
      <c r="T48" s="77">
        <f>Population!CG290</f>
        <v>46810</v>
      </c>
      <c r="U48" s="82">
        <f>SUM(Population!H290:K290)</f>
        <v>60774</v>
      </c>
      <c r="V48" s="74">
        <f>Population!G290</f>
        <v>1254</v>
      </c>
      <c r="W48" s="76">
        <f t="shared" si="6"/>
        <v>108838</v>
      </c>
      <c r="Y48" s="233">
        <f t="shared" si="2"/>
        <v>931357</v>
      </c>
    </row>
    <row r="49" spans="1:26" s="229" customFormat="1" hidden="1">
      <c r="A49" s="58">
        <v>40817</v>
      </c>
      <c r="B49" s="58"/>
      <c r="C49" s="74"/>
      <c r="D49" s="74"/>
      <c r="E49" s="74"/>
      <c r="F49" s="74"/>
      <c r="G49" s="143">
        <f>Population!DK291+Population!DL291</f>
        <v>200843</v>
      </c>
      <c r="H49" s="80">
        <f>Population!DM291+Population!DN291</f>
        <v>56528</v>
      </c>
      <c r="I49" s="74">
        <f>Population!DP291</f>
        <v>86150</v>
      </c>
      <c r="J49" s="74">
        <f>Population!DR291</f>
        <v>14651</v>
      </c>
      <c r="K49" s="74">
        <f>Population!DO291+Population!DT291</f>
        <v>457426</v>
      </c>
      <c r="L49" s="74">
        <f>Population!DS291</f>
        <v>8590</v>
      </c>
      <c r="M49" s="74"/>
      <c r="N49" s="143">
        <f t="shared" si="3"/>
        <v>623345</v>
      </c>
      <c r="O49" s="76"/>
      <c r="P49" s="76"/>
      <c r="Q49" s="76"/>
      <c r="R49" s="76">
        <f t="shared" si="0"/>
        <v>824188</v>
      </c>
      <c r="T49" s="77">
        <f>Population!CG291</f>
        <v>46943</v>
      </c>
      <c r="U49" s="82">
        <f>SUM(Population!H291:K291)</f>
        <v>60266</v>
      </c>
      <c r="V49" s="74">
        <f>Population!G291</f>
        <v>1250</v>
      </c>
      <c r="W49" s="76">
        <f t="shared" si="6"/>
        <v>108459</v>
      </c>
      <c r="Y49" s="233">
        <f t="shared" si="2"/>
        <v>932647</v>
      </c>
    </row>
    <row r="50" spans="1:26" s="229" customFormat="1" hidden="1">
      <c r="A50" s="58">
        <v>40848</v>
      </c>
      <c r="B50" s="58"/>
      <c r="C50" s="74"/>
      <c r="D50" s="74"/>
      <c r="E50" s="74"/>
      <c r="F50" s="74"/>
      <c r="G50" s="143">
        <f>Population!DK292+Population!DL292</f>
        <v>201180</v>
      </c>
      <c r="H50" s="80">
        <f>Population!DM292+Population!DN292</f>
        <v>56944</v>
      </c>
      <c r="I50" s="74">
        <f>Population!DP292</f>
        <v>86846</v>
      </c>
      <c r="J50" s="74">
        <f>Population!DR292</f>
        <v>14378</v>
      </c>
      <c r="K50" s="74">
        <f>Population!DO292+Population!DT292</f>
        <v>459454</v>
      </c>
      <c r="L50" s="74">
        <f>Population!DS292</f>
        <v>9850</v>
      </c>
      <c r="M50" s="74"/>
      <c r="N50" s="143">
        <f t="shared" si="3"/>
        <v>627472</v>
      </c>
      <c r="O50" s="76"/>
      <c r="P50" s="76"/>
      <c r="Q50" s="76"/>
      <c r="R50" s="76">
        <f t="shared" si="0"/>
        <v>828652</v>
      </c>
      <c r="T50" s="77">
        <f>Population!CG292</f>
        <v>47637</v>
      </c>
      <c r="U50" s="82">
        <f>SUM(Population!H292:K292)</f>
        <v>60877</v>
      </c>
      <c r="V50" s="74">
        <f>Population!G292</f>
        <v>1250</v>
      </c>
      <c r="W50" s="76">
        <f t="shared" si="6"/>
        <v>109764</v>
      </c>
      <c r="Y50" s="233">
        <f t="shared" si="2"/>
        <v>938416</v>
      </c>
    </row>
    <row r="51" spans="1:26" s="229" customFormat="1" hidden="1">
      <c r="A51" s="58">
        <v>40878</v>
      </c>
      <c r="B51" s="58"/>
      <c r="C51" s="74"/>
      <c r="D51" s="74"/>
      <c r="E51" s="74"/>
      <c r="F51" s="74"/>
      <c r="G51" s="143">
        <f>Population!DK293+Population!DL293</f>
        <v>201691</v>
      </c>
      <c r="H51" s="80">
        <f>Population!DM293+Population!DN293</f>
        <v>57437</v>
      </c>
      <c r="I51" s="74">
        <f>Population!DP293</f>
        <v>87017</v>
      </c>
      <c r="J51" s="74">
        <f>Population!DR293</f>
        <v>14054</v>
      </c>
      <c r="K51" s="74">
        <f>Population!DO293+Population!DT293</f>
        <v>460566</v>
      </c>
      <c r="L51" s="74">
        <f>Population!DS293</f>
        <v>12522</v>
      </c>
      <c r="M51" s="74"/>
      <c r="N51" s="143">
        <f t="shared" si="3"/>
        <v>631596</v>
      </c>
      <c r="O51" s="76"/>
      <c r="P51" s="76"/>
      <c r="Q51" s="76"/>
      <c r="R51" s="76">
        <f t="shared" si="0"/>
        <v>833287</v>
      </c>
      <c r="T51" s="77">
        <f>Population!CG293</f>
        <v>48239</v>
      </c>
      <c r="U51" s="82">
        <f>SUM(Population!H293:K293)</f>
        <v>61827</v>
      </c>
      <c r="V51" s="74">
        <f>Population!G293</f>
        <v>1274</v>
      </c>
      <c r="W51" s="76">
        <f t="shared" si="6"/>
        <v>111340</v>
      </c>
      <c r="Y51" s="233">
        <f t="shared" si="2"/>
        <v>944627</v>
      </c>
    </row>
    <row r="52" spans="1:26" s="229" customFormat="1" hidden="1">
      <c r="A52" s="58">
        <v>40909</v>
      </c>
      <c r="B52" s="58"/>
      <c r="C52" s="74"/>
      <c r="D52" s="74"/>
      <c r="E52" s="74"/>
      <c r="F52" s="74"/>
      <c r="G52" s="143">
        <f>Population!DK294+Population!DL294</f>
        <v>201558</v>
      </c>
      <c r="H52" s="80">
        <f>Population!DM294+Population!DN294</f>
        <v>47185</v>
      </c>
      <c r="I52" s="74">
        <f>Population!DP294</f>
        <v>87138</v>
      </c>
      <c r="J52" s="74">
        <f>Population!DR294</f>
        <v>13948</v>
      </c>
      <c r="K52" s="74">
        <f>Population!DO294+Population!DT294</f>
        <v>460816</v>
      </c>
      <c r="L52" s="74">
        <f>Population!DS294</f>
        <v>14856</v>
      </c>
      <c r="M52" s="74"/>
      <c r="N52" s="143">
        <f t="shared" si="3"/>
        <v>623943</v>
      </c>
      <c r="O52" s="76"/>
      <c r="P52" s="76"/>
      <c r="Q52" s="76"/>
      <c r="R52" s="76">
        <f t="shared" si="0"/>
        <v>825501</v>
      </c>
      <c r="T52" s="77">
        <f>Population!CG294</f>
        <v>48436</v>
      </c>
      <c r="U52" s="82">
        <f>SUM(Population!H294:K294)</f>
        <v>62902</v>
      </c>
      <c r="V52" s="74">
        <f>Population!G294</f>
        <v>1329</v>
      </c>
      <c r="W52" s="76">
        <f t="shared" si="6"/>
        <v>112667</v>
      </c>
      <c r="Y52" s="233">
        <f t="shared" si="2"/>
        <v>938168</v>
      </c>
    </row>
    <row r="53" spans="1:26" s="229" customFormat="1" hidden="1">
      <c r="A53" s="58">
        <v>40940</v>
      </c>
      <c r="B53" s="58"/>
      <c r="C53" s="74"/>
      <c r="D53" s="74"/>
      <c r="E53" s="74"/>
      <c r="F53" s="74"/>
      <c r="G53" s="143">
        <f>Population!DK295+Population!DL295</f>
        <v>202166</v>
      </c>
      <c r="H53" s="80">
        <f>Population!DM295+Population!DN295</f>
        <v>55357</v>
      </c>
      <c r="I53" s="74">
        <f>Population!DP295</f>
        <v>88520</v>
      </c>
      <c r="J53" s="74">
        <f>Population!DR295</f>
        <v>14239</v>
      </c>
      <c r="K53" s="74">
        <f>Population!DO295+Population!DT295</f>
        <v>464358</v>
      </c>
      <c r="L53" s="74">
        <f>Population!DS295</f>
        <v>16918</v>
      </c>
      <c r="M53" s="74"/>
      <c r="N53" s="143">
        <f t="shared" si="3"/>
        <v>639392</v>
      </c>
      <c r="O53" s="76"/>
      <c r="P53" s="76"/>
      <c r="Q53" s="76"/>
      <c r="R53" s="76">
        <f t="shared" si="0"/>
        <v>841558</v>
      </c>
      <c r="T53" s="77">
        <f>Population!CG295</f>
        <v>48746</v>
      </c>
      <c r="U53" s="82">
        <f>SUM(Population!H295:K295)</f>
        <v>63671</v>
      </c>
      <c r="V53" s="74">
        <f>Population!G295</f>
        <v>1380</v>
      </c>
      <c r="W53" s="76">
        <f t="shared" si="6"/>
        <v>113797</v>
      </c>
      <c r="Y53" s="233">
        <f t="shared" si="2"/>
        <v>955355</v>
      </c>
    </row>
    <row r="54" spans="1:26" s="229" customFormat="1" hidden="1">
      <c r="A54" s="58">
        <v>40969</v>
      </c>
      <c r="B54" s="58"/>
      <c r="C54" s="74"/>
      <c r="D54" s="74"/>
      <c r="E54" s="74"/>
      <c r="F54" s="74"/>
      <c r="G54" s="143">
        <f>Population!DK296+Population!DL296</f>
        <v>202277</v>
      </c>
      <c r="H54" s="80">
        <f>Population!DM296+Population!DN296</f>
        <v>56761</v>
      </c>
      <c r="I54" s="74">
        <f>Population!DP296</f>
        <v>87932</v>
      </c>
      <c r="J54" s="74">
        <f>Population!DR296</f>
        <v>14334</v>
      </c>
      <c r="K54" s="74">
        <f>Population!DO296+Population!DT296</f>
        <v>463062</v>
      </c>
      <c r="L54" s="74">
        <f>Population!DS296</f>
        <v>18949</v>
      </c>
      <c r="M54" s="74"/>
      <c r="N54" s="143">
        <f t="shared" si="3"/>
        <v>641038</v>
      </c>
      <c r="O54" s="76"/>
      <c r="P54" s="76"/>
      <c r="Q54" s="76"/>
      <c r="R54" s="76">
        <f t="shared" si="0"/>
        <v>843315</v>
      </c>
      <c r="T54" s="77">
        <f>Population!CG296</f>
        <v>48456</v>
      </c>
      <c r="U54" s="82">
        <f>SUM(Population!H296:K296)</f>
        <v>63294</v>
      </c>
      <c r="V54" s="74">
        <f>Population!G296</f>
        <v>1398</v>
      </c>
      <c r="W54" s="76">
        <f t="shared" si="6"/>
        <v>113148</v>
      </c>
      <c r="Y54" s="233">
        <f t="shared" si="2"/>
        <v>956463</v>
      </c>
    </row>
    <row r="55" spans="1:26" s="229" customFormat="1" hidden="1">
      <c r="A55" s="58">
        <v>41000</v>
      </c>
      <c r="B55" s="58"/>
      <c r="C55" s="74"/>
      <c r="D55" s="74"/>
      <c r="E55" s="74"/>
      <c r="F55" s="74"/>
      <c r="G55" s="143">
        <f>Population!DK297+Population!DL297</f>
        <v>202575</v>
      </c>
      <c r="H55" s="80">
        <f>Population!DM297+Population!DN297</f>
        <v>57491</v>
      </c>
      <c r="I55" s="74">
        <f>Population!DP297</f>
        <v>88663</v>
      </c>
      <c r="J55" s="74">
        <f>Population!DR297</f>
        <v>14558</v>
      </c>
      <c r="K55" s="74">
        <f>Population!DO297+Population!DT297</f>
        <v>465133</v>
      </c>
      <c r="L55" s="74">
        <f>Population!DS297</f>
        <v>21258</v>
      </c>
      <c r="M55" s="74"/>
      <c r="N55" s="143">
        <f t="shared" si="3"/>
        <v>647103</v>
      </c>
      <c r="O55" s="76"/>
      <c r="P55" s="76"/>
      <c r="Q55" s="76"/>
      <c r="R55" s="76">
        <f t="shared" si="0"/>
        <v>849678</v>
      </c>
      <c r="T55" s="77">
        <f>Population!CG297</f>
        <v>48326</v>
      </c>
      <c r="U55" s="82">
        <f>SUM(Population!H297:K297)</f>
        <v>63814</v>
      </c>
      <c r="V55" s="74">
        <f>Population!G297</f>
        <v>1436</v>
      </c>
      <c r="W55" s="76">
        <f t="shared" si="6"/>
        <v>113576</v>
      </c>
      <c r="Y55" s="233">
        <f t="shared" si="2"/>
        <v>963254</v>
      </c>
    </row>
    <row r="56" spans="1:26" s="229" customFormat="1" hidden="1">
      <c r="A56" s="58">
        <v>41030</v>
      </c>
      <c r="B56" s="58"/>
      <c r="C56" s="74"/>
      <c r="D56" s="74"/>
      <c r="E56" s="74"/>
      <c r="F56" s="74"/>
      <c r="G56" s="143">
        <f>Population!DK298+Population!DL298</f>
        <v>202794</v>
      </c>
      <c r="H56" s="80">
        <f>Population!DM298+Population!DN298</f>
        <v>58132</v>
      </c>
      <c r="I56" s="74">
        <f>Population!DP298</f>
        <v>88739</v>
      </c>
      <c r="J56" s="74">
        <f>Population!DR298</f>
        <v>14646</v>
      </c>
      <c r="K56" s="74">
        <f>Population!DO298+Population!DT298</f>
        <v>466536</v>
      </c>
      <c r="L56" s="74">
        <f>Population!DS298</f>
        <v>23294</v>
      </c>
      <c r="M56" s="74"/>
      <c r="N56" s="143">
        <f t="shared" si="3"/>
        <v>651347</v>
      </c>
      <c r="O56" s="76"/>
      <c r="P56" s="76"/>
      <c r="Q56" s="76"/>
      <c r="R56" s="76">
        <f t="shared" si="0"/>
        <v>854141</v>
      </c>
      <c r="T56" s="77">
        <f>Population!CG298</f>
        <v>48521</v>
      </c>
      <c r="U56" s="82">
        <f>SUM(Population!H298:K298)</f>
        <v>64059</v>
      </c>
      <c r="V56" s="74">
        <f>Population!G298</f>
        <v>1471</v>
      </c>
      <c r="W56" s="76">
        <f t="shared" si="6"/>
        <v>114051</v>
      </c>
      <c r="Y56" s="233">
        <f t="shared" si="2"/>
        <v>968192</v>
      </c>
    </row>
    <row r="57" spans="1:26" s="229" customFormat="1" hidden="1">
      <c r="A57" s="58">
        <v>41061</v>
      </c>
      <c r="B57" s="58"/>
      <c r="C57" s="74"/>
      <c r="D57" s="74"/>
      <c r="E57" s="74"/>
      <c r="F57" s="74"/>
      <c r="G57" s="143">
        <f>Population!DK299+Population!DL299</f>
        <v>202587</v>
      </c>
      <c r="H57" s="80">
        <f>Population!DM299+Population!DN299</f>
        <v>58494</v>
      </c>
      <c r="I57" s="74">
        <f>Population!DP299</f>
        <v>89001</v>
      </c>
      <c r="J57" s="74">
        <f>Population!DR299</f>
        <v>14832</v>
      </c>
      <c r="K57" s="74">
        <f>Population!DO299+Population!DT299</f>
        <v>467809</v>
      </c>
      <c r="L57" s="74">
        <f>Population!DS299</f>
        <v>25418</v>
      </c>
      <c r="M57" s="74"/>
      <c r="N57" s="143">
        <f t="shared" si="3"/>
        <v>655554</v>
      </c>
      <c r="O57" s="76"/>
      <c r="P57" s="76"/>
      <c r="Q57" s="76"/>
      <c r="R57" s="76">
        <f t="shared" si="0"/>
        <v>858141</v>
      </c>
      <c r="T57" s="77">
        <f>Population!CG299</f>
        <v>48723</v>
      </c>
      <c r="U57" s="82">
        <f>SUM(Population!H299:K299)</f>
        <v>64436</v>
      </c>
      <c r="V57" s="74">
        <f>Population!G299</f>
        <v>1477</v>
      </c>
      <c r="W57" s="76">
        <f t="shared" si="6"/>
        <v>114636</v>
      </c>
      <c r="Y57" s="233">
        <f t="shared" si="2"/>
        <v>972777</v>
      </c>
    </row>
    <row r="58" spans="1:26" s="229" customFormat="1" ht="9" hidden="1" customHeight="1">
      <c r="A58" s="58"/>
      <c r="B58" s="58"/>
      <c r="C58" s="74"/>
      <c r="D58" s="74"/>
      <c r="E58" s="74"/>
      <c r="F58" s="74"/>
      <c r="G58" s="143"/>
      <c r="H58" s="79"/>
      <c r="I58" s="74"/>
      <c r="J58" s="74"/>
      <c r="K58" s="74"/>
      <c r="L58" s="74"/>
      <c r="M58" s="74"/>
      <c r="N58" s="143"/>
      <c r="O58" s="76"/>
      <c r="P58" s="76"/>
      <c r="Q58" s="76"/>
      <c r="R58" s="76"/>
      <c r="T58" s="77"/>
      <c r="U58" s="77"/>
      <c r="V58" s="74"/>
      <c r="W58" s="76"/>
      <c r="Y58" s="233"/>
    </row>
    <row r="59" spans="1:26" s="229" customFormat="1" hidden="1">
      <c r="A59" s="58">
        <v>41091</v>
      </c>
      <c r="B59" s="58"/>
      <c r="C59" s="74">
        <f t="shared" ref="C59:C70" si="7">G59-D59-E59-F59</f>
        <v>146598</v>
      </c>
      <c r="D59" s="74">
        <f>20478+1288</f>
        <v>21766</v>
      </c>
      <c r="E59" s="74">
        <v>33395</v>
      </c>
      <c r="F59" s="74">
        <v>718</v>
      </c>
      <c r="G59" s="143">
        <f>Population!DK300+Population!DL300</f>
        <v>202477</v>
      </c>
      <c r="H59" s="80">
        <f>Population!DM300+Population!DN300</f>
        <v>58895</v>
      </c>
      <c r="I59" s="74">
        <f>Population!DP300</f>
        <v>89469</v>
      </c>
      <c r="J59" s="74">
        <f>Population!DR300</f>
        <v>15038</v>
      </c>
      <c r="K59" s="74">
        <f>Population!DO300+Population!DT300</f>
        <v>468839</v>
      </c>
      <c r="L59" s="74">
        <f>Population!DS300</f>
        <v>27257</v>
      </c>
      <c r="M59" s="74"/>
      <c r="N59" s="143">
        <f t="shared" si="3"/>
        <v>659498</v>
      </c>
      <c r="O59" s="76"/>
      <c r="P59" s="76"/>
      <c r="Q59" s="76"/>
      <c r="R59" s="76">
        <f t="shared" si="0"/>
        <v>861975</v>
      </c>
      <c r="T59" s="77">
        <f>Population!CG300</f>
        <v>49140</v>
      </c>
      <c r="U59" s="82">
        <f>SUM(Population!H300:K300)</f>
        <v>64149</v>
      </c>
      <c r="V59" s="74">
        <f>Population!G300</f>
        <v>1483</v>
      </c>
      <c r="W59" s="76">
        <f t="shared" ref="W59:W70" si="8">SUM(T59:V59)</f>
        <v>114772</v>
      </c>
      <c r="Y59" s="233">
        <f t="shared" si="2"/>
        <v>976747</v>
      </c>
      <c r="Z59" s="38"/>
    </row>
    <row r="60" spans="1:26" s="229" customFormat="1" hidden="1">
      <c r="A60" s="58">
        <v>41122</v>
      </c>
      <c r="B60" s="58"/>
      <c r="C60" s="74">
        <f t="shared" si="7"/>
        <v>146786</v>
      </c>
      <c r="D60" s="74">
        <f>20434+1288</f>
        <v>21722</v>
      </c>
      <c r="E60" s="74">
        <v>33676</v>
      </c>
      <c r="F60" s="74">
        <v>722</v>
      </c>
      <c r="G60" s="143">
        <f>Population!DK301+Population!DL301</f>
        <v>202906</v>
      </c>
      <c r="H60" s="80">
        <f>Population!DM301+Population!DN301</f>
        <v>59253</v>
      </c>
      <c r="I60" s="74">
        <f>Population!DP301</f>
        <v>89853</v>
      </c>
      <c r="J60" s="74">
        <f>Population!DR301</f>
        <v>15160</v>
      </c>
      <c r="K60" s="74">
        <f>Population!DO301+Population!DT301</f>
        <v>469453</v>
      </c>
      <c r="L60" s="74">
        <f>Population!DS301</f>
        <v>28946</v>
      </c>
      <c r="M60" s="74"/>
      <c r="N60" s="143">
        <f t="shared" si="3"/>
        <v>662665</v>
      </c>
      <c r="O60" s="76"/>
      <c r="P60" s="76"/>
      <c r="Q60" s="76"/>
      <c r="R60" s="76">
        <f t="shared" si="0"/>
        <v>865571</v>
      </c>
      <c r="T60" s="77">
        <f>Population!CG301</f>
        <v>48930</v>
      </c>
      <c r="U60" s="82">
        <f>SUM(Population!H301:K301)</f>
        <v>63697</v>
      </c>
      <c r="V60" s="74">
        <f>Population!G301</f>
        <v>1478</v>
      </c>
      <c r="W60" s="76">
        <f t="shared" si="8"/>
        <v>114105</v>
      </c>
      <c r="Y60" s="233">
        <f t="shared" si="2"/>
        <v>979676</v>
      </c>
      <c r="Z60" s="38"/>
    </row>
    <row r="61" spans="1:26" s="229" customFormat="1" hidden="1">
      <c r="A61" s="58">
        <v>41153</v>
      </c>
      <c r="B61" s="58"/>
      <c r="C61" s="74">
        <f t="shared" si="7"/>
        <v>146824</v>
      </c>
      <c r="D61" s="74">
        <f>20447+1266</f>
        <v>21713</v>
      </c>
      <c r="E61" s="74">
        <v>33992</v>
      </c>
      <c r="F61" s="74">
        <v>742</v>
      </c>
      <c r="G61" s="143">
        <f>Population!DK302+Population!DL302</f>
        <v>203271</v>
      </c>
      <c r="H61" s="80">
        <f>Population!DM302+Population!DN302</f>
        <v>59780</v>
      </c>
      <c r="I61" s="74">
        <f>Population!DP302</f>
        <v>90770</v>
      </c>
      <c r="J61" s="74">
        <f>Population!DR302</f>
        <v>15554</v>
      </c>
      <c r="K61" s="74">
        <f>Population!DO302+Population!DT302</f>
        <v>470931</v>
      </c>
      <c r="L61" s="74">
        <f>Population!DS302</f>
        <v>30690</v>
      </c>
      <c r="M61" s="74"/>
      <c r="N61" s="143">
        <f t="shared" si="3"/>
        <v>667725</v>
      </c>
      <c r="O61" s="76"/>
      <c r="P61" s="76"/>
      <c r="Q61" s="76"/>
      <c r="R61" s="76">
        <f t="shared" si="0"/>
        <v>870996</v>
      </c>
      <c r="T61" s="77">
        <f>Population!CG302</f>
        <v>49323</v>
      </c>
      <c r="U61" s="82">
        <f>SUM(Population!H302:K302)</f>
        <v>62774</v>
      </c>
      <c r="V61" s="74">
        <f>Population!G302</f>
        <v>1492</v>
      </c>
      <c r="W61" s="76">
        <f t="shared" si="8"/>
        <v>113589</v>
      </c>
      <c r="Y61" s="233">
        <f t="shared" si="2"/>
        <v>984585</v>
      </c>
      <c r="Z61" s="38"/>
    </row>
    <row r="62" spans="1:26" s="229" customFormat="1" hidden="1">
      <c r="A62" s="58">
        <v>41183</v>
      </c>
      <c r="B62" s="58"/>
      <c r="C62" s="74">
        <f t="shared" si="7"/>
        <v>146733</v>
      </c>
      <c r="D62" s="74">
        <f>20439+1243</f>
        <v>21682</v>
      </c>
      <c r="E62" s="74">
        <v>34293</v>
      </c>
      <c r="F62" s="74">
        <v>757</v>
      </c>
      <c r="G62" s="143">
        <f>Population!DK303+Population!DL303</f>
        <v>203465</v>
      </c>
      <c r="H62" s="80">
        <f>Population!DM303+Population!DN303</f>
        <v>60077</v>
      </c>
      <c r="I62" s="74">
        <f>Population!DP303</f>
        <v>91403</v>
      </c>
      <c r="J62" s="74">
        <f>Population!DR303</f>
        <v>15377</v>
      </c>
      <c r="K62" s="74">
        <f>Population!DO303+Population!DT303</f>
        <v>471967</v>
      </c>
      <c r="L62" s="74">
        <f>Population!DS303</f>
        <v>31779</v>
      </c>
      <c r="M62" s="74"/>
      <c r="N62" s="143">
        <f t="shared" si="3"/>
        <v>670603</v>
      </c>
      <c r="O62" s="76"/>
      <c r="P62" s="76"/>
      <c r="Q62" s="76"/>
      <c r="R62" s="76">
        <f t="shared" si="0"/>
        <v>874068</v>
      </c>
      <c r="T62" s="77">
        <f>Population!CG303</f>
        <v>49705</v>
      </c>
      <c r="U62" s="82">
        <f>SUM(Population!H303:K303)</f>
        <v>62601</v>
      </c>
      <c r="V62" s="74">
        <f>Population!G303</f>
        <v>1488</v>
      </c>
      <c r="W62" s="76">
        <f t="shared" si="8"/>
        <v>113794</v>
      </c>
      <c r="Y62" s="233">
        <f t="shared" si="2"/>
        <v>987862</v>
      </c>
      <c r="Z62" s="38"/>
    </row>
    <row r="63" spans="1:26" s="229" customFormat="1" hidden="1">
      <c r="A63" s="58">
        <v>41214</v>
      </c>
      <c r="B63" s="58"/>
      <c r="C63" s="74">
        <f t="shared" si="7"/>
        <v>147173</v>
      </c>
      <c r="D63" s="74">
        <f>20321+1223</f>
        <v>21544</v>
      </c>
      <c r="E63" s="74">
        <v>34566</v>
      </c>
      <c r="F63" s="74">
        <v>767</v>
      </c>
      <c r="G63" s="143">
        <f>Population!DK304+Population!DL304</f>
        <v>204050</v>
      </c>
      <c r="H63" s="80">
        <f>Population!DM304+Population!DN304</f>
        <v>60517</v>
      </c>
      <c r="I63" s="74">
        <f>Population!DP304</f>
        <v>91988</v>
      </c>
      <c r="J63" s="74">
        <f>Population!DR304</f>
        <v>15338</v>
      </c>
      <c r="K63" s="74">
        <f>Population!DO304+Population!DT304</f>
        <v>474444</v>
      </c>
      <c r="L63" s="74">
        <f>Population!DS304</f>
        <v>33070</v>
      </c>
      <c r="M63" s="74"/>
      <c r="N63" s="143">
        <f t="shared" si="3"/>
        <v>675357</v>
      </c>
      <c r="O63" s="76"/>
      <c r="P63" s="76"/>
      <c r="Q63" s="76"/>
      <c r="R63" s="76">
        <f t="shared" si="0"/>
        <v>879407</v>
      </c>
      <c r="T63" s="77">
        <f>Population!CG304</f>
        <v>50180</v>
      </c>
      <c r="U63" s="82">
        <f>SUM(Population!H304:K304)</f>
        <v>63420</v>
      </c>
      <c r="V63" s="74">
        <f>Population!G304</f>
        <v>1501</v>
      </c>
      <c r="W63" s="76">
        <f t="shared" si="8"/>
        <v>115101</v>
      </c>
      <c r="Y63" s="233">
        <f t="shared" si="2"/>
        <v>994508</v>
      </c>
      <c r="Z63" s="38"/>
    </row>
    <row r="64" spans="1:26" s="229" customFormat="1" hidden="1">
      <c r="A64" s="58">
        <v>41244</v>
      </c>
      <c r="B64" s="58"/>
      <c r="C64" s="74">
        <f t="shared" si="7"/>
        <v>146790</v>
      </c>
      <c r="D64" s="74">
        <f>20336+1230</f>
        <v>21566</v>
      </c>
      <c r="E64" s="74">
        <v>34885</v>
      </c>
      <c r="F64" s="74">
        <v>793</v>
      </c>
      <c r="G64" s="143">
        <f>Population!DK305+Population!DL305</f>
        <v>204034</v>
      </c>
      <c r="H64" s="80">
        <f>Population!DM305+Population!DN305</f>
        <v>60954</v>
      </c>
      <c r="I64" s="74">
        <f>Population!DP305</f>
        <v>91895</v>
      </c>
      <c r="J64" s="74">
        <f>Population!DR305</f>
        <v>15048</v>
      </c>
      <c r="K64" s="74">
        <f>Population!DO305+Population!DT305</f>
        <v>475013</v>
      </c>
      <c r="L64" s="74">
        <f>Population!DS305</f>
        <v>34005</v>
      </c>
      <c r="M64" s="74"/>
      <c r="N64" s="143">
        <f t="shared" si="3"/>
        <v>676915</v>
      </c>
      <c r="O64" s="76"/>
      <c r="P64" s="76"/>
      <c r="Q64" s="76"/>
      <c r="R64" s="76">
        <f t="shared" si="0"/>
        <v>880949</v>
      </c>
      <c r="T64" s="77">
        <f>Population!CG305</f>
        <v>50694</v>
      </c>
      <c r="U64" s="82">
        <f>SUM(Population!H305:K305)</f>
        <v>63923</v>
      </c>
      <c r="V64" s="74">
        <f>Population!G305</f>
        <v>1471</v>
      </c>
      <c r="W64" s="76">
        <f t="shared" si="8"/>
        <v>116088</v>
      </c>
      <c r="Y64" s="233">
        <f t="shared" si="2"/>
        <v>997037</v>
      </c>
      <c r="Z64" s="38"/>
    </row>
    <row r="65" spans="1:29" s="229" customFormat="1" hidden="1">
      <c r="A65" s="58">
        <v>41275</v>
      </c>
      <c r="B65" s="58"/>
      <c r="C65" s="74">
        <f t="shared" si="7"/>
        <v>146717</v>
      </c>
      <c r="D65" s="74">
        <f>20151+1223</f>
        <v>21374</v>
      </c>
      <c r="E65" s="74">
        <v>34893</v>
      </c>
      <c r="F65" s="74">
        <v>780</v>
      </c>
      <c r="G65" s="143">
        <f>Population!DK306+Population!DL306</f>
        <v>203764</v>
      </c>
      <c r="H65" s="80">
        <f>Population!DM306+Population!DN306</f>
        <v>49501</v>
      </c>
      <c r="I65" s="74">
        <f>Population!DP306</f>
        <v>91447</v>
      </c>
      <c r="J65" s="74">
        <f>Population!DR306</f>
        <v>14659</v>
      </c>
      <c r="K65" s="74">
        <f>Population!DO306+Population!DT306</f>
        <v>472825</v>
      </c>
      <c r="L65" s="74">
        <f>Population!DS306</f>
        <v>34407</v>
      </c>
      <c r="M65" s="74"/>
      <c r="N65" s="143">
        <f t="shared" si="3"/>
        <v>662839</v>
      </c>
      <c r="O65" s="76"/>
      <c r="P65" s="76"/>
      <c r="Q65" s="76"/>
      <c r="R65" s="76">
        <f t="shared" si="0"/>
        <v>866603</v>
      </c>
      <c r="T65" s="77">
        <f>Population!CG306</f>
        <v>50809</v>
      </c>
      <c r="U65" s="82">
        <f>SUM(Population!H306:K306)</f>
        <v>63749</v>
      </c>
      <c r="V65" s="74">
        <f>Population!G306</f>
        <v>1468</v>
      </c>
      <c r="W65" s="76">
        <f t="shared" si="8"/>
        <v>116026</v>
      </c>
      <c r="Y65" s="233">
        <f t="shared" si="2"/>
        <v>982629</v>
      </c>
      <c r="Z65" s="38"/>
      <c r="AB65" s="234"/>
    </row>
    <row r="66" spans="1:29" s="229" customFormat="1" hidden="1">
      <c r="A66" s="58">
        <v>41306</v>
      </c>
      <c r="B66" s="58"/>
      <c r="C66" s="74">
        <f t="shared" si="7"/>
        <v>146756</v>
      </c>
      <c r="D66" s="74">
        <f>20174+1205</f>
        <v>21379</v>
      </c>
      <c r="E66" s="74">
        <v>34880</v>
      </c>
      <c r="F66" s="74">
        <v>806</v>
      </c>
      <c r="G66" s="143">
        <f>Population!DK307+Population!DL307</f>
        <v>203821</v>
      </c>
      <c r="H66" s="80">
        <f>Population!DM307+Population!DN307</f>
        <v>58022</v>
      </c>
      <c r="I66" s="74">
        <f>Population!DP307</f>
        <v>92549</v>
      </c>
      <c r="J66" s="74">
        <f>Population!DR307</f>
        <v>14934</v>
      </c>
      <c r="K66" s="74">
        <f>Population!DO307+Population!DT307</f>
        <v>475827</v>
      </c>
      <c r="L66" s="74">
        <f>Population!DS307</f>
        <v>35335</v>
      </c>
      <c r="M66" s="74"/>
      <c r="N66" s="143">
        <f t="shared" si="3"/>
        <v>676667</v>
      </c>
      <c r="O66" s="76"/>
      <c r="P66" s="76"/>
      <c r="Q66" s="76"/>
      <c r="R66" s="76">
        <f t="shared" si="0"/>
        <v>880488</v>
      </c>
      <c r="T66" s="77">
        <f>Population!CG307</f>
        <v>51156</v>
      </c>
      <c r="U66" s="82">
        <f>SUM(Population!H307:K307)</f>
        <v>64114</v>
      </c>
      <c r="V66" s="74">
        <f>Population!G307</f>
        <v>1476</v>
      </c>
      <c r="W66" s="76">
        <f t="shared" si="8"/>
        <v>116746</v>
      </c>
      <c r="Y66" s="233">
        <f t="shared" si="2"/>
        <v>997234</v>
      </c>
      <c r="Z66" s="38"/>
      <c r="AB66" s="234"/>
    </row>
    <row r="67" spans="1:29" s="229" customFormat="1" hidden="1">
      <c r="A67" s="58">
        <v>41334</v>
      </c>
      <c r="B67" s="58"/>
      <c r="C67" s="74">
        <f t="shared" si="7"/>
        <v>146778</v>
      </c>
      <c r="D67" s="74">
        <f>20125+1202</f>
        <v>21327</v>
      </c>
      <c r="E67" s="74">
        <v>35194</v>
      </c>
      <c r="F67" s="74">
        <v>820</v>
      </c>
      <c r="G67" s="143">
        <f>Population!DK308+Population!DL308</f>
        <v>204119</v>
      </c>
      <c r="H67" s="80">
        <f>Population!DM308+Population!DN308</f>
        <v>59348</v>
      </c>
      <c r="I67" s="74">
        <f>Population!DP308</f>
        <v>92522</v>
      </c>
      <c r="J67" s="74">
        <f>Population!DR308</f>
        <v>15005</v>
      </c>
      <c r="K67" s="74">
        <f>Population!DO308+Population!DT308</f>
        <v>476031</v>
      </c>
      <c r="L67" s="74">
        <f>Population!DS308</f>
        <v>36071</v>
      </c>
      <c r="M67" s="74"/>
      <c r="N67" s="143">
        <f t="shared" si="3"/>
        <v>678977</v>
      </c>
      <c r="O67" s="76"/>
      <c r="P67" s="76"/>
      <c r="Q67" s="76"/>
      <c r="R67" s="76">
        <f t="shared" si="0"/>
        <v>883096</v>
      </c>
      <c r="T67" s="77">
        <f>Population!CG308</f>
        <v>50656</v>
      </c>
      <c r="U67" s="82">
        <f>SUM(Population!H308:K308)</f>
        <v>63582</v>
      </c>
      <c r="V67" s="74">
        <f>Population!G308</f>
        <v>1518</v>
      </c>
      <c r="W67" s="76">
        <f t="shared" si="8"/>
        <v>115756</v>
      </c>
      <c r="Y67" s="233">
        <f t="shared" si="2"/>
        <v>998852</v>
      </c>
      <c r="Z67" s="38"/>
      <c r="AB67" s="234"/>
    </row>
    <row r="68" spans="1:29" s="229" customFormat="1" hidden="1">
      <c r="A68" s="58">
        <v>41365</v>
      </c>
      <c r="B68" s="58"/>
      <c r="C68" s="74">
        <f t="shared" si="7"/>
        <v>147615</v>
      </c>
      <c r="D68" s="74">
        <f>19983+1202</f>
        <v>21185</v>
      </c>
      <c r="E68" s="74">
        <v>35310</v>
      </c>
      <c r="F68" s="74">
        <v>811</v>
      </c>
      <c r="G68" s="143">
        <f>Population!DK309+Population!DL309</f>
        <v>204921</v>
      </c>
      <c r="H68" s="80">
        <f>Population!DM309+Population!DN309</f>
        <v>60263</v>
      </c>
      <c r="I68" s="74">
        <f>Population!DP309</f>
        <v>92912</v>
      </c>
      <c r="J68" s="74">
        <f>Population!DR309</f>
        <v>15287</v>
      </c>
      <c r="K68" s="74">
        <f>Population!DO309+Population!DT309</f>
        <v>476468</v>
      </c>
      <c r="L68" s="74">
        <f>Population!DS309</f>
        <v>37150</v>
      </c>
      <c r="M68" s="74"/>
      <c r="N68" s="143">
        <f t="shared" si="3"/>
        <v>682080</v>
      </c>
      <c r="O68" s="76"/>
      <c r="P68" s="76"/>
      <c r="Q68" s="76"/>
      <c r="R68" s="76">
        <f t="shared" si="0"/>
        <v>887001</v>
      </c>
      <c r="T68" s="77">
        <f>Population!CG309</f>
        <v>50405</v>
      </c>
      <c r="U68" s="82">
        <f>SUM(Population!H309:K309)</f>
        <v>63436</v>
      </c>
      <c r="V68" s="74">
        <f>Population!G309</f>
        <v>1544</v>
      </c>
      <c r="W68" s="76">
        <f t="shared" si="8"/>
        <v>115385</v>
      </c>
      <c r="Y68" s="233">
        <f t="shared" si="2"/>
        <v>1002386</v>
      </c>
      <c r="Z68" s="38"/>
      <c r="AB68" s="234"/>
    </row>
    <row r="69" spans="1:29" s="229" customFormat="1" hidden="1">
      <c r="A69" s="58">
        <v>41395</v>
      </c>
      <c r="B69" s="58"/>
      <c r="C69" s="74">
        <f t="shared" si="7"/>
        <v>147419</v>
      </c>
      <c r="D69" s="74">
        <f>19920+1199</f>
        <v>21119</v>
      </c>
      <c r="E69" s="74">
        <v>35602</v>
      </c>
      <c r="F69" s="74">
        <v>864</v>
      </c>
      <c r="G69" s="143">
        <f>Population!DK310+Population!DL310</f>
        <v>205004</v>
      </c>
      <c r="H69" s="80">
        <f>Population!DM310+Population!DN310</f>
        <v>60614</v>
      </c>
      <c r="I69" s="74">
        <f>Population!DP310</f>
        <v>93080</v>
      </c>
      <c r="J69" s="74">
        <f>Population!DR310</f>
        <v>15606</v>
      </c>
      <c r="K69" s="74">
        <f>Population!DO310+Population!DT310</f>
        <v>476620</v>
      </c>
      <c r="L69" s="74">
        <f>Population!DS310</f>
        <v>37889</v>
      </c>
      <c r="M69" s="74"/>
      <c r="N69" s="143">
        <f t="shared" si="3"/>
        <v>683809</v>
      </c>
      <c r="O69" s="76"/>
      <c r="P69" s="76"/>
      <c r="Q69" s="76"/>
      <c r="R69" s="76">
        <f t="shared" si="0"/>
        <v>888813</v>
      </c>
      <c r="T69" s="77">
        <f>Population!CG310</f>
        <v>50232</v>
      </c>
      <c r="U69" s="82">
        <f>SUM(Population!H310:K310)</f>
        <v>63214</v>
      </c>
      <c r="V69" s="74">
        <f>Population!G310</f>
        <v>1578</v>
      </c>
      <c r="W69" s="76">
        <f t="shared" si="8"/>
        <v>115024</v>
      </c>
      <c r="Y69" s="233">
        <f t="shared" si="2"/>
        <v>1003837</v>
      </c>
      <c r="Z69" s="38"/>
      <c r="AB69" s="234"/>
    </row>
    <row r="70" spans="1:29" s="229" customFormat="1" hidden="1">
      <c r="A70" s="58">
        <v>41426</v>
      </c>
      <c r="B70" s="58"/>
      <c r="C70" s="74">
        <f t="shared" si="7"/>
        <v>147140</v>
      </c>
      <c r="D70" s="74">
        <f>20003+1198</f>
        <v>21201</v>
      </c>
      <c r="E70" s="74">
        <v>35837</v>
      </c>
      <c r="F70" s="74">
        <v>866</v>
      </c>
      <c r="G70" s="143">
        <f>Population!DK311+Population!DL311</f>
        <v>205044</v>
      </c>
      <c r="H70" s="80">
        <f>Population!DM311+Population!DN311</f>
        <v>60773</v>
      </c>
      <c r="I70" s="74">
        <f>Population!DP311</f>
        <v>93211</v>
      </c>
      <c r="J70" s="74">
        <f>Population!DR311</f>
        <v>15746</v>
      </c>
      <c r="K70" s="74">
        <f>Population!DO311+Population!DT311</f>
        <v>476679</v>
      </c>
      <c r="L70" s="74">
        <f>Population!DS311</f>
        <v>38837</v>
      </c>
      <c r="M70" s="74"/>
      <c r="N70" s="143">
        <f t="shared" si="3"/>
        <v>685246</v>
      </c>
      <c r="O70" s="76"/>
      <c r="P70" s="76"/>
      <c r="Q70" s="76"/>
      <c r="R70" s="76">
        <f t="shared" si="0"/>
        <v>890290</v>
      </c>
      <c r="T70" s="77">
        <f>Population!CG311</f>
        <v>50169</v>
      </c>
      <c r="U70" s="82">
        <f>SUM(Population!H311:L311)</f>
        <v>63952</v>
      </c>
      <c r="V70" s="74">
        <f>Population!G311</f>
        <v>1616</v>
      </c>
      <c r="W70" s="76">
        <f t="shared" si="8"/>
        <v>115737</v>
      </c>
      <c r="Y70" s="233">
        <f t="shared" si="2"/>
        <v>1006027</v>
      </c>
      <c r="Z70" s="38"/>
      <c r="AB70" s="234"/>
    </row>
    <row r="71" spans="1:29" s="229" customFormat="1" ht="9.75" hidden="1" customHeight="1">
      <c r="A71" s="58"/>
      <c r="B71" s="58"/>
      <c r="C71" s="74"/>
      <c r="D71" s="74"/>
      <c r="E71" s="74"/>
      <c r="F71" s="74"/>
      <c r="G71" s="143"/>
      <c r="H71" s="80"/>
      <c r="I71" s="74"/>
      <c r="J71" s="74"/>
      <c r="K71" s="74"/>
      <c r="L71" s="74"/>
      <c r="M71" s="74"/>
      <c r="N71" s="143"/>
      <c r="O71" s="76"/>
      <c r="P71" s="76"/>
      <c r="Q71" s="76"/>
      <c r="R71" s="76"/>
      <c r="T71" s="77"/>
      <c r="U71" s="82"/>
      <c r="V71" s="74"/>
      <c r="W71" s="76"/>
      <c r="Y71" s="233"/>
      <c r="Z71" s="38"/>
    </row>
    <row r="72" spans="1:29" s="229" customFormat="1" hidden="1">
      <c r="A72" s="58">
        <v>41456</v>
      </c>
      <c r="B72" s="58"/>
      <c r="C72" s="74">
        <f t="shared" ref="C72:C83" si="9">G72-D72-E72-F72</f>
        <v>146412</v>
      </c>
      <c r="D72" s="74">
        <f>20011+1169</f>
        <v>21180</v>
      </c>
      <c r="E72" s="74">
        <v>36148</v>
      </c>
      <c r="F72" s="74">
        <v>897</v>
      </c>
      <c r="G72" s="143">
        <f>Population!DK312+Population!DL312</f>
        <v>204637</v>
      </c>
      <c r="H72" s="80">
        <f>Population!DM312+Population!DN312</f>
        <v>60849</v>
      </c>
      <c r="I72" s="74">
        <f>Population!DP312</f>
        <v>92678</v>
      </c>
      <c r="J72" s="74">
        <f>Population!DR312</f>
        <v>15860</v>
      </c>
      <c r="K72" s="74">
        <f>Population!DO312+Population!DT312</f>
        <v>474758</v>
      </c>
      <c r="L72" s="74">
        <f>Population!DS312</f>
        <v>39368</v>
      </c>
      <c r="M72" s="74"/>
      <c r="N72" s="143">
        <f t="shared" ref="N72:N135" si="10">SUM(H72:M72)</f>
        <v>683513</v>
      </c>
      <c r="O72" s="76"/>
      <c r="P72" s="76"/>
      <c r="Q72" s="76"/>
      <c r="R72" s="76">
        <f t="shared" ref="R72:R134" si="11">G72+N72+Q72</f>
        <v>888150</v>
      </c>
      <c r="T72" s="77">
        <f>Population!CG312</f>
        <v>49945</v>
      </c>
      <c r="U72" s="82">
        <f>SUM(Population!H312:L312)</f>
        <v>63692</v>
      </c>
      <c r="V72" s="74">
        <f>Population!G312</f>
        <v>1553</v>
      </c>
      <c r="W72" s="76">
        <f t="shared" ref="W72:W83" si="12">SUM(T72:V72)</f>
        <v>115190</v>
      </c>
      <c r="Y72" s="233">
        <f t="shared" ref="Y72:Y134" si="13">R72+W72</f>
        <v>1003340</v>
      </c>
      <c r="Z72" s="234"/>
      <c r="AA72" s="234"/>
      <c r="AB72" s="234"/>
    </row>
    <row r="73" spans="1:29" s="229" customFormat="1" hidden="1">
      <c r="A73" s="58">
        <v>41487</v>
      </c>
      <c r="B73" s="58"/>
      <c r="C73" s="74">
        <f t="shared" si="9"/>
        <v>146707</v>
      </c>
      <c r="D73" s="74">
        <f>19903+1198</f>
        <v>21101</v>
      </c>
      <c r="E73" s="74">
        <v>36391</v>
      </c>
      <c r="F73" s="74">
        <v>919</v>
      </c>
      <c r="G73" s="143">
        <f>Population!DK313+Population!DL313</f>
        <v>205118</v>
      </c>
      <c r="H73" s="80">
        <f>Population!DM313+Population!DN313</f>
        <v>60949</v>
      </c>
      <c r="I73" s="74">
        <f>Population!DP313</f>
        <v>92887</v>
      </c>
      <c r="J73" s="74">
        <f>Population!DR313</f>
        <v>16043</v>
      </c>
      <c r="K73" s="74">
        <f>Population!DO313+Population!DT313</f>
        <v>473859</v>
      </c>
      <c r="L73" s="74">
        <f>Population!DS313</f>
        <v>39924</v>
      </c>
      <c r="M73" s="74"/>
      <c r="N73" s="143">
        <f t="shared" si="10"/>
        <v>683662</v>
      </c>
      <c r="O73" s="76"/>
      <c r="P73" s="76"/>
      <c r="Q73" s="76"/>
      <c r="R73" s="76">
        <f t="shared" si="11"/>
        <v>888780</v>
      </c>
      <c r="T73" s="77">
        <f>Population!CG313</f>
        <v>49728</v>
      </c>
      <c r="U73" s="82">
        <f>SUM(Population!H313:L313)</f>
        <v>63442</v>
      </c>
      <c r="V73" s="74">
        <f>Population!G313</f>
        <v>1560</v>
      </c>
      <c r="W73" s="76">
        <f t="shared" si="12"/>
        <v>114730</v>
      </c>
      <c r="Y73" s="233">
        <f t="shared" si="13"/>
        <v>1003510</v>
      </c>
      <c r="Z73" s="234"/>
      <c r="AA73" s="234"/>
      <c r="AB73" s="234"/>
    </row>
    <row r="74" spans="1:29" s="229" customFormat="1" hidden="1">
      <c r="A74" s="58">
        <v>41518</v>
      </c>
      <c r="B74" s="58"/>
      <c r="C74" s="74">
        <f t="shared" si="9"/>
        <v>146862</v>
      </c>
      <c r="D74" s="74">
        <f>19864+1157</f>
        <v>21021</v>
      </c>
      <c r="E74" s="74">
        <v>36578</v>
      </c>
      <c r="F74" s="74">
        <v>927</v>
      </c>
      <c r="G74" s="143">
        <f>Population!DK314+Population!DL314</f>
        <v>205388</v>
      </c>
      <c r="H74" s="80">
        <f>Population!DM314+Population!DN314</f>
        <v>61146</v>
      </c>
      <c r="I74" s="74">
        <f>Population!DP314</f>
        <v>92841</v>
      </c>
      <c r="J74" s="74">
        <f>Population!DR314</f>
        <v>16123</v>
      </c>
      <c r="K74" s="74">
        <f>Population!DO314+Population!DT314</f>
        <v>472179</v>
      </c>
      <c r="L74" s="74">
        <f>Population!DS314</f>
        <v>40512</v>
      </c>
      <c r="M74" s="74"/>
      <c r="N74" s="143">
        <f t="shared" si="10"/>
        <v>682801</v>
      </c>
      <c r="O74" s="76"/>
      <c r="P74" s="76"/>
      <c r="Q74" s="76"/>
      <c r="R74" s="76">
        <f t="shared" si="11"/>
        <v>888189</v>
      </c>
      <c r="T74" s="77">
        <f>Population!CG314</f>
        <v>49823</v>
      </c>
      <c r="U74" s="82">
        <f>SUM(Population!H314:L314)</f>
        <v>63397</v>
      </c>
      <c r="V74" s="74">
        <f>Population!G314</f>
        <v>1549</v>
      </c>
      <c r="W74" s="76">
        <f t="shared" si="12"/>
        <v>114769</v>
      </c>
      <c r="Y74" s="233">
        <f t="shared" si="13"/>
        <v>1002958</v>
      </c>
      <c r="Z74" s="234"/>
      <c r="AA74" s="234"/>
      <c r="AB74" s="234"/>
    </row>
    <row r="75" spans="1:29" s="229" customFormat="1" hidden="1">
      <c r="A75" s="58">
        <v>41548</v>
      </c>
      <c r="B75" s="58"/>
      <c r="C75" s="74">
        <f t="shared" si="9"/>
        <v>146932</v>
      </c>
      <c r="D75" s="74">
        <f>19766+1144</f>
        <v>20910</v>
      </c>
      <c r="E75" s="74">
        <v>37018</v>
      </c>
      <c r="F75" s="74">
        <v>955</v>
      </c>
      <c r="G75" s="143">
        <f>Population!DK315+Population!DL315</f>
        <v>205815</v>
      </c>
      <c r="H75" s="80">
        <f>Population!DM315+Population!DN315</f>
        <v>61274</v>
      </c>
      <c r="I75" s="74">
        <f>Population!DP315</f>
        <v>93172</v>
      </c>
      <c r="J75" s="74">
        <f>Population!DR315</f>
        <v>15928</v>
      </c>
      <c r="K75" s="74">
        <f>Population!DO315+Population!DT315</f>
        <v>472229</v>
      </c>
      <c r="L75" s="74">
        <f>Population!DS315</f>
        <v>40859</v>
      </c>
      <c r="M75" s="74"/>
      <c r="N75" s="143">
        <f t="shared" si="10"/>
        <v>683462</v>
      </c>
      <c r="O75" s="76"/>
      <c r="P75" s="76"/>
      <c r="Q75" s="76"/>
      <c r="R75" s="76">
        <f t="shared" si="11"/>
        <v>889277</v>
      </c>
      <c r="T75" s="77">
        <f>Population!CG315</f>
        <v>50017</v>
      </c>
      <c r="U75" s="82">
        <f>SUM(Population!H315:L315)</f>
        <v>63450</v>
      </c>
      <c r="V75" s="74">
        <f>Population!G315</f>
        <v>1564</v>
      </c>
      <c r="W75" s="76">
        <f t="shared" si="12"/>
        <v>115031</v>
      </c>
      <c r="Y75" s="233">
        <f t="shared" si="13"/>
        <v>1004308</v>
      </c>
      <c r="Z75" s="234"/>
      <c r="AA75" s="234"/>
      <c r="AB75" s="234"/>
    </row>
    <row r="76" spans="1:29" s="229" customFormat="1" hidden="1">
      <c r="A76" s="58">
        <v>41579</v>
      </c>
      <c r="B76" s="58"/>
      <c r="C76" s="74">
        <f t="shared" si="9"/>
        <v>146939</v>
      </c>
      <c r="D76" s="74">
        <f>19804+1111</f>
        <v>20915</v>
      </c>
      <c r="E76" s="74">
        <v>37579</v>
      </c>
      <c r="F76" s="74">
        <v>985</v>
      </c>
      <c r="G76" s="143">
        <f>Population!DK316+Population!DL316</f>
        <v>206418</v>
      </c>
      <c r="H76" s="80">
        <f>Population!DM316+Population!DN316</f>
        <v>61664</v>
      </c>
      <c r="I76" s="74">
        <f>Population!DP316</f>
        <v>92982</v>
      </c>
      <c r="J76" s="74">
        <f>Population!DR316</f>
        <v>15521</v>
      </c>
      <c r="K76" s="74">
        <f>Population!DO316+Population!DT316</f>
        <v>473615</v>
      </c>
      <c r="L76" s="74">
        <f>Population!DS316</f>
        <v>41665</v>
      </c>
      <c r="M76" s="74"/>
      <c r="N76" s="143">
        <f t="shared" si="10"/>
        <v>685447</v>
      </c>
      <c r="O76" s="76"/>
      <c r="P76" s="76"/>
      <c r="Q76" s="76"/>
      <c r="R76" s="76">
        <f t="shared" si="11"/>
        <v>891865</v>
      </c>
      <c r="T76" s="77">
        <f>Population!CG316</f>
        <v>50755</v>
      </c>
      <c r="U76" s="82">
        <f>SUM(Population!H316:L316)</f>
        <v>63401</v>
      </c>
      <c r="V76" s="74">
        <f>Population!G316</f>
        <v>1508</v>
      </c>
      <c r="W76" s="76">
        <f t="shared" si="12"/>
        <v>115664</v>
      </c>
      <c r="Y76" s="233">
        <f t="shared" si="13"/>
        <v>1007529</v>
      </c>
      <c r="Z76" s="234"/>
      <c r="AA76" s="234"/>
      <c r="AB76" s="234"/>
      <c r="AC76" s="234"/>
    </row>
    <row r="77" spans="1:29" s="229" customFormat="1" hidden="1">
      <c r="A77" s="58">
        <v>41609</v>
      </c>
      <c r="B77" s="58"/>
      <c r="C77" s="74">
        <f t="shared" si="9"/>
        <v>146819</v>
      </c>
      <c r="D77" s="74">
        <f>19790+1103</f>
        <v>20893</v>
      </c>
      <c r="E77" s="74">
        <v>37948</v>
      </c>
      <c r="F77" s="74">
        <v>992</v>
      </c>
      <c r="G77" s="143">
        <f>Population!DK317+Population!DL317</f>
        <v>206652</v>
      </c>
      <c r="H77" s="80">
        <f>Population!DM317+Population!DN317</f>
        <v>61806</v>
      </c>
      <c r="I77" s="74">
        <f>Population!DP317</f>
        <v>91562</v>
      </c>
      <c r="J77" s="74">
        <f>Population!DR317</f>
        <v>14815</v>
      </c>
      <c r="K77" s="74">
        <f>Population!DO317+Population!DT317</f>
        <v>468172</v>
      </c>
      <c r="L77" s="74">
        <f>Population!DS317</f>
        <v>43020</v>
      </c>
      <c r="M77" s="74"/>
      <c r="N77" s="143">
        <f t="shared" si="10"/>
        <v>679375</v>
      </c>
      <c r="O77" s="76"/>
      <c r="P77" s="76"/>
      <c r="Q77" s="76"/>
      <c r="R77" s="76">
        <f t="shared" si="11"/>
        <v>886027</v>
      </c>
      <c r="T77" s="77">
        <f>Population!CG317</f>
        <v>50663</v>
      </c>
      <c r="U77" s="82">
        <f>SUM(Population!H317:L317)</f>
        <v>62715</v>
      </c>
      <c r="V77" s="74">
        <f>Population!G317</f>
        <v>1421</v>
      </c>
      <c r="W77" s="76">
        <f t="shared" si="12"/>
        <v>114799</v>
      </c>
      <c r="Y77" s="233">
        <f t="shared" si="13"/>
        <v>1000826</v>
      </c>
      <c r="Z77" s="234"/>
      <c r="AA77" s="234"/>
      <c r="AB77" s="234"/>
      <c r="AC77" s="234"/>
    </row>
    <row r="78" spans="1:29" s="229" customFormat="1" hidden="1">
      <c r="A78" s="58">
        <v>41640</v>
      </c>
      <c r="B78" s="58"/>
      <c r="C78" s="74">
        <f t="shared" si="9"/>
        <v>146570</v>
      </c>
      <c r="D78" s="74">
        <f>19476+1081</f>
        <v>20557</v>
      </c>
      <c r="E78" s="74">
        <v>38011</v>
      </c>
      <c r="F78" s="74">
        <v>998</v>
      </c>
      <c r="G78" s="143">
        <f>Population!DK318+Population!DL318</f>
        <v>206136</v>
      </c>
      <c r="H78" s="80">
        <f>Population!DM318+Population!DN318</f>
        <v>49747</v>
      </c>
      <c r="I78" s="74">
        <f>Population!DP318</f>
        <v>90780</v>
      </c>
      <c r="J78" s="74">
        <f>Population!DR318</f>
        <v>14474</v>
      </c>
      <c r="K78" s="74">
        <f>Population!DO318+Population!DT318</f>
        <v>464959</v>
      </c>
      <c r="L78" s="74">
        <f>Population!DS318</f>
        <v>44633</v>
      </c>
      <c r="M78" s="74"/>
      <c r="N78" s="143">
        <f t="shared" si="10"/>
        <v>664593</v>
      </c>
      <c r="O78" s="76"/>
      <c r="P78" s="76"/>
      <c r="Q78" s="76"/>
      <c r="R78" s="76">
        <f t="shared" si="11"/>
        <v>870729</v>
      </c>
      <c r="T78" s="77">
        <f>Population!CG318</f>
        <v>50743</v>
      </c>
      <c r="U78" s="82">
        <f>SUM(Population!H318:L318)</f>
        <v>64157</v>
      </c>
      <c r="V78" s="74">
        <f>Population!G318</f>
        <v>1351</v>
      </c>
      <c r="W78" s="76">
        <f t="shared" si="12"/>
        <v>116251</v>
      </c>
      <c r="Y78" s="233">
        <f t="shared" si="13"/>
        <v>986980</v>
      </c>
      <c r="Z78" s="234"/>
      <c r="AA78" s="141"/>
      <c r="AB78" s="234"/>
      <c r="AC78" s="234"/>
    </row>
    <row r="79" spans="1:29" s="229" customFormat="1" hidden="1">
      <c r="A79" s="58">
        <v>41671</v>
      </c>
      <c r="B79" s="58"/>
      <c r="C79" s="74">
        <f t="shared" si="9"/>
        <v>147325</v>
      </c>
      <c r="D79" s="74">
        <f>19549+1067</f>
        <v>20616</v>
      </c>
      <c r="E79" s="74">
        <v>37944</v>
      </c>
      <c r="F79" s="74">
        <v>1008</v>
      </c>
      <c r="G79" s="143">
        <f>Population!DK319+Population!DL319</f>
        <v>206893</v>
      </c>
      <c r="H79" s="80">
        <f>Population!DM319+Population!DN319</f>
        <v>58492</v>
      </c>
      <c r="I79" s="74">
        <f>Population!DP319</f>
        <v>91342</v>
      </c>
      <c r="J79" s="74">
        <f>Population!DR319</f>
        <v>14732</v>
      </c>
      <c r="K79" s="74">
        <f>Population!DO319+Population!DT319</f>
        <v>465376</v>
      </c>
      <c r="L79" s="74">
        <f>Population!DS319</f>
        <v>45644</v>
      </c>
      <c r="M79" s="74"/>
      <c r="N79" s="143">
        <f t="shared" si="10"/>
        <v>675586</v>
      </c>
      <c r="O79" s="76"/>
      <c r="P79" s="76"/>
      <c r="Q79" s="76"/>
      <c r="R79" s="76">
        <f t="shared" si="11"/>
        <v>882479</v>
      </c>
      <c r="T79" s="77">
        <f>Population!CG319</f>
        <v>50917</v>
      </c>
      <c r="U79" s="82">
        <f>SUM(Population!H319:L319)</f>
        <v>64483</v>
      </c>
      <c r="V79" s="74">
        <f>Population!G319</f>
        <v>1236</v>
      </c>
      <c r="W79" s="76">
        <f t="shared" si="12"/>
        <v>116636</v>
      </c>
      <c r="Y79" s="233">
        <f t="shared" si="13"/>
        <v>999115</v>
      </c>
      <c r="Z79" s="234"/>
      <c r="AB79" s="234"/>
      <c r="AC79" s="234"/>
    </row>
    <row r="80" spans="1:29" s="229" customFormat="1" hidden="1">
      <c r="A80" s="58">
        <v>41699</v>
      </c>
      <c r="B80" s="58"/>
      <c r="C80" s="74">
        <f t="shared" si="9"/>
        <v>148344</v>
      </c>
      <c r="D80" s="74">
        <f>19300+1051</f>
        <v>20351</v>
      </c>
      <c r="E80" s="74">
        <v>37758</v>
      </c>
      <c r="F80" s="74">
        <v>1036</v>
      </c>
      <c r="G80" s="143">
        <f>Population!DK320+Population!DL320</f>
        <v>207489</v>
      </c>
      <c r="H80" s="80">
        <f>Population!DM320+Population!DN320</f>
        <v>59348</v>
      </c>
      <c r="I80" s="74">
        <f>Population!DP320</f>
        <v>92170</v>
      </c>
      <c r="J80" s="74">
        <f>Population!DR320</f>
        <v>14772</v>
      </c>
      <c r="K80" s="74">
        <f>Population!DO320+Population!DT320</f>
        <v>466371</v>
      </c>
      <c r="L80" s="74">
        <f>Population!DS320</f>
        <v>47229</v>
      </c>
      <c r="M80" s="74"/>
      <c r="N80" s="143">
        <f t="shared" si="10"/>
        <v>679890</v>
      </c>
      <c r="O80" s="76"/>
      <c r="P80" s="76"/>
      <c r="Q80" s="76"/>
      <c r="R80" s="76">
        <f t="shared" si="11"/>
        <v>887379</v>
      </c>
      <c r="T80" s="77">
        <f>Population!CG320</f>
        <v>50888</v>
      </c>
      <c r="U80" s="82">
        <f>SUM(Population!H320:L320)</f>
        <v>62198</v>
      </c>
      <c r="V80" s="74">
        <f>Population!G320</f>
        <v>1014</v>
      </c>
      <c r="W80" s="76">
        <f t="shared" si="12"/>
        <v>114100</v>
      </c>
      <c r="Y80" s="233">
        <f t="shared" si="13"/>
        <v>1001479</v>
      </c>
      <c r="Z80" s="234"/>
      <c r="AB80" s="234"/>
      <c r="AC80" s="234"/>
    </row>
    <row r="81" spans="1:29" s="229" customFormat="1" hidden="1">
      <c r="A81" s="58">
        <v>41730</v>
      </c>
      <c r="B81" s="58"/>
      <c r="C81" s="74">
        <f t="shared" si="9"/>
        <v>147807</v>
      </c>
      <c r="D81" s="74">
        <f>19300+1035</f>
        <v>20335</v>
      </c>
      <c r="E81" s="74">
        <v>38206</v>
      </c>
      <c r="F81" s="74">
        <v>1032</v>
      </c>
      <c r="G81" s="143">
        <f>Population!DK321+Population!DL321</f>
        <v>207380</v>
      </c>
      <c r="H81" s="80">
        <f>Population!DM321+Population!DN321</f>
        <v>59911</v>
      </c>
      <c r="I81" s="74">
        <f>Population!DP321</f>
        <v>92969</v>
      </c>
      <c r="J81" s="74">
        <f>Population!DR321</f>
        <v>15120</v>
      </c>
      <c r="K81" s="74">
        <f>Population!DO321+Population!DT321</f>
        <v>466684</v>
      </c>
      <c r="L81" s="74">
        <f>Population!DS321</f>
        <v>49389</v>
      </c>
      <c r="M81" s="74"/>
      <c r="N81" s="143">
        <f t="shared" si="10"/>
        <v>684073</v>
      </c>
      <c r="O81" s="76"/>
      <c r="P81" s="76"/>
      <c r="Q81" s="76"/>
      <c r="R81" s="76">
        <f t="shared" si="11"/>
        <v>891453</v>
      </c>
      <c r="T81" s="77">
        <f>Population!CG321</f>
        <v>51150</v>
      </c>
      <c r="U81" s="82">
        <f>SUM(Population!H321:L321)</f>
        <v>61582</v>
      </c>
      <c r="V81" s="74">
        <f>Population!G321</f>
        <v>814</v>
      </c>
      <c r="W81" s="76">
        <f t="shared" si="12"/>
        <v>113546</v>
      </c>
      <c r="Y81" s="233">
        <f t="shared" si="13"/>
        <v>1004999</v>
      </c>
      <c r="Z81" s="234"/>
      <c r="AB81" s="234"/>
      <c r="AC81" s="234"/>
    </row>
    <row r="82" spans="1:29" s="229" customFormat="1" hidden="1">
      <c r="A82" s="58">
        <v>41760</v>
      </c>
      <c r="B82" s="58"/>
      <c r="C82" s="74">
        <f t="shared" si="9"/>
        <v>147770</v>
      </c>
      <c r="D82" s="74">
        <f>19487+1015</f>
        <v>20502</v>
      </c>
      <c r="E82" s="74">
        <v>38397</v>
      </c>
      <c r="F82" s="74">
        <v>1070</v>
      </c>
      <c r="G82" s="143">
        <f>Population!DK322+Population!DL322</f>
        <v>207739</v>
      </c>
      <c r="H82" s="80">
        <f>Population!DM322+Population!DN322</f>
        <v>60336</v>
      </c>
      <c r="I82" s="74">
        <f>Population!DP322</f>
        <v>93844</v>
      </c>
      <c r="J82" s="74">
        <f>Population!DR322</f>
        <v>15687</v>
      </c>
      <c r="K82" s="74">
        <f>Population!DO322+Population!DT322</f>
        <v>469007</v>
      </c>
      <c r="L82" s="74">
        <f>Population!DS322</f>
        <v>53627</v>
      </c>
      <c r="M82" s="74"/>
      <c r="N82" s="143">
        <f t="shared" si="10"/>
        <v>692501</v>
      </c>
      <c r="O82" s="76"/>
      <c r="P82" s="76"/>
      <c r="Q82" s="76"/>
      <c r="R82" s="76">
        <f t="shared" si="11"/>
        <v>900240</v>
      </c>
      <c r="T82" s="77">
        <f>Population!CG322</f>
        <v>51105</v>
      </c>
      <c r="U82" s="82">
        <f>SUM(Population!H322:L322)</f>
        <v>63660</v>
      </c>
      <c r="V82" s="74">
        <f>Population!G322</f>
        <v>634</v>
      </c>
      <c r="W82" s="76">
        <f t="shared" si="12"/>
        <v>115399</v>
      </c>
      <c r="Y82" s="233">
        <f t="shared" si="13"/>
        <v>1015639</v>
      </c>
      <c r="Z82" s="234"/>
      <c r="AB82" s="234"/>
      <c r="AC82" s="234"/>
    </row>
    <row r="83" spans="1:29" s="229" customFormat="1" hidden="1">
      <c r="A83" s="58">
        <v>41791</v>
      </c>
      <c r="B83" s="58"/>
      <c r="C83" s="74">
        <f t="shared" si="9"/>
        <v>147915</v>
      </c>
      <c r="D83" s="74">
        <f>19508+1018</f>
        <v>20526</v>
      </c>
      <c r="E83" s="74">
        <v>38864</v>
      </c>
      <c r="F83" s="74">
        <v>1111</v>
      </c>
      <c r="G83" s="143">
        <f>Population!DK323+Population!DL323</f>
        <v>208416</v>
      </c>
      <c r="H83" s="80">
        <f>Population!DM323+Population!DN323</f>
        <v>60592</v>
      </c>
      <c r="I83" s="74">
        <f>Population!DP323</f>
        <v>94396</v>
      </c>
      <c r="J83" s="74">
        <f>Population!DR323</f>
        <v>15993</v>
      </c>
      <c r="K83" s="74">
        <f>Population!DO323+Population!DT323</f>
        <v>469864</v>
      </c>
      <c r="L83" s="74">
        <f>Population!DS323</f>
        <v>57313</v>
      </c>
      <c r="M83" s="74"/>
      <c r="N83" s="143">
        <f t="shared" si="10"/>
        <v>698158</v>
      </c>
      <c r="O83" s="76"/>
      <c r="P83" s="76"/>
      <c r="Q83" s="76"/>
      <c r="R83" s="76">
        <f t="shared" si="11"/>
        <v>906574</v>
      </c>
      <c r="T83" s="77">
        <f>Population!CG323</f>
        <v>51131</v>
      </c>
      <c r="U83" s="82">
        <f>SUM(Population!H323:L323)</f>
        <v>64432</v>
      </c>
      <c r="V83" s="74">
        <f>Population!G323</f>
        <v>452</v>
      </c>
      <c r="W83" s="76">
        <f t="shared" si="12"/>
        <v>116015</v>
      </c>
      <c r="Y83" s="233">
        <f t="shared" si="13"/>
        <v>1022589</v>
      </c>
      <c r="AC83" s="234"/>
    </row>
    <row r="84" spans="1:29" s="229" customFormat="1" ht="7.5" hidden="1" customHeight="1">
      <c r="A84" s="58"/>
      <c r="B84" s="58"/>
      <c r="C84" s="74"/>
      <c r="D84" s="74"/>
      <c r="E84" s="74"/>
      <c r="F84" s="74"/>
      <c r="N84" s="143"/>
      <c r="R84" s="76"/>
      <c r="W84" s="76"/>
      <c r="Y84" s="233"/>
      <c r="AC84" s="234"/>
    </row>
    <row r="85" spans="1:29" s="229" customFormat="1" hidden="1">
      <c r="A85" s="58">
        <v>41821</v>
      </c>
      <c r="B85" s="58"/>
      <c r="C85" s="74">
        <f t="shared" ref="C85:C96" si="14">G85-D85-E85-F85</f>
        <v>147516</v>
      </c>
      <c r="D85" s="74">
        <f>19643+1002</f>
        <v>20645</v>
      </c>
      <c r="E85" s="74">
        <v>39290</v>
      </c>
      <c r="F85" s="74">
        <v>1127</v>
      </c>
      <c r="G85" s="143">
        <f>Population!DK324+Population!DL324</f>
        <v>208578</v>
      </c>
      <c r="H85" s="80">
        <f>Population!DM324+Population!DN324</f>
        <v>61111</v>
      </c>
      <c r="I85" s="74">
        <f>Population!DP324</f>
        <v>94692</v>
      </c>
      <c r="J85" s="74">
        <f>Population!DR324</f>
        <v>16411</v>
      </c>
      <c r="K85" s="74">
        <f>Population!DO324+Population!DT324</f>
        <v>469544</v>
      </c>
      <c r="L85" s="74">
        <f>Population!DS324</f>
        <v>60483</v>
      </c>
      <c r="M85" s="74">
        <f>Population!DQ324</f>
        <v>0</v>
      </c>
      <c r="N85" s="143">
        <f t="shared" si="10"/>
        <v>702241</v>
      </c>
      <c r="O85" s="76"/>
      <c r="P85" s="76"/>
      <c r="Q85" s="76"/>
      <c r="R85" s="76">
        <f t="shared" si="11"/>
        <v>910819</v>
      </c>
      <c r="T85" s="77">
        <f>Population!CG324</f>
        <v>51046</v>
      </c>
      <c r="U85" s="82">
        <f>SUM(Population!H324:L324,Population!O324)</f>
        <v>64447</v>
      </c>
      <c r="V85" s="74">
        <f>Population!G324</f>
        <v>287</v>
      </c>
      <c r="W85" s="76">
        <f t="shared" ref="W85:W96" si="15">SUM(T85:V85)</f>
        <v>115780</v>
      </c>
      <c r="Y85" s="233">
        <f t="shared" si="13"/>
        <v>1026599</v>
      </c>
      <c r="AC85" s="234"/>
    </row>
    <row r="86" spans="1:29" s="229" customFormat="1" hidden="1">
      <c r="A86" s="58">
        <v>41852</v>
      </c>
      <c r="B86" s="58"/>
      <c r="C86" s="74">
        <f t="shared" si="14"/>
        <v>147501</v>
      </c>
      <c r="D86" s="74">
        <f>19462+997</f>
        <v>20459</v>
      </c>
      <c r="E86" s="74">
        <v>39489</v>
      </c>
      <c r="F86" s="74">
        <v>1146</v>
      </c>
      <c r="G86" s="143">
        <f>Population!DK325+Population!DL325</f>
        <v>208595</v>
      </c>
      <c r="H86" s="80">
        <f>Population!DM325+Population!DN325</f>
        <v>61405</v>
      </c>
      <c r="I86" s="74">
        <f>Population!DP325</f>
        <v>95134</v>
      </c>
      <c r="J86" s="74">
        <f>Population!DR325</f>
        <v>16740</v>
      </c>
      <c r="K86" s="74">
        <f>Population!DO325+Population!DT325</f>
        <v>469038</v>
      </c>
      <c r="L86" s="74">
        <f>Population!DS325</f>
        <v>63294</v>
      </c>
      <c r="M86" s="74">
        <f>Population!DQ325</f>
        <v>0</v>
      </c>
      <c r="N86" s="143">
        <f t="shared" si="10"/>
        <v>705611</v>
      </c>
      <c r="O86" s="76"/>
      <c r="P86" s="76"/>
      <c r="Q86" s="76"/>
      <c r="R86" s="76">
        <f t="shared" si="11"/>
        <v>914206</v>
      </c>
      <c r="T86" s="77">
        <f>Population!CG325</f>
        <v>50421</v>
      </c>
      <c r="U86" s="82">
        <f>SUM(Population!H325:L325,Population!O325)</f>
        <v>64392</v>
      </c>
      <c r="V86" s="74">
        <f>Population!G325</f>
        <v>170</v>
      </c>
      <c r="W86" s="76">
        <f t="shared" si="15"/>
        <v>114983</v>
      </c>
      <c r="Y86" s="233">
        <f t="shared" si="13"/>
        <v>1029189</v>
      </c>
      <c r="AC86" s="234"/>
    </row>
    <row r="87" spans="1:29" s="229" customFormat="1" hidden="1">
      <c r="A87" s="58">
        <v>41883</v>
      </c>
      <c r="B87" s="58"/>
      <c r="C87" s="74">
        <f t="shared" si="14"/>
        <v>147114</v>
      </c>
      <c r="D87" s="74">
        <f>19569+974</f>
        <v>20543</v>
      </c>
      <c r="E87" s="74">
        <v>39720</v>
      </c>
      <c r="F87" s="74">
        <v>1163</v>
      </c>
      <c r="G87" s="143">
        <f>Population!DK326+Population!DL326</f>
        <v>208540</v>
      </c>
      <c r="H87" s="80">
        <f>Population!DM326+Population!DN326</f>
        <v>61469</v>
      </c>
      <c r="I87" s="74">
        <f>Population!DP326</f>
        <v>94449</v>
      </c>
      <c r="J87" s="74">
        <f>Population!DR326</f>
        <v>16726</v>
      </c>
      <c r="K87" s="74">
        <f>Population!DO326+Population!DT326</f>
        <v>463254</v>
      </c>
      <c r="L87" s="74">
        <f>Population!DS326</f>
        <v>65612</v>
      </c>
      <c r="M87" s="74">
        <f>Population!DQ326</f>
        <v>0</v>
      </c>
      <c r="N87" s="143">
        <f t="shared" si="10"/>
        <v>701510</v>
      </c>
      <c r="O87" s="76"/>
      <c r="P87" s="76"/>
      <c r="Q87" s="76"/>
      <c r="R87" s="76">
        <f t="shared" si="11"/>
        <v>910050</v>
      </c>
      <c r="T87" s="77">
        <f>Population!CG326</f>
        <v>48922</v>
      </c>
      <c r="U87" s="82">
        <f>SUM(Population!H326:L326,Population!O326)</f>
        <v>63559</v>
      </c>
      <c r="V87" s="74">
        <f>Population!G326</f>
        <v>83</v>
      </c>
      <c r="W87" s="76">
        <f t="shared" si="15"/>
        <v>112564</v>
      </c>
      <c r="Y87" s="233">
        <f t="shared" si="13"/>
        <v>1022614</v>
      </c>
      <c r="AC87" s="234"/>
    </row>
    <row r="88" spans="1:29" s="229" customFormat="1" hidden="1">
      <c r="A88" s="58">
        <v>41913</v>
      </c>
      <c r="B88" s="58"/>
      <c r="C88" s="74">
        <f t="shared" si="14"/>
        <v>147288</v>
      </c>
      <c r="D88" s="74">
        <f>19588+979</f>
        <v>20567</v>
      </c>
      <c r="E88" s="74">
        <v>40187</v>
      </c>
      <c r="F88" s="74">
        <v>1189</v>
      </c>
      <c r="G88" s="143">
        <f>Population!DK327+Population!DL327</f>
        <v>209231</v>
      </c>
      <c r="H88" s="80">
        <f>Population!DM327+Population!DN327</f>
        <v>61561</v>
      </c>
      <c r="I88" s="74">
        <f>Population!DP327</f>
        <v>95547</v>
      </c>
      <c r="J88" s="74">
        <f>Population!DR327</f>
        <v>16573</v>
      </c>
      <c r="K88" s="74">
        <f>Population!DO327+Population!DT327</f>
        <v>467755</v>
      </c>
      <c r="L88" s="74">
        <f>Population!DS327</f>
        <v>69148</v>
      </c>
      <c r="M88" s="74">
        <f>Population!DQ327</f>
        <v>0</v>
      </c>
      <c r="N88" s="143">
        <f t="shared" si="10"/>
        <v>710584</v>
      </c>
      <c r="O88" s="76"/>
      <c r="P88" s="76"/>
      <c r="Q88" s="76"/>
      <c r="R88" s="76">
        <f t="shared" si="11"/>
        <v>919815</v>
      </c>
      <c r="T88" s="77">
        <f>Population!CG327</f>
        <v>48799</v>
      </c>
      <c r="U88" s="82">
        <f>SUM(Population!H327:L327,Population!O327)</f>
        <v>63309</v>
      </c>
      <c r="V88" s="74">
        <f>Population!G327</f>
        <v>23</v>
      </c>
      <c r="W88" s="76">
        <f t="shared" si="15"/>
        <v>112131</v>
      </c>
      <c r="Y88" s="233">
        <f t="shared" si="13"/>
        <v>1031946</v>
      </c>
      <c r="AC88" s="234"/>
    </row>
    <row r="89" spans="1:29" s="229" customFormat="1" hidden="1">
      <c r="A89" s="58">
        <v>41944</v>
      </c>
      <c r="B89" s="58"/>
      <c r="C89" s="74">
        <f t="shared" si="14"/>
        <v>147775</v>
      </c>
      <c r="D89" s="74">
        <f>19705+971</f>
        <v>20676</v>
      </c>
      <c r="E89" s="74">
        <v>40357</v>
      </c>
      <c r="F89" s="74">
        <v>1198</v>
      </c>
      <c r="G89" s="143">
        <f>Population!DK328+Population!DL328</f>
        <v>210006</v>
      </c>
      <c r="H89" s="80">
        <f>Population!DM328+Population!DN328</f>
        <v>61759</v>
      </c>
      <c r="I89" s="74">
        <f>Population!DP328</f>
        <v>96993</v>
      </c>
      <c r="J89" s="74">
        <f>Population!DR328</f>
        <v>16492</v>
      </c>
      <c r="K89" s="74">
        <f>Population!DO328+Population!DT328</f>
        <v>472337</v>
      </c>
      <c r="L89" s="74">
        <f>Population!DS328</f>
        <v>73679</v>
      </c>
      <c r="M89" s="74">
        <f>Population!DQ328</f>
        <v>0</v>
      </c>
      <c r="N89" s="143">
        <f t="shared" si="10"/>
        <v>721260</v>
      </c>
      <c r="O89" s="76"/>
      <c r="P89" s="76"/>
      <c r="Q89" s="76"/>
      <c r="R89" s="76">
        <f t="shared" si="11"/>
        <v>931266</v>
      </c>
      <c r="T89" s="77">
        <f>Population!CG328</f>
        <v>48257</v>
      </c>
      <c r="U89" s="82">
        <f>SUM(Population!H328:L328,Population!O328)</f>
        <v>62828</v>
      </c>
      <c r="V89" s="74">
        <f>Population!G328</f>
        <v>7</v>
      </c>
      <c r="W89" s="76">
        <f t="shared" si="15"/>
        <v>111092</v>
      </c>
      <c r="Y89" s="233">
        <f t="shared" si="13"/>
        <v>1042358</v>
      </c>
      <c r="AC89" s="234"/>
    </row>
    <row r="90" spans="1:29" s="229" customFormat="1" hidden="1">
      <c r="A90" s="58">
        <v>41974</v>
      </c>
      <c r="B90" s="58"/>
      <c r="C90" s="74">
        <f t="shared" si="14"/>
        <v>147696</v>
      </c>
      <c r="D90" s="74">
        <f>19532+961</f>
        <v>20493</v>
      </c>
      <c r="E90" s="74">
        <v>40657</v>
      </c>
      <c r="F90" s="74">
        <v>1205</v>
      </c>
      <c r="G90" s="143">
        <f>Population!DK329+Population!DL329</f>
        <v>210051</v>
      </c>
      <c r="H90" s="80">
        <f>Population!DM329+Population!DN329</f>
        <v>61696</v>
      </c>
      <c r="I90" s="74">
        <f>Population!DP329</f>
        <v>97084</v>
      </c>
      <c r="J90" s="74">
        <f>Population!DR329</f>
        <v>15949</v>
      </c>
      <c r="K90" s="74">
        <f>Population!DO329+Population!DT329</f>
        <v>470119</v>
      </c>
      <c r="L90" s="74">
        <f>Population!DS329</f>
        <v>75438</v>
      </c>
      <c r="M90" s="74">
        <f>Population!DQ329</f>
        <v>0</v>
      </c>
      <c r="N90" s="143">
        <f t="shared" si="10"/>
        <v>720286</v>
      </c>
      <c r="O90" s="76"/>
      <c r="P90" s="76"/>
      <c r="Q90" s="76"/>
      <c r="R90" s="76">
        <f t="shared" si="11"/>
        <v>930337</v>
      </c>
      <c r="T90" s="77">
        <f>Population!CG329</f>
        <v>47393</v>
      </c>
      <c r="U90" s="82">
        <f>SUM(Population!H329:L329,Population!O329)</f>
        <v>62234</v>
      </c>
      <c r="V90" s="74">
        <f>Population!G329</f>
        <v>3</v>
      </c>
      <c r="W90" s="76">
        <f t="shared" si="15"/>
        <v>109630</v>
      </c>
      <c r="Y90" s="233">
        <f t="shared" si="13"/>
        <v>1039967</v>
      </c>
      <c r="AC90" s="234"/>
    </row>
    <row r="91" spans="1:29" s="229" customFormat="1" hidden="1">
      <c r="A91" s="58">
        <v>42005</v>
      </c>
      <c r="B91" s="58"/>
      <c r="C91" s="74">
        <f t="shared" si="14"/>
        <v>147319</v>
      </c>
      <c r="D91" s="74">
        <f>19637+952</f>
        <v>20589</v>
      </c>
      <c r="E91" s="74">
        <v>40947</v>
      </c>
      <c r="F91" s="74">
        <v>1219</v>
      </c>
      <c r="G91" s="143">
        <f>Population!DK330+Population!DL330</f>
        <v>210074</v>
      </c>
      <c r="H91" s="80">
        <f>Population!DM330+Population!DN330</f>
        <v>50129</v>
      </c>
      <c r="I91" s="74">
        <f>Population!DP330</f>
        <v>97143</v>
      </c>
      <c r="J91" s="74">
        <f>Population!DR330</f>
        <v>15930</v>
      </c>
      <c r="K91" s="74">
        <f>Population!DO330+Population!DT330</f>
        <v>469599</v>
      </c>
      <c r="L91" s="74">
        <f>Population!DS330</f>
        <v>76649</v>
      </c>
      <c r="M91" s="74">
        <f>Population!DQ330</f>
        <v>0</v>
      </c>
      <c r="N91" s="143">
        <f t="shared" si="10"/>
        <v>709450</v>
      </c>
      <c r="O91" s="76"/>
      <c r="P91" s="76"/>
      <c r="Q91" s="76"/>
      <c r="R91" s="76">
        <f t="shared" si="11"/>
        <v>919524</v>
      </c>
      <c r="T91" s="77">
        <f>Population!CG330</f>
        <v>46690</v>
      </c>
      <c r="U91" s="82">
        <f>SUM(Population!H330:L330,Population!O330)</f>
        <v>62034</v>
      </c>
      <c r="V91" s="74">
        <f>Population!G330</f>
        <v>173</v>
      </c>
      <c r="W91" s="76">
        <f t="shared" si="15"/>
        <v>108897</v>
      </c>
      <c r="Y91" s="233">
        <f t="shared" si="13"/>
        <v>1028421</v>
      </c>
      <c r="AC91" s="234"/>
    </row>
    <row r="92" spans="1:29" s="229" customFormat="1" hidden="1">
      <c r="A92" s="58">
        <v>42036</v>
      </c>
      <c r="B92" s="58"/>
      <c r="C92" s="74">
        <f t="shared" si="14"/>
        <v>147799</v>
      </c>
      <c r="D92" s="74">
        <f>19353+937</f>
        <v>20290</v>
      </c>
      <c r="E92" s="74">
        <v>41112</v>
      </c>
      <c r="F92" s="74">
        <v>1242</v>
      </c>
      <c r="G92" s="143">
        <f>Population!DK331+Population!DL331</f>
        <v>210443</v>
      </c>
      <c r="H92" s="80">
        <f>Population!DM331+Population!DN331</f>
        <v>58759</v>
      </c>
      <c r="I92" s="74">
        <f>Population!DP331</f>
        <v>98712</v>
      </c>
      <c r="J92" s="74">
        <f>Population!DR331</f>
        <v>16419</v>
      </c>
      <c r="K92" s="74">
        <f>Population!DO331+Population!DT331</f>
        <v>474765</v>
      </c>
      <c r="L92" s="74">
        <f>Population!DS331</f>
        <v>81157</v>
      </c>
      <c r="M92" s="74">
        <f>Population!DQ331</f>
        <v>112</v>
      </c>
      <c r="N92" s="143">
        <f t="shared" si="10"/>
        <v>729924</v>
      </c>
      <c r="O92" s="76"/>
      <c r="P92" s="76"/>
      <c r="Q92" s="76"/>
      <c r="R92" s="76">
        <f t="shared" si="11"/>
        <v>940367</v>
      </c>
      <c r="T92" s="77">
        <f>Population!CG331</f>
        <v>46946</v>
      </c>
      <c r="U92" s="82">
        <f>SUM(Population!H331:L331,Population!O331)</f>
        <v>62103</v>
      </c>
      <c r="V92" s="74">
        <f>Population!G331</f>
        <v>326</v>
      </c>
      <c r="W92" s="76">
        <f t="shared" si="15"/>
        <v>109375</v>
      </c>
      <c r="Y92" s="233">
        <f t="shared" si="13"/>
        <v>1049742</v>
      </c>
      <c r="AC92" s="234"/>
    </row>
    <row r="93" spans="1:29" s="229" customFormat="1" hidden="1">
      <c r="A93" s="58">
        <v>42064</v>
      </c>
      <c r="B93" s="58"/>
      <c r="C93" s="74">
        <f t="shared" si="14"/>
        <v>147881</v>
      </c>
      <c r="D93" s="74">
        <f>19161+957</f>
        <v>20118</v>
      </c>
      <c r="E93" s="74">
        <v>41271</v>
      </c>
      <c r="F93" s="74">
        <v>1249</v>
      </c>
      <c r="G93" s="143">
        <f>Population!DK332+Population!DL332</f>
        <v>210519</v>
      </c>
      <c r="H93" s="80">
        <f>Population!DM332+Population!DN332</f>
        <v>59756</v>
      </c>
      <c r="I93" s="74">
        <f>Population!DP332</f>
        <v>99223</v>
      </c>
      <c r="J93" s="74">
        <f>Population!DR332</f>
        <v>16147</v>
      </c>
      <c r="K93" s="74">
        <f>Population!DO332+Population!DT332</f>
        <v>476568</v>
      </c>
      <c r="L93" s="74">
        <f>Population!DS332</f>
        <v>86314</v>
      </c>
      <c r="M93" s="74">
        <f>Population!DQ332</f>
        <v>696</v>
      </c>
      <c r="N93" s="143">
        <f t="shared" si="10"/>
        <v>738704</v>
      </c>
      <c r="O93" s="76"/>
      <c r="P93" s="76"/>
      <c r="Q93" s="76"/>
      <c r="R93" s="76">
        <f t="shared" si="11"/>
        <v>949223</v>
      </c>
      <c r="T93" s="77">
        <f>Population!CG332</f>
        <v>47065</v>
      </c>
      <c r="U93" s="82">
        <f>SUM(Population!H332:L332,Population!O332)</f>
        <v>61239</v>
      </c>
      <c r="V93" s="74">
        <f>Population!G332</f>
        <v>493</v>
      </c>
      <c r="W93" s="76">
        <f t="shared" si="15"/>
        <v>108797</v>
      </c>
      <c r="Y93" s="233">
        <f t="shared" si="13"/>
        <v>1058020</v>
      </c>
      <c r="AC93" s="234"/>
    </row>
    <row r="94" spans="1:29" s="229" customFormat="1" hidden="1">
      <c r="A94" s="58">
        <v>42095</v>
      </c>
      <c r="B94" s="58"/>
      <c r="C94" s="74">
        <f t="shared" si="14"/>
        <v>148659</v>
      </c>
      <c r="D94" s="74">
        <f>19256+873</f>
        <v>20129</v>
      </c>
      <c r="E94" s="74">
        <v>41377</v>
      </c>
      <c r="F94" s="74">
        <v>1256</v>
      </c>
      <c r="G94" s="143">
        <f>Population!DK333+Population!DL333</f>
        <v>211421</v>
      </c>
      <c r="H94" s="80">
        <f>Population!DM333+Population!DN333</f>
        <v>60429</v>
      </c>
      <c r="I94" s="74">
        <f>Population!DP333</f>
        <v>101178</v>
      </c>
      <c r="J94" s="74">
        <f>Population!DR333</f>
        <v>16367</v>
      </c>
      <c r="K94" s="74">
        <f>Population!DO333+Population!DT333</f>
        <v>482409</v>
      </c>
      <c r="L94" s="74">
        <f>Population!DS333</f>
        <v>91902</v>
      </c>
      <c r="M94" s="74">
        <f>Population!DQ333</f>
        <v>1671</v>
      </c>
      <c r="N94" s="143">
        <f t="shared" si="10"/>
        <v>753956</v>
      </c>
      <c r="O94" s="76"/>
      <c r="P94" s="76"/>
      <c r="Q94" s="76"/>
      <c r="R94" s="76">
        <f t="shared" si="11"/>
        <v>965377</v>
      </c>
      <c r="T94" s="77">
        <f>Population!CG333</f>
        <v>47507</v>
      </c>
      <c r="U94" s="82">
        <f>SUM(Population!H333:L333,Population!O333)</f>
        <v>60027</v>
      </c>
      <c r="V94" s="74">
        <f>Population!G333</f>
        <v>658</v>
      </c>
      <c r="W94" s="76">
        <f t="shared" si="15"/>
        <v>108192</v>
      </c>
      <c r="Y94" s="233">
        <f t="shared" si="13"/>
        <v>1073569</v>
      </c>
      <c r="AC94" s="234"/>
    </row>
    <row r="95" spans="1:29" s="229" customFormat="1" hidden="1">
      <c r="A95" s="58">
        <v>42125</v>
      </c>
      <c r="B95" s="58"/>
      <c r="C95" s="74">
        <f t="shared" si="14"/>
        <v>148666</v>
      </c>
      <c r="D95" s="74">
        <f>19189+904</f>
        <v>20093</v>
      </c>
      <c r="E95" s="74">
        <v>41493</v>
      </c>
      <c r="F95" s="74">
        <v>1273</v>
      </c>
      <c r="G95" s="143">
        <f>Population!DK334+Population!DL334</f>
        <v>211525</v>
      </c>
      <c r="H95" s="80">
        <f>Population!DM334+Population!DN334</f>
        <v>60909</v>
      </c>
      <c r="I95" s="74">
        <f>Population!DP334</f>
        <v>101753</v>
      </c>
      <c r="J95" s="74">
        <f>Population!DR334</f>
        <v>16742</v>
      </c>
      <c r="K95" s="74">
        <f>Population!DO334+Population!DT334</f>
        <v>485517</v>
      </c>
      <c r="L95" s="74">
        <f>Population!DS334</f>
        <v>96151</v>
      </c>
      <c r="M95" s="74">
        <f>Population!DQ334</f>
        <v>2464</v>
      </c>
      <c r="N95" s="143">
        <f t="shared" si="10"/>
        <v>763536</v>
      </c>
      <c r="O95" s="76"/>
      <c r="P95" s="76"/>
      <c r="Q95" s="76"/>
      <c r="R95" s="76">
        <f t="shared" si="11"/>
        <v>975061</v>
      </c>
      <c r="T95" s="77">
        <f>Population!CG334</f>
        <v>48182</v>
      </c>
      <c r="U95" s="82">
        <f>SUM(Population!H334:L334,Population!O334)</f>
        <v>57645</v>
      </c>
      <c r="V95" s="74">
        <f>Population!G334</f>
        <v>807</v>
      </c>
      <c r="W95" s="76">
        <f t="shared" si="15"/>
        <v>106634</v>
      </c>
      <c r="Y95" s="233">
        <f t="shared" si="13"/>
        <v>1081695</v>
      </c>
      <c r="AC95" s="234"/>
    </row>
    <row r="96" spans="1:29" s="229" customFormat="1" hidden="1">
      <c r="A96" s="58">
        <v>42156</v>
      </c>
      <c r="B96" s="58"/>
      <c r="C96" s="74">
        <f t="shared" si="14"/>
        <v>148152</v>
      </c>
      <c r="D96" s="74">
        <f>19282+910</f>
        <v>20192</v>
      </c>
      <c r="E96" s="74">
        <v>41820</v>
      </c>
      <c r="F96" s="74">
        <v>1236</v>
      </c>
      <c r="G96" s="143">
        <f>Population!DK335+Population!DL335</f>
        <v>211400</v>
      </c>
      <c r="H96" s="80">
        <f>Population!DM335+Population!DN335</f>
        <v>61051</v>
      </c>
      <c r="I96" s="74">
        <f>Population!DP335</f>
        <v>101932</v>
      </c>
      <c r="J96" s="74">
        <f>Population!DR335</f>
        <v>16567</v>
      </c>
      <c r="K96" s="74">
        <f>Population!DO335+Population!DT335</f>
        <v>487820</v>
      </c>
      <c r="L96" s="74">
        <f>Population!DS335</f>
        <v>99698</v>
      </c>
      <c r="M96" s="74">
        <f>Population!DQ335</f>
        <v>3154</v>
      </c>
      <c r="N96" s="143">
        <f t="shared" si="10"/>
        <v>770222</v>
      </c>
      <c r="O96" s="76"/>
      <c r="P96" s="76"/>
      <c r="Q96" s="76"/>
      <c r="R96" s="76">
        <f t="shared" si="11"/>
        <v>981622</v>
      </c>
      <c r="T96" s="77">
        <f>Population!CG335</f>
        <v>48765</v>
      </c>
      <c r="U96" s="82">
        <f>SUM(Population!H335:L335,Population!O335)</f>
        <v>57053</v>
      </c>
      <c r="V96" s="74">
        <f>Population!G335</f>
        <v>885</v>
      </c>
      <c r="W96" s="76">
        <f t="shared" si="15"/>
        <v>106703</v>
      </c>
      <c r="Y96" s="233">
        <f t="shared" si="13"/>
        <v>1088325</v>
      </c>
      <c r="AC96" s="234"/>
    </row>
    <row r="97" spans="1:29" s="229" customFormat="1" ht="7.5" hidden="1" customHeight="1">
      <c r="A97" s="58"/>
      <c r="B97" s="58"/>
      <c r="C97" s="74"/>
      <c r="D97" s="74"/>
      <c r="E97" s="74"/>
      <c r="F97" s="74"/>
      <c r="N97" s="143"/>
      <c r="O97" s="74"/>
      <c r="P97" s="74"/>
      <c r="Q97" s="74"/>
      <c r="R97" s="76"/>
      <c r="Y97" s="233"/>
      <c r="AC97" s="234"/>
    </row>
    <row r="98" spans="1:29" s="229" customFormat="1" ht="12.75" hidden="1" customHeight="1">
      <c r="A98" s="58">
        <v>42186</v>
      </c>
      <c r="B98" s="58"/>
      <c r="C98" s="74">
        <f t="shared" ref="C98:C122" si="16">G98-D98-E98-F98</f>
        <v>148150</v>
      </c>
      <c r="D98" s="74">
        <f>19316+869</f>
        <v>20185</v>
      </c>
      <c r="E98" s="74">
        <v>41907</v>
      </c>
      <c r="F98" s="74">
        <v>1286</v>
      </c>
      <c r="G98" s="143">
        <f>Population!DK336+Population!DL336</f>
        <v>211528</v>
      </c>
      <c r="H98" s="80">
        <f>Population!DM336+Population!DN336</f>
        <v>61328</v>
      </c>
      <c r="I98" s="74">
        <f>Population!DP336</f>
        <v>101775</v>
      </c>
      <c r="J98" s="74">
        <f>Population!DR336</f>
        <v>16698</v>
      </c>
      <c r="K98" s="74">
        <f>Population!DO336+Population!DT336</f>
        <v>486525</v>
      </c>
      <c r="L98" s="74">
        <f>Population!DS336</f>
        <v>103046</v>
      </c>
      <c r="M98" s="74">
        <f>Population!DQ336</f>
        <v>3734</v>
      </c>
      <c r="N98" s="143">
        <f t="shared" si="10"/>
        <v>773106</v>
      </c>
      <c r="O98" s="74"/>
      <c r="P98" s="74"/>
      <c r="Q98" s="74"/>
      <c r="R98" s="76">
        <f t="shared" si="11"/>
        <v>984634</v>
      </c>
      <c r="T98" s="77">
        <f>Population!CG336</f>
        <v>49018</v>
      </c>
      <c r="U98" s="82">
        <f>SUM(Population!H336:L336,Population!O336)</f>
        <v>57695</v>
      </c>
      <c r="V98" s="74">
        <f>Population!G336</f>
        <v>937</v>
      </c>
      <c r="W98" s="76">
        <f t="shared" ref="W98:W108" si="17">SUM(T98:V98)</f>
        <v>107650</v>
      </c>
      <c r="Y98" s="233">
        <f t="shared" si="13"/>
        <v>1092284</v>
      </c>
      <c r="AC98" s="234"/>
    </row>
    <row r="99" spans="1:29" s="229" customFormat="1" hidden="1">
      <c r="A99" s="58">
        <v>42217</v>
      </c>
      <c r="B99" s="58"/>
      <c r="C99" s="74">
        <f t="shared" si="16"/>
        <v>147491</v>
      </c>
      <c r="D99" s="74">
        <f>19366+931</f>
        <v>20297</v>
      </c>
      <c r="E99" s="74">
        <v>42168</v>
      </c>
      <c r="F99" s="74">
        <v>1292</v>
      </c>
      <c r="G99" s="143">
        <f>Population!DK337+Population!DL337</f>
        <v>211248</v>
      </c>
      <c r="H99" s="80">
        <f>Population!DM337+Population!DN337</f>
        <v>61497</v>
      </c>
      <c r="I99" s="74">
        <f>Population!DP337</f>
        <v>101267</v>
      </c>
      <c r="J99" s="74">
        <f>Population!DR337</f>
        <v>16943</v>
      </c>
      <c r="K99" s="74">
        <f>Population!DO337+Population!DT337</f>
        <v>483612</v>
      </c>
      <c r="L99" s="74">
        <f>Population!DS337</f>
        <v>107122</v>
      </c>
      <c r="M99" s="74">
        <f>Population!DQ337</f>
        <v>4225</v>
      </c>
      <c r="N99" s="143">
        <f t="shared" si="10"/>
        <v>774666</v>
      </c>
      <c r="O99" s="74"/>
      <c r="P99" s="74"/>
      <c r="Q99" s="74"/>
      <c r="R99" s="76">
        <f t="shared" si="11"/>
        <v>985914</v>
      </c>
      <c r="T99" s="77">
        <f>Population!CG337</f>
        <v>48956</v>
      </c>
      <c r="U99" s="82">
        <f>SUM(Population!H337:L337,Population!O337)</f>
        <v>57622</v>
      </c>
      <c r="V99" s="74">
        <f>Population!G337</f>
        <v>1037</v>
      </c>
      <c r="W99" s="76">
        <f t="shared" si="17"/>
        <v>107615</v>
      </c>
      <c r="Y99" s="233">
        <f t="shared" si="13"/>
        <v>1093529</v>
      </c>
      <c r="AC99" s="234"/>
    </row>
    <row r="100" spans="1:29" s="229" customFormat="1" hidden="1">
      <c r="A100" s="58">
        <v>42248</v>
      </c>
      <c r="B100" s="58"/>
      <c r="C100" s="74">
        <f t="shared" si="16"/>
        <v>147513</v>
      </c>
      <c r="D100" s="74">
        <f>19517+908</f>
        <v>20425</v>
      </c>
      <c r="E100" s="74">
        <v>42603</v>
      </c>
      <c r="F100" s="74">
        <v>1297</v>
      </c>
      <c r="G100" s="143">
        <f>Population!DK338+Population!DL338</f>
        <v>211838</v>
      </c>
      <c r="H100" s="80">
        <f>Population!DM338+Population!DN338</f>
        <v>61537</v>
      </c>
      <c r="I100" s="74">
        <f>Population!DP338</f>
        <v>101447</v>
      </c>
      <c r="J100" s="74">
        <f>Population!DR338</f>
        <v>17076</v>
      </c>
      <c r="K100" s="74">
        <f>Population!DO338+Population!DT338</f>
        <v>484108</v>
      </c>
      <c r="L100" s="74">
        <f>Population!DS338</f>
        <v>110466</v>
      </c>
      <c r="M100" s="74">
        <f>Population!DQ338</f>
        <v>4665</v>
      </c>
      <c r="N100" s="143">
        <f t="shared" si="10"/>
        <v>779299</v>
      </c>
      <c r="O100" s="74"/>
      <c r="P100" s="74"/>
      <c r="Q100" s="74"/>
      <c r="R100" s="76">
        <f t="shared" si="11"/>
        <v>991137</v>
      </c>
      <c r="T100" s="77">
        <f>Population!CG338</f>
        <v>49239</v>
      </c>
      <c r="U100" s="82">
        <f>SUM(Population!H338:L338,Population!O338)</f>
        <v>57779</v>
      </c>
      <c r="V100" s="74">
        <f>Population!G338</f>
        <v>1121</v>
      </c>
      <c r="W100" s="76">
        <f t="shared" si="17"/>
        <v>108139</v>
      </c>
      <c r="Y100" s="233">
        <f t="shared" si="13"/>
        <v>1099276</v>
      </c>
      <c r="AC100" s="234"/>
    </row>
    <row r="101" spans="1:29" s="229" customFormat="1" hidden="1">
      <c r="A101" s="58">
        <v>42278</v>
      </c>
      <c r="B101" s="58"/>
      <c r="C101" s="74">
        <f t="shared" si="16"/>
        <v>147267</v>
      </c>
      <c r="D101" s="74">
        <f>912+19468</f>
        <v>20380</v>
      </c>
      <c r="E101" s="74">
        <v>43014</v>
      </c>
      <c r="F101" s="74">
        <v>1300</v>
      </c>
      <c r="G101" s="143">
        <f>Population!DK339+Population!DL339</f>
        <v>211961</v>
      </c>
      <c r="H101" s="80">
        <f>Population!DM339+Population!DN339</f>
        <v>61573</v>
      </c>
      <c r="I101" s="74">
        <f>Population!DP339</f>
        <v>101694</v>
      </c>
      <c r="J101" s="74">
        <f>Population!DR339</f>
        <v>16684</v>
      </c>
      <c r="K101" s="74">
        <f>Population!DO339+Population!DT339</f>
        <v>482488</v>
      </c>
      <c r="L101" s="74">
        <f>Population!DS339</f>
        <v>111645</v>
      </c>
      <c r="M101" s="74">
        <f>Population!DQ339</f>
        <v>5103</v>
      </c>
      <c r="N101" s="143">
        <f t="shared" si="10"/>
        <v>779187</v>
      </c>
      <c r="O101" s="74"/>
      <c r="P101" s="74"/>
      <c r="Q101" s="74"/>
      <c r="R101" s="76">
        <f t="shared" si="11"/>
        <v>991148</v>
      </c>
      <c r="T101" s="77">
        <f>Population!CG339</f>
        <v>49255</v>
      </c>
      <c r="U101" s="82">
        <f>SUM(Population!H339:L339,Population!O339)</f>
        <v>57593</v>
      </c>
      <c r="V101" s="74">
        <f>Population!G339</f>
        <v>1083</v>
      </c>
      <c r="W101" s="76">
        <f t="shared" si="17"/>
        <v>107931</v>
      </c>
      <c r="Y101" s="233">
        <f t="shared" si="13"/>
        <v>1099079</v>
      </c>
      <c r="AC101" s="234"/>
    </row>
    <row r="102" spans="1:29" s="229" customFormat="1" hidden="1">
      <c r="A102" s="58">
        <v>42309</v>
      </c>
      <c r="B102" s="58"/>
      <c r="C102" s="74">
        <f t="shared" si="16"/>
        <v>147692</v>
      </c>
      <c r="D102" s="74">
        <f>910+19634</f>
        <v>20544</v>
      </c>
      <c r="E102" s="74">
        <v>43379</v>
      </c>
      <c r="F102" s="74">
        <v>1315</v>
      </c>
      <c r="G102" s="143">
        <f>Population!DK340+Population!DL340</f>
        <v>212930</v>
      </c>
      <c r="H102" s="80">
        <f>Population!DM340+Population!DN340</f>
        <v>61949</v>
      </c>
      <c r="I102" s="74">
        <f>Population!DP340</f>
        <v>101992</v>
      </c>
      <c r="J102" s="74">
        <f>Population!DR340</f>
        <v>16479</v>
      </c>
      <c r="K102" s="74">
        <f>Population!DO340+Population!DT340</f>
        <v>481343</v>
      </c>
      <c r="L102" s="74">
        <f>Population!DS340</f>
        <v>112602</v>
      </c>
      <c r="M102" s="74">
        <f>Population!DQ340</f>
        <v>5428</v>
      </c>
      <c r="N102" s="143">
        <f t="shared" si="10"/>
        <v>779793</v>
      </c>
      <c r="O102" s="74"/>
      <c r="P102" s="74"/>
      <c r="Q102" s="74"/>
      <c r="R102" s="76">
        <f t="shared" si="11"/>
        <v>992723</v>
      </c>
      <c r="T102" s="77">
        <f>Population!CG340</f>
        <v>49246</v>
      </c>
      <c r="U102" s="82">
        <f>SUM(Population!H340:L340,Population!O340)</f>
        <v>57327</v>
      </c>
      <c r="V102" s="74">
        <f>Population!G340</f>
        <v>1070</v>
      </c>
      <c r="W102" s="76">
        <f t="shared" si="17"/>
        <v>107643</v>
      </c>
      <c r="Y102" s="233">
        <f t="shared" si="13"/>
        <v>1100366</v>
      </c>
      <c r="AC102" s="234"/>
    </row>
    <row r="103" spans="1:29" s="229" customFormat="1" hidden="1">
      <c r="A103" s="58">
        <v>42339</v>
      </c>
      <c r="B103" s="58"/>
      <c r="C103" s="74">
        <f t="shared" si="16"/>
        <v>147531</v>
      </c>
      <c r="D103" s="74">
        <f>876+19765</f>
        <v>20641</v>
      </c>
      <c r="E103" s="74">
        <v>43831</v>
      </c>
      <c r="F103" s="74">
        <v>1317</v>
      </c>
      <c r="G103" s="143">
        <f>Population!DK341+Population!DL341</f>
        <v>213320</v>
      </c>
      <c r="H103" s="80">
        <f>Population!DM341+Population!DN341</f>
        <v>62141</v>
      </c>
      <c r="I103" s="74">
        <f>Population!DP341</f>
        <v>101934</v>
      </c>
      <c r="J103" s="74">
        <f>Population!DR341</f>
        <v>16161</v>
      </c>
      <c r="K103" s="74">
        <f>Population!DO341+Population!DT341</f>
        <v>477468</v>
      </c>
      <c r="L103" s="74">
        <f>Population!DS341</f>
        <v>112318</v>
      </c>
      <c r="M103" s="74">
        <f>Population!DQ341</f>
        <v>5650</v>
      </c>
      <c r="N103" s="143">
        <f t="shared" si="10"/>
        <v>775672</v>
      </c>
      <c r="O103" s="74"/>
      <c r="P103" s="74"/>
      <c r="Q103" s="74"/>
      <c r="R103" s="76">
        <f t="shared" si="11"/>
        <v>988992</v>
      </c>
      <c r="T103" s="77">
        <f>Population!CG341</f>
        <v>49195</v>
      </c>
      <c r="U103" s="82">
        <f>SUM(Population!H341:L341,Population!O341)</f>
        <v>56813</v>
      </c>
      <c r="V103" s="74">
        <f>Population!G341</f>
        <v>1042</v>
      </c>
      <c r="W103" s="76">
        <f t="shared" si="17"/>
        <v>107050</v>
      </c>
      <c r="Y103" s="233">
        <f t="shared" si="13"/>
        <v>1096042</v>
      </c>
      <c r="AC103" s="234"/>
    </row>
    <row r="104" spans="1:29" s="229" customFormat="1" hidden="1">
      <c r="A104" s="58">
        <v>42370</v>
      </c>
      <c r="B104" s="58"/>
      <c r="C104" s="74">
        <f t="shared" si="16"/>
        <v>147912</v>
      </c>
      <c r="D104" s="74">
        <f>883+19661</f>
        <v>20544</v>
      </c>
      <c r="E104" s="74">
        <v>44395</v>
      </c>
      <c r="F104" s="74">
        <v>1298</v>
      </c>
      <c r="G104" s="143">
        <f>Population!DK342+Population!DL342</f>
        <v>214149</v>
      </c>
      <c r="H104" s="80">
        <f>Population!DM342+Population!DN342</f>
        <v>60029</v>
      </c>
      <c r="I104" s="74">
        <f>Population!DP342</f>
        <v>102618</v>
      </c>
      <c r="J104" s="74">
        <f>Population!DR342</f>
        <v>16231</v>
      </c>
      <c r="K104" s="74">
        <f>Population!DO342+Population!DT342</f>
        <v>476688</v>
      </c>
      <c r="L104" s="74">
        <f>Population!DS342</f>
        <v>111515</v>
      </c>
      <c r="M104" s="74">
        <f>Population!DQ342</f>
        <v>5951</v>
      </c>
      <c r="N104" s="143">
        <f t="shared" si="10"/>
        <v>773032</v>
      </c>
      <c r="O104" s="74"/>
      <c r="P104" s="74"/>
      <c r="Q104" s="74"/>
      <c r="R104" s="76">
        <f t="shared" si="11"/>
        <v>987181</v>
      </c>
      <c r="T104" s="77">
        <f>Population!CG342</f>
        <v>49535</v>
      </c>
      <c r="U104" s="82">
        <f>SUM(Population!H342:L342,Population!O342)</f>
        <v>56842</v>
      </c>
      <c r="V104" s="74">
        <f>Population!G342</f>
        <v>1053</v>
      </c>
      <c r="W104" s="76">
        <f t="shared" si="17"/>
        <v>107430</v>
      </c>
      <c r="Y104" s="233">
        <f t="shared" si="13"/>
        <v>1094611</v>
      </c>
      <c r="AC104" s="234"/>
    </row>
    <row r="105" spans="1:29" s="229" customFormat="1" hidden="1">
      <c r="A105" s="58">
        <v>42401</v>
      </c>
      <c r="B105" s="58"/>
      <c r="C105" s="74">
        <f t="shared" si="16"/>
        <v>148300</v>
      </c>
      <c r="D105" s="74">
        <f>867+19615</f>
        <v>20482</v>
      </c>
      <c r="E105" s="74">
        <v>44669</v>
      </c>
      <c r="F105" s="74">
        <v>1288</v>
      </c>
      <c r="G105" s="143">
        <f>Population!DK343+Population!DL343</f>
        <v>214739</v>
      </c>
      <c r="H105" s="80">
        <f>Population!DM343+Population!DN343</f>
        <v>60887</v>
      </c>
      <c r="I105" s="74">
        <f>Population!DP343</f>
        <v>102804</v>
      </c>
      <c r="J105" s="74">
        <f>Population!DR343</f>
        <v>16166</v>
      </c>
      <c r="K105" s="74">
        <f>Population!DO343+Population!DT343</f>
        <v>476978</v>
      </c>
      <c r="L105" s="74">
        <f>Population!DS343</f>
        <v>111215</v>
      </c>
      <c r="M105" s="74">
        <f>Population!DQ343</f>
        <v>5987</v>
      </c>
      <c r="N105" s="143">
        <f t="shared" si="10"/>
        <v>774037</v>
      </c>
      <c r="O105" s="74"/>
      <c r="P105" s="74"/>
      <c r="Q105" s="74"/>
      <c r="R105" s="76">
        <f t="shared" si="11"/>
        <v>988776</v>
      </c>
      <c r="T105" s="77">
        <f>Population!CG343</f>
        <v>49810</v>
      </c>
      <c r="U105" s="82">
        <f>SUM(Population!H343:L343,Population!O343)</f>
        <v>56882</v>
      </c>
      <c r="V105" s="74">
        <f>Population!G343</f>
        <v>1040</v>
      </c>
      <c r="W105" s="76">
        <f t="shared" si="17"/>
        <v>107732</v>
      </c>
      <c r="Y105" s="233">
        <f t="shared" si="13"/>
        <v>1096508</v>
      </c>
      <c r="AC105" s="234"/>
    </row>
    <row r="106" spans="1:29" s="229" customFormat="1" hidden="1">
      <c r="A106" s="58">
        <v>42430</v>
      </c>
      <c r="B106" s="58"/>
      <c r="C106" s="74">
        <f t="shared" si="16"/>
        <v>149012</v>
      </c>
      <c r="D106" s="74">
        <f>19365+855</f>
        <v>20220</v>
      </c>
      <c r="E106" s="74">
        <v>44861</v>
      </c>
      <c r="F106" s="74">
        <v>1337</v>
      </c>
      <c r="G106" s="143">
        <f>Population!DK344+Population!DL344</f>
        <v>215430</v>
      </c>
      <c r="H106" s="80">
        <f>Population!DM344+Population!DN344</f>
        <v>61231</v>
      </c>
      <c r="I106" s="74">
        <f>Population!DP344</f>
        <v>103044</v>
      </c>
      <c r="J106" s="74">
        <f>Population!DR344</f>
        <v>16010</v>
      </c>
      <c r="K106" s="74">
        <f>Population!DO344+Population!DT344</f>
        <v>478447</v>
      </c>
      <c r="L106" s="74">
        <f>Population!DS344</f>
        <v>112470</v>
      </c>
      <c r="M106" s="74">
        <f>Population!DQ344</f>
        <v>6073</v>
      </c>
      <c r="N106" s="143">
        <f t="shared" si="10"/>
        <v>777275</v>
      </c>
      <c r="O106" s="74"/>
      <c r="P106" s="74"/>
      <c r="Q106" s="74"/>
      <c r="R106" s="76">
        <f t="shared" si="11"/>
        <v>992705</v>
      </c>
      <c r="T106" s="77">
        <f>Population!CG344</f>
        <v>50110</v>
      </c>
      <c r="U106" s="82">
        <f>SUM(Population!H344:L344,Population!O344)</f>
        <v>57430</v>
      </c>
      <c r="V106" s="74">
        <f>Population!G344</f>
        <v>1070</v>
      </c>
      <c r="W106" s="76">
        <f t="shared" si="17"/>
        <v>108610</v>
      </c>
      <c r="Y106" s="233">
        <f t="shared" si="13"/>
        <v>1101315</v>
      </c>
      <c r="AC106" s="234"/>
    </row>
    <row r="107" spans="1:29" s="229" customFormat="1" hidden="1">
      <c r="A107" s="58">
        <v>42461</v>
      </c>
      <c r="B107" s="58"/>
      <c r="C107" s="74">
        <f t="shared" si="16"/>
        <v>149908</v>
      </c>
      <c r="D107" s="74">
        <f>19459+831</f>
        <v>20290</v>
      </c>
      <c r="E107" s="74">
        <v>44895</v>
      </c>
      <c r="F107" s="74">
        <v>1335</v>
      </c>
      <c r="G107" s="143">
        <f>Population!DK345+Population!DL345</f>
        <v>216428</v>
      </c>
      <c r="H107" s="80">
        <f>Population!DM345+Population!DN345</f>
        <v>61702</v>
      </c>
      <c r="I107" s="74">
        <f>Population!DP345</f>
        <v>103269</v>
      </c>
      <c r="J107" s="74">
        <f>Population!DR345</f>
        <v>16556</v>
      </c>
      <c r="K107" s="74">
        <f>Population!DO345+Population!DT345</f>
        <v>480896</v>
      </c>
      <c r="L107" s="74">
        <f>Population!DS345</f>
        <v>113604</v>
      </c>
      <c r="M107" s="74">
        <f>Population!DQ345</f>
        <v>6687</v>
      </c>
      <c r="N107" s="143">
        <f t="shared" si="10"/>
        <v>782714</v>
      </c>
      <c r="O107" s="74"/>
      <c r="P107" s="74"/>
      <c r="Q107" s="74"/>
      <c r="R107" s="76">
        <f t="shared" si="11"/>
        <v>999142</v>
      </c>
      <c r="T107" s="77">
        <f>Population!CG345</f>
        <v>50717</v>
      </c>
      <c r="U107" s="82">
        <f>SUM(Population!H345:L345,Population!O345)</f>
        <v>58113</v>
      </c>
      <c r="V107" s="74">
        <f>Population!G345</f>
        <v>1098</v>
      </c>
      <c r="W107" s="76">
        <f t="shared" si="17"/>
        <v>109928</v>
      </c>
      <c r="Y107" s="233">
        <f t="shared" si="13"/>
        <v>1109070</v>
      </c>
      <c r="AC107" s="234"/>
    </row>
    <row r="108" spans="1:29" s="229" customFormat="1" hidden="1">
      <c r="A108" s="58">
        <v>42491</v>
      </c>
      <c r="B108" s="58"/>
      <c r="C108" s="74">
        <f t="shared" si="16"/>
        <v>149521</v>
      </c>
      <c r="D108" s="74">
        <f>19622+847</f>
        <v>20469</v>
      </c>
      <c r="E108" s="74">
        <v>45215</v>
      </c>
      <c r="F108" s="74">
        <v>1313</v>
      </c>
      <c r="G108" s="143">
        <f>Population!DK346+Population!DL346</f>
        <v>216518</v>
      </c>
      <c r="H108" s="80">
        <f>Population!DM346+Population!DN346</f>
        <v>61860</v>
      </c>
      <c r="I108" s="74">
        <f>Population!DP346</f>
        <v>103135</v>
      </c>
      <c r="J108" s="74">
        <f>Population!DR346</f>
        <v>16693</v>
      </c>
      <c r="K108" s="74">
        <f>Population!DO346+Population!DT346</f>
        <v>482071</v>
      </c>
      <c r="L108" s="74">
        <f>Population!DS346</f>
        <v>108418</v>
      </c>
      <c r="M108" s="74">
        <f>Population!DQ346</f>
        <v>7222</v>
      </c>
      <c r="N108" s="143">
        <f t="shared" si="10"/>
        <v>779399</v>
      </c>
      <c r="O108" s="74"/>
      <c r="P108" s="74"/>
      <c r="Q108" s="74"/>
      <c r="R108" s="76">
        <f t="shared" si="11"/>
        <v>995917</v>
      </c>
      <c r="T108" s="77">
        <f>Population!CG346</f>
        <v>51096</v>
      </c>
      <c r="U108" s="82">
        <f>SUM(Population!H346:L346,Population!O346)</f>
        <v>58834</v>
      </c>
      <c r="V108" s="74">
        <f>Population!G346</f>
        <v>1077</v>
      </c>
      <c r="W108" s="76">
        <f t="shared" si="17"/>
        <v>111007</v>
      </c>
      <c r="Y108" s="233">
        <f t="shared" si="13"/>
        <v>1106924</v>
      </c>
      <c r="AC108" s="234"/>
    </row>
    <row r="109" spans="1:29" s="229" customFormat="1" hidden="1">
      <c r="A109" s="58">
        <v>42522</v>
      </c>
      <c r="B109" s="58"/>
      <c r="C109" s="74">
        <f t="shared" si="16"/>
        <v>149431</v>
      </c>
      <c r="D109" s="74">
        <f>807+19740</f>
        <v>20547</v>
      </c>
      <c r="E109" s="74">
        <v>45645</v>
      </c>
      <c r="F109" s="74">
        <v>1323</v>
      </c>
      <c r="G109" s="143">
        <f>Population!DK347+Population!DL347</f>
        <v>216946</v>
      </c>
      <c r="H109" s="80">
        <f>Population!DM347+Population!DN347</f>
        <v>61806</v>
      </c>
      <c r="I109" s="74">
        <f>Population!DP347</f>
        <v>102539</v>
      </c>
      <c r="J109" s="74">
        <f>Population!DR347</f>
        <v>16533</v>
      </c>
      <c r="K109" s="74">
        <f>Population!DO347+Population!DT347</f>
        <v>482880</v>
      </c>
      <c r="L109" s="74">
        <f>Population!DS347</f>
        <v>106786</v>
      </c>
      <c r="M109" s="74">
        <f>Population!DQ347</f>
        <v>7575</v>
      </c>
      <c r="N109" s="143">
        <f t="shared" si="10"/>
        <v>778119</v>
      </c>
      <c r="O109" s="74"/>
      <c r="P109" s="74"/>
      <c r="Q109" s="74"/>
      <c r="R109" s="76">
        <f t="shared" si="11"/>
        <v>995065</v>
      </c>
      <c r="T109" s="77">
        <f>Population!CG347</f>
        <v>51432</v>
      </c>
      <c r="U109" s="82">
        <f>SUM(Population!H347:L347,Population!O347)</f>
        <v>59330</v>
      </c>
      <c r="V109" s="74">
        <f>Population!G347</f>
        <v>1093</v>
      </c>
      <c r="W109" s="76">
        <f t="shared" ref="W109" si="18">SUM(T109:V109)</f>
        <v>111855</v>
      </c>
      <c r="Y109" s="233">
        <f t="shared" si="13"/>
        <v>1106920</v>
      </c>
      <c r="AC109" s="234"/>
    </row>
    <row r="110" spans="1:29" s="229" customFormat="1" ht="7.5" hidden="1" customHeight="1">
      <c r="A110" s="58"/>
      <c r="B110" s="58"/>
      <c r="C110" s="74"/>
      <c r="D110" s="74"/>
      <c r="E110" s="74"/>
      <c r="F110" s="74"/>
      <c r="G110" s="103"/>
      <c r="H110" s="103"/>
      <c r="I110" s="103"/>
      <c r="J110" s="103"/>
      <c r="K110" s="103"/>
      <c r="L110" s="103"/>
      <c r="M110" s="103"/>
      <c r="N110" s="143"/>
      <c r="O110" s="74"/>
      <c r="P110" s="74"/>
      <c r="Q110" s="74"/>
      <c r="R110" s="76"/>
      <c r="T110" s="103"/>
      <c r="U110" s="103"/>
      <c r="V110" s="103"/>
      <c r="W110" s="103"/>
      <c r="Y110" s="233"/>
    </row>
    <row r="111" spans="1:29" s="229" customFormat="1" hidden="1">
      <c r="A111" s="58">
        <v>42552</v>
      </c>
      <c r="B111" s="58"/>
      <c r="C111" s="74">
        <f t="shared" si="16"/>
        <v>150325</v>
      </c>
      <c r="D111" s="74">
        <f>817+19669</f>
        <v>20486</v>
      </c>
      <c r="E111" s="74">
        <v>45635</v>
      </c>
      <c r="F111" s="74">
        <v>1295</v>
      </c>
      <c r="G111" s="143">
        <f>Population!DK348+Population!DL348</f>
        <v>217741</v>
      </c>
      <c r="H111" s="80">
        <f>Population!DM348+Population!DN348</f>
        <v>61967</v>
      </c>
      <c r="I111" s="74">
        <f>Population!DP348</f>
        <v>103115</v>
      </c>
      <c r="J111" s="74">
        <f>Population!DR348</f>
        <v>16632</v>
      </c>
      <c r="K111" s="74">
        <f>Population!DO348+Population!DT348</f>
        <v>484007</v>
      </c>
      <c r="L111" s="74">
        <f>Population!DS348</f>
        <v>108409</v>
      </c>
      <c r="M111" s="74">
        <f>Population!DQ348</f>
        <v>7991</v>
      </c>
      <c r="N111" s="143">
        <f t="shared" si="10"/>
        <v>782121</v>
      </c>
      <c r="O111" s="74"/>
      <c r="P111" s="74"/>
      <c r="Q111" s="74"/>
      <c r="R111" s="76">
        <f t="shared" si="11"/>
        <v>999862</v>
      </c>
      <c r="S111" s="231"/>
      <c r="T111" s="77">
        <f>Population!CG348</f>
        <v>51468</v>
      </c>
      <c r="U111" s="82">
        <f>SUM(Population!H348:L348,Population!O348)</f>
        <v>59597</v>
      </c>
      <c r="V111" s="74">
        <f>Population!G348</f>
        <v>1086</v>
      </c>
      <c r="W111" s="76">
        <f t="shared" ref="W111" si="19">SUM(T111:V111)</f>
        <v>112151</v>
      </c>
      <c r="Y111" s="233">
        <f t="shared" si="13"/>
        <v>1112013</v>
      </c>
    </row>
    <row r="112" spans="1:29" s="229" customFormat="1" hidden="1">
      <c r="A112" s="58">
        <v>42583</v>
      </c>
      <c r="B112" s="58"/>
      <c r="C112" s="74">
        <f t="shared" si="16"/>
        <v>149859</v>
      </c>
      <c r="D112" s="74">
        <f>815+19418</f>
        <v>20233</v>
      </c>
      <c r="E112" s="74">
        <v>45610</v>
      </c>
      <c r="F112" s="74">
        <v>1295</v>
      </c>
      <c r="G112" s="143">
        <f>Population!DK349+Population!DL349</f>
        <v>216997</v>
      </c>
      <c r="H112" s="80">
        <f>Population!DM349+Population!DN349</f>
        <v>61790</v>
      </c>
      <c r="I112" s="74">
        <f>Population!DP349</f>
        <v>103605</v>
      </c>
      <c r="J112" s="74">
        <f>Population!DR349</f>
        <v>16153</v>
      </c>
      <c r="K112" s="74">
        <f>Population!DO349+Population!DT349</f>
        <v>481510</v>
      </c>
      <c r="L112" s="74">
        <f>Population!DS349</f>
        <v>108437</v>
      </c>
      <c r="M112" s="74">
        <f>Population!DQ349</f>
        <v>8265</v>
      </c>
      <c r="N112" s="143">
        <f t="shared" si="10"/>
        <v>779760</v>
      </c>
      <c r="O112" s="74"/>
      <c r="P112" s="74"/>
      <c r="Q112" s="74"/>
      <c r="R112" s="76">
        <f t="shared" si="11"/>
        <v>996757</v>
      </c>
      <c r="S112" s="231"/>
      <c r="T112" s="77">
        <f>Population!CG349</f>
        <v>51310</v>
      </c>
      <c r="U112" s="82">
        <f>SUM(Population!H349:L349,Population!O349)</f>
        <v>59462</v>
      </c>
      <c r="V112" s="74">
        <f>Population!G349</f>
        <v>1041</v>
      </c>
      <c r="W112" s="76">
        <f t="shared" ref="W112" si="20">SUM(T112:V112)</f>
        <v>111813</v>
      </c>
      <c r="Y112" s="233">
        <f t="shared" si="13"/>
        <v>1108570</v>
      </c>
    </row>
    <row r="113" spans="1:27" s="229" customFormat="1" hidden="1">
      <c r="A113" s="58">
        <v>42614</v>
      </c>
      <c r="B113" s="58"/>
      <c r="C113" s="74">
        <f t="shared" si="16"/>
        <v>149666</v>
      </c>
      <c r="D113" s="74">
        <f>753+19131</f>
        <v>19884</v>
      </c>
      <c r="E113" s="74">
        <v>45594</v>
      </c>
      <c r="F113" s="74">
        <v>1288</v>
      </c>
      <c r="G113" s="143">
        <f>Population!DK350+Population!DL350</f>
        <v>216432</v>
      </c>
      <c r="H113" s="80">
        <f>Population!DM350+Population!DN350</f>
        <v>61625</v>
      </c>
      <c r="I113" s="74">
        <f>Population!DP350</f>
        <v>104883</v>
      </c>
      <c r="J113" s="74">
        <f>Population!DR350</f>
        <v>16139</v>
      </c>
      <c r="K113" s="74">
        <f>Population!DO350+Population!DT350</f>
        <v>482158</v>
      </c>
      <c r="L113" s="74">
        <f>Population!DS350</f>
        <v>109374</v>
      </c>
      <c r="M113" s="74">
        <f>Population!DQ350</f>
        <v>8780</v>
      </c>
      <c r="N113" s="143">
        <f t="shared" si="10"/>
        <v>782959</v>
      </c>
      <c r="O113" s="74"/>
      <c r="P113" s="74"/>
      <c r="Q113" s="74"/>
      <c r="R113" s="76">
        <f t="shared" si="11"/>
        <v>999391</v>
      </c>
      <c r="S113" s="231"/>
      <c r="T113" s="77">
        <f>Population!CG350</f>
        <v>51449</v>
      </c>
      <c r="U113" s="82">
        <f>SUM(Population!H350:L350,Population!O350)</f>
        <v>59738</v>
      </c>
      <c r="V113" s="74">
        <f>Population!G350</f>
        <v>1058</v>
      </c>
      <c r="W113" s="76">
        <f t="shared" ref="W113" si="21">SUM(T113:V113)</f>
        <v>112245</v>
      </c>
      <c r="Y113" s="233">
        <f t="shared" si="13"/>
        <v>1111636</v>
      </c>
    </row>
    <row r="114" spans="1:27" s="229" customFormat="1" hidden="1">
      <c r="A114" s="58">
        <v>42644</v>
      </c>
      <c r="B114" s="58"/>
      <c r="C114" s="74">
        <f t="shared" si="16"/>
        <v>150068</v>
      </c>
      <c r="D114" s="74">
        <f>805+19202</f>
        <v>20007</v>
      </c>
      <c r="E114" s="74">
        <v>45745</v>
      </c>
      <c r="F114" s="74">
        <v>1299</v>
      </c>
      <c r="G114" s="143">
        <f>Population!DK351+Population!DL351</f>
        <v>217119</v>
      </c>
      <c r="H114" s="80">
        <f>Population!DM351+Population!DN351</f>
        <v>61344</v>
      </c>
      <c r="I114" s="74">
        <f>Population!DP351</f>
        <v>106132</v>
      </c>
      <c r="J114" s="74">
        <f>Population!DR351</f>
        <v>16025</v>
      </c>
      <c r="K114" s="74">
        <f>Population!DO351+Population!DT351</f>
        <v>484646</v>
      </c>
      <c r="L114" s="74">
        <f>Population!DS351</f>
        <v>109981</v>
      </c>
      <c r="M114" s="74">
        <f>Population!DQ351</f>
        <v>9059</v>
      </c>
      <c r="N114" s="143">
        <f t="shared" si="10"/>
        <v>787187</v>
      </c>
      <c r="O114" s="74"/>
      <c r="P114" s="74"/>
      <c r="Q114" s="74"/>
      <c r="R114" s="76">
        <f t="shared" si="11"/>
        <v>1004306</v>
      </c>
      <c r="S114" s="231"/>
      <c r="T114" s="77">
        <f>Population!CG351</f>
        <v>51651</v>
      </c>
      <c r="U114" s="82">
        <f>SUM(Population!H351:L351,Population!O351)</f>
        <v>60176</v>
      </c>
      <c r="V114" s="74">
        <f>Population!G351</f>
        <v>1026</v>
      </c>
      <c r="W114" s="76">
        <f t="shared" ref="W114" si="22">SUM(T114:V114)</f>
        <v>112853</v>
      </c>
      <c r="Y114" s="233">
        <f t="shared" si="13"/>
        <v>1117159</v>
      </c>
    </row>
    <row r="115" spans="1:27" s="229" customFormat="1" hidden="1">
      <c r="A115" s="58">
        <v>42675</v>
      </c>
      <c r="B115" s="58"/>
      <c r="C115" s="74">
        <f t="shared" si="16"/>
        <v>149882</v>
      </c>
      <c r="D115" s="74">
        <f>803+19329</f>
        <v>20132</v>
      </c>
      <c r="E115" s="74">
        <v>46147</v>
      </c>
      <c r="F115" s="74">
        <v>1327</v>
      </c>
      <c r="G115" s="143">
        <f>Population!DK352+Population!DL352</f>
        <v>217488</v>
      </c>
      <c r="H115" s="80">
        <f>Population!DM352+Population!DN352</f>
        <v>61295</v>
      </c>
      <c r="I115" s="74">
        <f>Population!DP352</f>
        <v>107127</v>
      </c>
      <c r="J115" s="74">
        <f>Population!DR352</f>
        <v>15438</v>
      </c>
      <c r="K115" s="74">
        <f>Population!DO352+Population!DT352</f>
        <v>485899</v>
      </c>
      <c r="L115" s="74">
        <f>Population!DS352</f>
        <v>110976</v>
      </c>
      <c r="M115" s="74">
        <f>Population!DQ352</f>
        <v>9362</v>
      </c>
      <c r="N115" s="143">
        <f t="shared" si="10"/>
        <v>790097</v>
      </c>
      <c r="O115" s="74"/>
      <c r="P115" s="74"/>
      <c r="Q115" s="74"/>
      <c r="R115" s="76">
        <f t="shared" si="11"/>
        <v>1007585</v>
      </c>
      <c r="S115" s="231"/>
      <c r="T115" s="77">
        <f>Population!CG352</f>
        <v>51950</v>
      </c>
      <c r="U115" s="82">
        <f>SUM(Population!H352:L352,Population!O352)</f>
        <v>60505</v>
      </c>
      <c r="V115" s="74">
        <f>Population!G352</f>
        <v>995</v>
      </c>
      <c r="W115" s="76">
        <f t="shared" ref="W115" si="23">SUM(T115:V115)</f>
        <v>113450</v>
      </c>
      <c r="Y115" s="233">
        <f t="shared" si="13"/>
        <v>1121035</v>
      </c>
    </row>
    <row r="116" spans="1:27" s="229" customFormat="1" hidden="1">
      <c r="A116" s="58">
        <v>42705</v>
      </c>
      <c r="B116" s="58"/>
      <c r="C116" s="74">
        <f t="shared" si="16"/>
        <v>150200</v>
      </c>
      <c r="D116" s="74">
        <f>793+19205</f>
        <v>19998</v>
      </c>
      <c r="E116" s="74">
        <v>46370</v>
      </c>
      <c r="F116" s="74">
        <v>1322</v>
      </c>
      <c r="G116" s="143">
        <f>Population!DK353+Population!DL353</f>
        <v>217890</v>
      </c>
      <c r="H116" s="80">
        <f>Population!DM353+Population!DN353</f>
        <v>61233</v>
      </c>
      <c r="I116" s="74">
        <f>Population!DP353</f>
        <v>108059</v>
      </c>
      <c r="J116" s="74">
        <f>Population!DR353</f>
        <v>15221</v>
      </c>
      <c r="K116" s="74">
        <f>Population!DO353+Population!DT353</f>
        <v>486142</v>
      </c>
      <c r="L116" s="74">
        <f>Population!DS353</f>
        <v>110973</v>
      </c>
      <c r="M116" s="74">
        <f>Population!DQ353</f>
        <v>9734</v>
      </c>
      <c r="N116" s="143">
        <f t="shared" si="10"/>
        <v>791362</v>
      </c>
      <c r="O116" s="74"/>
      <c r="P116" s="74"/>
      <c r="Q116" s="74"/>
      <c r="R116" s="76">
        <f t="shared" si="11"/>
        <v>1009252</v>
      </c>
      <c r="S116" s="231"/>
      <c r="T116" s="77">
        <f>Population!CG353</f>
        <v>52176</v>
      </c>
      <c r="U116" s="82">
        <f>SUM(Population!H353:L353,Population!O353)</f>
        <v>60525</v>
      </c>
      <c r="V116" s="74">
        <f>Population!G353</f>
        <v>960</v>
      </c>
      <c r="W116" s="76">
        <f t="shared" ref="W116" si="24">SUM(T116:V116)</f>
        <v>113661</v>
      </c>
      <c r="Y116" s="233">
        <f t="shared" si="13"/>
        <v>1122913</v>
      </c>
    </row>
    <row r="117" spans="1:27" s="229" customFormat="1" hidden="1">
      <c r="A117" s="58">
        <v>42736</v>
      </c>
      <c r="B117" s="58"/>
      <c r="C117" s="74">
        <f t="shared" si="16"/>
        <v>151245</v>
      </c>
      <c r="D117" s="74">
        <f>795+18890</f>
        <v>19685</v>
      </c>
      <c r="E117" s="74">
        <v>45732</v>
      </c>
      <c r="F117" s="74">
        <v>1260</v>
      </c>
      <c r="G117" s="143">
        <f>Population!DK354+Population!DL354</f>
        <v>217922</v>
      </c>
      <c r="H117" s="80">
        <f>Population!DM354+Population!DN354</f>
        <v>60056</v>
      </c>
      <c r="I117" s="74">
        <f>Population!DP354</f>
        <v>108916</v>
      </c>
      <c r="J117" s="74">
        <f>Population!DR354</f>
        <v>15360</v>
      </c>
      <c r="K117" s="74">
        <f>Population!DO354+Population!DT354</f>
        <v>486707</v>
      </c>
      <c r="L117" s="74">
        <f>Population!DS354</f>
        <v>112457</v>
      </c>
      <c r="M117" s="74">
        <f>Population!DQ354</f>
        <v>9947</v>
      </c>
      <c r="N117" s="143">
        <f t="shared" si="10"/>
        <v>793443</v>
      </c>
      <c r="O117" s="74"/>
      <c r="P117" s="74"/>
      <c r="Q117" s="74"/>
      <c r="R117" s="76">
        <f t="shared" si="11"/>
        <v>1011365</v>
      </c>
      <c r="S117" s="231"/>
      <c r="T117" s="77">
        <f>Population!CG354</f>
        <v>52107</v>
      </c>
      <c r="U117" s="82">
        <f>SUM(Population!H354:L354,Population!O354)</f>
        <v>60386</v>
      </c>
      <c r="V117" s="74">
        <f>Population!G354</f>
        <v>1041</v>
      </c>
      <c r="W117" s="76">
        <f t="shared" ref="W117" si="25">SUM(T117:V117)</f>
        <v>113534</v>
      </c>
      <c r="Y117" s="233">
        <f t="shared" si="13"/>
        <v>1124899</v>
      </c>
      <c r="AA117" s="234"/>
    </row>
    <row r="118" spans="1:27" s="229" customFormat="1" hidden="1">
      <c r="A118" s="58">
        <v>42767</v>
      </c>
      <c r="B118" s="58"/>
      <c r="C118" s="74">
        <f t="shared" si="16"/>
        <v>150610</v>
      </c>
      <c r="D118" s="74">
        <f>19467+776</f>
        <v>20243</v>
      </c>
      <c r="E118" s="74">
        <v>46791</v>
      </c>
      <c r="F118" s="74">
        <v>1312</v>
      </c>
      <c r="G118" s="143">
        <f>Population!DK355+Population!DL355</f>
        <v>218956</v>
      </c>
      <c r="H118" s="80">
        <f>Population!DM355+Population!DN355</f>
        <v>60088</v>
      </c>
      <c r="I118" s="74">
        <f>Population!DP355</f>
        <v>110772</v>
      </c>
      <c r="J118" s="74">
        <f>Population!DR355</f>
        <v>15458</v>
      </c>
      <c r="K118" s="74">
        <f>Population!DO355+Population!DT355</f>
        <v>489703</v>
      </c>
      <c r="L118" s="74">
        <f>Population!DS355</f>
        <v>112093</v>
      </c>
      <c r="M118" s="74">
        <f>Population!DQ355</f>
        <v>10086</v>
      </c>
      <c r="N118" s="143">
        <f t="shared" si="10"/>
        <v>798200</v>
      </c>
      <c r="O118" s="74"/>
      <c r="P118" s="74"/>
      <c r="Q118" s="74"/>
      <c r="R118" s="76">
        <f t="shared" si="11"/>
        <v>1017156</v>
      </c>
      <c r="S118" s="231"/>
      <c r="T118" s="77">
        <f>Population!CG355</f>
        <v>52422</v>
      </c>
      <c r="U118" s="82">
        <f>SUM(Population!H355:L355,Population!O355)</f>
        <v>60366</v>
      </c>
      <c r="V118" s="74">
        <f>Population!G355</f>
        <v>1088</v>
      </c>
      <c r="W118" s="76">
        <f t="shared" ref="W118" si="26">SUM(T118:V118)</f>
        <v>113876</v>
      </c>
      <c r="Y118" s="233">
        <f t="shared" si="13"/>
        <v>1131032</v>
      </c>
    </row>
    <row r="119" spans="1:27" s="229" customFormat="1" hidden="1">
      <c r="A119" s="58">
        <v>42795</v>
      </c>
      <c r="B119" s="58"/>
      <c r="C119" s="74">
        <f t="shared" si="16"/>
        <v>150327</v>
      </c>
      <c r="D119" s="74">
        <f>19316+793</f>
        <v>20109</v>
      </c>
      <c r="E119" s="74">
        <v>46713</v>
      </c>
      <c r="F119" s="74">
        <v>1299</v>
      </c>
      <c r="G119" s="143">
        <f>Population!DK356+Population!DL356</f>
        <v>218448</v>
      </c>
      <c r="H119" s="80">
        <f>Population!DM356+Population!DN356</f>
        <v>60127</v>
      </c>
      <c r="I119" s="74">
        <f>Population!DP356</f>
        <v>112034</v>
      </c>
      <c r="J119" s="74">
        <f>Population!DR356</f>
        <v>15305</v>
      </c>
      <c r="K119" s="74">
        <f>Population!DO356+Population!DT356</f>
        <v>488785</v>
      </c>
      <c r="L119" s="74">
        <f>Population!DS356</f>
        <v>111404</v>
      </c>
      <c r="M119" s="74">
        <f>Population!DQ356</f>
        <v>10467</v>
      </c>
      <c r="N119" s="143">
        <f t="shared" si="10"/>
        <v>798122</v>
      </c>
      <c r="O119" s="74"/>
      <c r="P119" s="74"/>
      <c r="Q119" s="74"/>
      <c r="R119" s="76">
        <f t="shared" si="11"/>
        <v>1016570</v>
      </c>
      <c r="S119" s="231"/>
      <c r="T119" s="77">
        <f>Population!CG356</f>
        <v>52601</v>
      </c>
      <c r="U119" s="82">
        <f>SUM(Population!H356:L356,Population!O356)</f>
        <v>60297</v>
      </c>
      <c r="V119" s="74">
        <f>Population!G356</f>
        <v>1102</v>
      </c>
      <c r="W119" s="76">
        <f t="shared" ref="W119" si="27">SUM(T119:V119)</f>
        <v>114000</v>
      </c>
      <c r="Y119" s="233">
        <f t="shared" si="13"/>
        <v>1130570</v>
      </c>
    </row>
    <row r="120" spans="1:27" s="229" customFormat="1" hidden="1">
      <c r="A120" s="58">
        <v>42826</v>
      </c>
      <c r="B120" s="58"/>
      <c r="C120" s="74">
        <f t="shared" si="16"/>
        <v>150992</v>
      </c>
      <c r="D120" s="74">
        <f>19440+804</f>
        <v>20244</v>
      </c>
      <c r="E120" s="74">
        <v>47085</v>
      </c>
      <c r="F120" s="74">
        <v>1272</v>
      </c>
      <c r="G120" s="143">
        <f>Population!DK357+Population!DL357</f>
        <v>219593</v>
      </c>
      <c r="H120" s="80">
        <f>Population!DM357+Population!DN357</f>
        <v>60560</v>
      </c>
      <c r="I120" s="74">
        <f>Population!DP357</f>
        <v>114106</v>
      </c>
      <c r="J120" s="74">
        <f>Population!DR357</f>
        <v>15526</v>
      </c>
      <c r="K120" s="74">
        <f>Population!DO357+Population!DT357</f>
        <v>491491</v>
      </c>
      <c r="L120" s="74">
        <f>Population!DS357</f>
        <v>112470</v>
      </c>
      <c r="M120" s="74">
        <f>Population!DQ357</f>
        <v>10821</v>
      </c>
      <c r="N120" s="143">
        <f t="shared" si="10"/>
        <v>804974</v>
      </c>
      <c r="O120" s="74"/>
      <c r="P120" s="74"/>
      <c r="Q120" s="74"/>
      <c r="R120" s="76">
        <f t="shared" si="11"/>
        <v>1024567</v>
      </c>
      <c r="S120" s="231"/>
      <c r="T120" s="77">
        <f>Population!CG357</f>
        <v>53432</v>
      </c>
      <c r="U120" s="82">
        <f>SUM(Population!H357:L357,Population!O357)</f>
        <v>61207</v>
      </c>
      <c r="V120" s="74">
        <f>Population!G357</f>
        <v>1122</v>
      </c>
      <c r="W120" s="76">
        <f t="shared" ref="W120" si="28">SUM(T120:V120)</f>
        <v>115761</v>
      </c>
      <c r="Y120" s="233">
        <f t="shared" si="13"/>
        <v>1140328</v>
      </c>
    </row>
    <row r="121" spans="1:27" s="229" customFormat="1" hidden="1">
      <c r="A121" s="58">
        <v>42856</v>
      </c>
      <c r="B121" s="58"/>
      <c r="C121" s="74">
        <f t="shared" si="16"/>
        <v>151045</v>
      </c>
      <c r="D121" s="74">
        <f>19386+741</f>
        <v>20127</v>
      </c>
      <c r="E121" s="74">
        <v>47208</v>
      </c>
      <c r="F121" s="74">
        <v>1313</v>
      </c>
      <c r="G121" s="143">
        <f>Population!DK358+Population!DL358</f>
        <v>219693</v>
      </c>
      <c r="H121" s="80">
        <f>Population!DM358+Population!DN358</f>
        <v>60454</v>
      </c>
      <c r="I121" s="74">
        <f>Population!DP358</f>
        <v>114582</v>
      </c>
      <c r="J121" s="74">
        <f>Population!DR358</f>
        <v>15711</v>
      </c>
      <c r="K121" s="74">
        <f>Population!DO358+Population!DT358</f>
        <v>489357</v>
      </c>
      <c r="L121" s="74">
        <f>Population!DS358</f>
        <v>112405</v>
      </c>
      <c r="M121" s="74">
        <f>Population!DQ358</f>
        <v>11077</v>
      </c>
      <c r="N121" s="143">
        <f t="shared" si="10"/>
        <v>803586</v>
      </c>
      <c r="O121" s="74"/>
      <c r="P121" s="74"/>
      <c r="Q121" s="74"/>
      <c r="R121" s="76">
        <f t="shared" si="11"/>
        <v>1023279</v>
      </c>
      <c r="S121" s="231"/>
      <c r="T121" s="77">
        <f>Population!CG358</f>
        <v>53906</v>
      </c>
      <c r="U121" s="82">
        <f>SUM(Population!H358:L358,Population!O358)</f>
        <v>61835</v>
      </c>
      <c r="V121" s="74">
        <f>Population!G358</f>
        <v>1139</v>
      </c>
      <c r="W121" s="76">
        <f t="shared" ref="W121" si="29">SUM(T121:V121)</f>
        <v>116880</v>
      </c>
      <c r="Y121" s="233">
        <f t="shared" si="13"/>
        <v>1140159</v>
      </c>
    </row>
    <row r="122" spans="1:27" s="229" customFormat="1" hidden="1">
      <c r="A122" s="58">
        <v>42887</v>
      </c>
      <c r="B122" s="58"/>
      <c r="C122" s="74">
        <f t="shared" si="16"/>
        <v>151212</v>
      </c>
      <c r="D122" s="74">
        <f>19495+751</f>
        <v>20246</v>
      </c>
      <c r="E122" s="74">
        <v>47622</v>
      </c>
      <c r="F122" s="74">
        <v>1312</v>
      </c>
      <c r="G122" s="143">
        <f>Population!DK359+Population!DL359</f>
        <v>220392</v>
      </c>
      <c r="H122" s="80">
        <f>Population!DM359+Population!DN359</f>
        <v>60574</v>
      </c>
      <c r="I122" s="74">
        <f>Population!DP359</f>
        <v>115789</v>
      </c>
      <c r="J122" s="74">
        <f>Population!DR359</f>
        <v>15936</v>
      </c>
      <c r="K122" s="74">
        <f>Population!DO359+Population!DT359</f>
        <v>488363</v>
      </c>
      <c r="L122" s="74">
        <f>Population!DS359</f>
        <v>112320</v>
      </c>
      <c r="M122" s="74">
        <f>Population!DQ359</f>
        <v>11425</v>
      </c>
      <c r="N122" s="143">
        <f t="shared" si="10"/>
        <v>804407</v>
      </c>
      <c r="O122" s="74"/>
      <c r="P122" s="74"/>
      <c r="Q122" s="74"/>
      <c r="R122" s="76">
        <f t="shared" si="11"/>
        <v>1024799</v>
      </c>
      <c r="S122" s="231"/>
      <c r="T122" s="77">
        <f>Population!CG359</f>
        <v>54576</v>
      </c>
      <c r="U122" s="82">
        <f>SUM(Population!H359:L359,Population!O359)</f>
        <v>62102</v>
      </c>
      <c r="V122" s="74">
        <f>Population!G359</f>
        <v>1115</v>
      </c>
      <c r="W122" s="76">
        <f t="shared" ref="W122" si="30">SUM(T122:V122)</f>
        <v>117793</v>
      </c>
      <c r="Y122" s="233">
        <f t="shared" si="13"/>
        <v>1142592</v>
      </c>
    </row>
    <row r="123" spans="1:27" s="229" customFormat="1" ht="7.5" customHeight="1">
      <c r="A123" s="58"/>
      <c r="B123" s="58"/>
      <c r="D123" s="74"/>
      <c r="E123" s="74"/>
      <c r="F123" s="74"/>
      <c r="N123" s="143"/>
      <c r="O123" s="74"/>
      <c r="P123" s="74"/>
      <c r="Q123" s="74"/>
      <c r="R123" s="76"/>
      <c r="Y123" s="233"/>
    </row>
    <row r="124" spans="1:27" s="229" customFormat="1">
      <c r="A124" s="58">
        <v>42917</v>
      </c>
      <c r="B124" s="58"/>
      <c r="C124" s="74">
        <f t="shared" ref="C124:C129" si="31">G124-D124-E124-F124</f>
        <v>151481</v>
      </c>
      <c r="D124" s="74">
        <f>19619+669</f>
        <v>20288</v>
      </c>
      <c r="E124" s="74">
        <v>47916</v>
      </c>
      <c r="F124" s="74">
        <v>1290</v>
      </c>
      <c r="G124" s="143">
        <f>Population!DK360+Population!DL360</f>
        <v>220975</v>
      </c>
      <c r="H124" s="80">
        <f>Population!DM360+Population!DN360</f>
        <v>60630</v>
      </c>
      <c r="I124" s="74">
        <f>Population!DP360</f>
        <v>116829</v>
      </c>
      <c r="J124" s="74">
        <f>Population!DR360</f>
        <v>16155</v>
      </c>
      <c r="K124" s="74">
        <f>Population!DO360+Population!DT360</f>
        <v>488369</v>
      </c>
      <c r="L124" s="74">
        <f>Population!DS360</f>
        <v>113129</v>
      </c>
      <c r="M124" s="74">
        <f>Population!DQ360</f>
        <v>11734</v>
      </c>
      <c r="N124" s="143">
        <f t="shared" si="10"/>
        <v>806846</v>
      </c>
      <c r="O124" s="74"/>
      <c r="P124" s="74"/>
      <c r="Q124" s="74"/>
      <c r="R124" s="76">
        <f t="shared" si="11"/>
        <v>1027821</v>
      </c>
      <c r="S124" s="231"/>
      <c r="T124" s="77">
        <f>Population!CG360</f>
        <v>55896</v>
      </c>
      <c r="U124" s="82">
        <f>SUM(Population!H360:L360,Population!O360)</f>
        <v>63158</v>
      </c>
      <c r="V124" s="74">
        <f>Population!G360</f>
        <v>1160</v>
      </c>
      <c r="W124" s="76">
        <f t="shared" ref="W124" si="32">SUM(T124:V124)</f>
        <v>120214</v>
      </c>
      <c r="Y124" s="233">
        <f t="shared" si="13"/>
        <v>1148035</v>
      </c>
    </row>
    <row r="125" spans="1:27" s="229" customFormat="1">
      <c r="A125" s="58">
        <v>42948</v>
      </c>
      <c r="B125" s="58"/>
      <c r="C125" s="74">
        <f t="shared" si="31"/>
        <v>151585</v>
      </c>
      <c r="D125" s="74">
        <f>19658+800</f>
        <v>20458</v>
      </c>
      <c r="E125" s="74">
        <v>48379</v>
      </c>
      <c r="F125" s="74">
        <v>1314</v>
      </c>
      <c r="G125" s="143">
        <f>Population!DK361+Population!DL361</f>
        <v>221736</v>
      </c>
      <c r="H125" s="80">
        <f>Population!DM361+Population!DN361</f>
        <v>60863</v>
      </c>
      <c r="I125" s="74">
        <f>Population!DP361</f>
        <v>117693</v>
      </c>
      <c r="J125" s="74">
        <f>Population!DR361</f>
        <v>16218</v>
      </c>
      <c r="K125" s="74">
        <f>Population!DO361+Population!DT361</f>
        <v>488949</v>
      </c>
      <c r="L125" s="74">
        <f>Population!DS361</f>
        <v>113898</v>
      </c>
      <c r="M125" s="74">
        <f>Population!DQ361</f>
        <v>11940</v>
      </c>
      <c r="N125" s="143">
        <f t="shared" si="10"/>
        <v>809561</v>
      </c>
      <c r="O125" s="74"/>
      <c r="P125" s="74"/>
      <c r="Q125" s="74"/>
      <c r="R125" s="76">
        <f t="shared" si="11"/>
        <v>1031297</v>
      </c>
      <c r="S125" s="231"/>
      <c r="T125" s="77">
        <f>Population!CG361</f>
        <v>56921</v>
      </c>
      <c r="U125" s="82">
        <f>SUM(Population!H361:L361,Population!O361)</f>
        <v>63970</v>
      </c>
      <c r="V125" s="74">
        <f>Population!G361</f>
        <v>1154</v>
      </c>
      <c r="W125" s="76">
        <f t="shared" ref="W125" si="33">SUM(T125:V125)</f>
        <v>122045</v>
      </c>
      <c r="Y125" s="233">
        <f t="shared" si="13"/>
        <v>1153342</v>
      </c>
    </row>
    <row r="126" spans="1:27" s="229" customFormat="1">
      <c r="A126" s="58">
        <v>42979</v>
      </c>
      <c r="B126" s="58"/>
      <c r="C126" s="74">
        <f t="shared" si="31"/>
        <v>152280</v>
      </c>
      <c r="D126" s="74">
        <f>19591+781</f>
        <v>20372</v>
      </c>
      <c r="E126" s="74">
        <v>48331</v>
      </c>
      <c r="F126" s="74">
        <v>1330</v>
      </c>
      <c r="G126" s="143">
        <f>Population!DK362+Population!DL362</f>
        <v>222313</v>
      </c>
      <c r="H126" s="80">
        <f>Population!DM362+Population!DN362</f>
        <v>61086</v>
      </c>
      <c r="I126" s="74">
        <f>Population!DP362</f>
        <v>118335</v>
      </c>
      <c r="J126" s="74">
        <f>Population!DR362</f>
        <v>16520</v>
      </c>
      <c r="K126" s="74">
        <f>Population!DO362+Population!DT362</f>
        <v>490844</v>
      </c>
      <c r="L126" s="74">
        <f>Population!DS362</f>
        <v>115070</v>
      </c>
      <c r="M126" s="74">
        <f>Population!DQ362</f>
        <v>12314</v>
      </c>
      <c r="N126" s="143">
        <f t="shared" si="10"/>
        <v>814169</v>
      </c>
      <c r="O126" s="74"/>
      <c r="P126" s="74"/>
      <c r="Q126" s="74"/>
      <c r="R126" s="76">
        <f t="shared" si="11"/>
        <v>1036482</v>
      </c>
      <c r="S126" s="231"/>
      <c r="T126" s="77">
        <f>Population!CG362</f>
        <v>58224</v>
      </c>
      <c r="U126" s="82">
        <f>SUM(Population!H362:L362,Population!O362)</f>
        <v>65032</v>
      </c>
      <c r="V126" s="74">
        <f>Population!G362</f>
        <v>1146</v>
      </c>
      <c r="W126" s="76">
        <f t="shared" ref="W126" si="34">SUM(T126:V126)</f>
        <v>124402</v>
      </c>
      <c r="Y126" s="233">
        <f t="shared" si="13"/>
        <v>1160884</v>
      </c>
    </row>
    <row r="127" spans="1:27" s="229" customFormat="1">
      <c r="A127" s="58">
        <v>43009</v>
      </c>
      <c r="B127" s="58"/>
      <c r="C127" s="74">
        <f t="shared" si="31"/>
        <v>152116</v>
      </c>
      <c r="D127" s="74">
        <f>19700+776</f>
        <v>20476</v>
      </c>
      <c r="E127" s="74">
        <v>48717</v>
      </c>
      <c r="F127" s="74">
        <v>1323</v>
      </c>
      <c r="G127" s="143">
        <f>Population!DK363+Population!DL363</f>
        <v>222632</v>
      </c>
      <c r="H127" s="80">
        <f>Population!DM363+Population!DN363</f>
        <v>60911</v>
      </c>
      <c r="I127" s="74">
        <f>Population!DP363</f>
        <v>118989</v>
      </c>
      <c r="J127" s="74">
        <f>Population!DR363</f>
        <v>16287</v>
      </c>
      <c r="K127" s="74">
        <f>Population!DO363+Population!DT363</f>
        <v>492473</v>
      </c>
      <c r="L127" s="74">
        <f>Population!DS363</f>
        <v>116297</v>
      </c>
      <c r="M127" s="74">
        <f>Population!DQ363</f>
        <v>12505</v>
      </c>
      <c r="N127" s="143">
        <f t="shared" si="10"/>
        <v>817462</v>
      </c>
      <c r="O127" s="74"/>
      <c r="P127" s="74"/>
      <c r="Q127" s="74"/>
      <c r="R127" s="76">
        <f t="shared" si="11"/>
        <v>1040094</v>
      </c>
      <c r="S127" s="231"/>
      <c r="T127" s="77">
        <f>Population!CG363</f>
        <v>59085</v>
      </c>
      <c r="U127" s="82">
        <f>SUM(Population!H363:L363,Population!O363)</f>
        <v>66047</v>
      </c>
      <c r="V127" s="74">
        <f>Population!G363</f>
        <v>1097</v>
      </c>
      <c r="W127" s="76">
        <f t="shared" ref="W127" si="35">SUM(T127:V127)</f>
        <v>126229</v>
      </c>
      <c r="Y127" s="233">
        <f t="shared" si="13"/>
        <v>1166323</v>
      </c>
    </row>
    <row r="128" spans="1:27" s="229" customFormat="1">
      <c r="A128" s="58">
        <v>43040</v>
      </c>
      <c r="B128" s="58"/>
      <c r="C128" s="74">
        <f t="shared" si="31"/>
        <v>153236</v>
      </c>
      <c r="D128" s="74">
        <f>19736+767</f>
        <v>20503</v>
      </c>
      <c r="E128" s="74">
        <v>48687</v>
      </c>
      <c r="F128" s="74">
        <v>1327</v>
      </c>
      <c r="G128" s="143">
        <f>Population!DK364+Population!DL364</f>
        <v>223753</v>
      </c>
      <c r="H128" s="80">
        <f>Population!DM364+Population!DN364</f>
        <v>60946</v>
      </c>
      <c r="I128" s="74">
        <f>Population!DP364</f>
        <v>114510</v>
      </c>
      <c r="J128" s="74">
        <f>Population!DR364</f>
        <v>15865</v>
      </c>
      <c r="K128" s="74">
        <f>Population!DO364+Population!DT364</f>
        <v>494812</v>
      </c>
      <c r="L128" s="74">
        <f>Population!DS364</f>
        <v>122668</v>
      </c>
      <c r="M128" s="74">
        <f>Population!DQ364</f>
        <v>12911</v>
      </c>
      <c r="N128" s="143">
        <f t="shared" si="10"/>
        <v>821712</v>
      </c>
      <c r="O128" s="74"/>
      <c r="P128" s="74"/>
      <c r="Q128" s="74"/>
      <c r="R128" s="76">
        <f t="shared" si="11"/>
        <v>1045465</v>
      </c>
      <c r="S128" s="231"/>
      <c r="T128" s="77">
        <f>Population!CG364</f>
        <v>60115</v>
      </c>
      <c r="U128" s="82">
        <f>SUM(Population!H364:L364,Population!O364)</f>
        <v>67763</v>
      </c>
      <c r="V128" s="74">
        <f>Population!G364</f>
        <v>1085</v>
      </c>
      <c r="W128" s="76">
        <f t="shared" ref="W128" si="36">SUM(T128:V128)</f>
        <v>128963</v>
      </c>
      <c r="Y128" s="233">
        <f t="shared" si="13"/>
        <v>1174428</v>
      </c>
    </row>
    <row r="129" spans="1:25" s="229" customFormat="1">
      <c r="A129" s="58">
        <v>43070</v>
      </c>
      <c r="B129" s="58"/>
      <c r="C129" s="74">
        <f t="shared" si="31"/>
        <v>154069</v>
      </c>
      <c r="D129" s="74">
        <f>19712+762</f>
        <v>20474</v>
      </c>
      <c r="E129" s="74">
        <v>48343</v>
      </c>
      <c r="F129" s="74">
        <v>1332</v>
      </c>
      <c r="G129" s="143">
        <f>Population!DK365+Population!DL365</f>
        <v>224218</v>
      </c>
      <c r="H129" s="80">
        <f>Population!DM365+Population!DN365</f>
        <v>61059</v>
      </c>
      <c r="I129" s="74">
        <f>Population!DP365</f>
        <v>114406</v>
      </c>
      <c r="J129" s="74">
        <f>Population!DR365</f>
        <v>15565</v>
      </c>
      <c r="K129" s="74">
        <f>Population!DO365+Population!DT365</f>
        <v>495050</v>
      </c>
      <c r="L129" s="74">
        <f>Population!DS365</f>
        <v>124027</v>
      </c>
      <c r="M129" s="74">
        <f>Population!DQ365</f>
        <v>13378</v>
      </c>
      <c r="N129" s="143">
        <f t="shared" si="10"/>
        <v>823485</v>
      </c>
      <c r="O129" s="74"/>
      <c r="P129" s="74"/>
      <c r="Q129" s="74"/>
      <c r="R129" s="76">
        <f t="shared" si="11"/>
        <v>1047703</v>
      </c>
      <c r="S129" s="231"/>
      <c r="T129" s="77">
        <f>Population!CG365</f>
        <v>61027</v>
      </c>
      <c r="U129" s="82">
        <f>SUM(Population!H365:L365,Population!O365)</f>
        <v>68495</v>
      </c>
      <c r="V129" s="74">
        <f>Population!G365</f>
        <v>1114</v>
      </c>
      <c r="W129" s="76">
        <f t="shared" ref="W129" si="37">SUM(T129:V129)</f>
        <v>130636</v>
      </c>
      <c r="Y129" s="233">
        <f t="shared" si="13"/>
        <v>1178339</v>
      </c>
    </row>
    <row r="130" spans="1:25" s="229" customFormat="1">
      <c r="A130" s="58">
        <v>43101</v>
      </c>
      <c r="B130" s="58"/>
      <c r="C130" s="74">
        <f t="shared" ref="C130:C135" si="38">G130-D130-E130-F130</f>
        <v>155073</v>
      </c>
      <c r="D130" s="74">
        <f>19128+760</f>
        <v>19888</v>
      </c>
      <c r="E130" s="74">
        <v>47561</v>
      </c>
      <c r="F130" s="74">
        <v>1295</v>
      </c>
      <c r="G130" s="143">
        <f>Population!DK366+Population!DL366</f>
        <v>223817</v>
      </c>
      <c r="H130" s="80">
        <f>Population!DM366+Population!DN366</f>
        <v>60210</v>
      </c>
      <c r="I130" s="74">
        <f>Population!DP366</f>
        <v>114868</v>
      </c>
      <c r="J130" s="74">
        <f>Population!DR366</f>
        <v>15411</v>
      </c>
      <c r="K130" s="74">
        <f>Population!DO366+Population!DT366</f>
        <v>494345</v>
      </c>
      <c r="L130" s="74">
        <f>Population!DS366</f>
        <v>125599</v>
      </c>
      <c r="M130" s="74">
        <f>Population!DQ366</f>
        <v>13776</v>
      </c>
      <c r="N130" s="143">
        <f t="shared" si="10"/>
        <v>824209</v>
      </c>
      <c r="O130" s="74"/>
      <c r="P130" s="74"/>
      <c r="Q130" s="74"/>
      <c r="R130" s="76">
        <f t="shared" si="11"/>
        <v>1048026</v>
      </c>
      <c r="S130" s="231"/>
      <c r="T130" s="77">
        <f>Population!CG366</f>
        <v>61713</v>
      </c>
      <c r="U130" s="82">
        <f>SUM(Population!H366:L366,Population!O366)</f>
        <v>69280</v>
      </c>
      <c r="V130" s="74">
        <f>Population!G366</f>
        <v>1150</v>
      </c>
      <c r="W130" s="76">
        <f t="shared" ref="W130" si="39">SUM(T130:V130)</f>
        <v>132143</v>
      </c>
      <c r="Y130" s="233">
        <f t="shared" si="13"/>
        <v>1180169</v>
      </c>
    </row>
    <row r="131" spans="1:25" s="229" customFormat="1">
      <c r="A131" s="58">
        <v>43132</v>
      </c>
      <c r="B131" s="58"/>
      <c r="C131" s="74">
        <f t="shared" si="38"/>
        <v>154206</v>
      </c>
      <c r="D131" s="74">
        <f>19352+735</f>
        <v>20087</v>
      </c>
      <c r="E131" s="74">
        <v>48406</v>
      </c>
      <c r="F131" s="74">
        <v>1330</v>
      </c>
      <c r="G131" s="143">
        <f>Population!DK367+Population!DL367</f>
        <v>224029</v>
      </c>
      <c r="H131" s="80">
        <f>Population!DM367+Population!DN367</f>
        <v>60271</v>
      </c>
      <c r="I131" s="74">
        <f>Population!DP367</f>
        <v>115466</v>
      </c>
      <c r="J131" s="74">
        <f>Population!DR367</f>
        <v>15547</v>
      </c>
      <c r="K131" s="74">
        <f>Population!DO367+Population!DT367</f>
        <v>496175</v>
      </c>
      <c r="L131" s="74">
        <f>Population!DS367</f>
        <v>126954</v>
      </c>
      <c r="M131" s="74">
        <f>Population!DQ367</f>
        <v>14065</v>
      </c>
      <c r="N131" s="143">
        <f t="shared" si="10"/>
        <v>828478</v>
      </c>
      <c r="O131" s="74"/>
      <c r="P131" s="74"/>
      <c r="Q131" s="74"/>
      <c r="R131" s="76">
        <f t="shared" si="11"/>
        <v>1052507</v>
      </c>
      <c r="S131" s="231"/>
      <c r="T131" s="77">
        <f>Population!CG367</f>
        <v>62537</v>
      </c>
      <c r="U131" s="82">
        <f>SUM(Population!H367:L367,Population!O367)</f>
        <v>69982</v>
      </c>
      <c r="V131" s="74">
        <f>Population!G367</f>
        <v>1208</v>
      </c>
      <c r="W131" s="76">
        <f t="shared" ref="W131" si="40">SUM(T131:V131)</f>
        <v>133727</v>
      </c>
      <c r="Y131" s="233">
        <f t="shared" si="13"/>
        <v>1186234</v>
      </c>
    </row>
    <row r="132" spans="1:25" s="229" customFormat="1">
      <c r="A132" s="58">
        <v>43160</v>
      </c>
      <c r="B132" s="58"/>
      <c r="C132" s="74">
        <f t="shared" si="38"/>
        <v>154080</v>
      </c>
      <c r="D132" s="74">
        <f>19406+726</f>
        <v>20132</v>
      </c>
      <c r="E132" s="74">
        <v>48291</v>
      </c>
      <c r="F132" s="74">
        <v>1343</v>
      </c>
      <c r="G132" s="143">
        <f>Population!DK368+Population!DL368</f>
        <v>223846</v>
      </c>
      <c r="H132" s="80">
        <f>Population!DM368+Population!DN368</f>
        <v>60549</v>
      </c>
      <c r="I132" s="74">
        <f>Population!DP368</f>
        <v>115416</v>
      </c>
      <c r="J132" s="74">
        <f>Population!DR368</f>
        <v>15519</v>
      </c>
      <c r="K132" s="74">
        <f>Population!DO368+Population!DT368</f>
        <v>496473</v>
      </c>
      <c r="L132" s="74">
        <f>Population!DS368</f>
        <v>128138</v>
      </c>
      <c r="M132" s="74">
        <f>Population!DQ368</f>
        <v>14410</v>
      </c>
      <c r="N132" s="143">
        <f t="shared" si="10"/>
        <v>830505</v>
      </c>
      <c r="O132" s="74"/>
      <c r="P132" s="74"/>
      <c r="Q132" s="74"/>
      <c r="R132" s="76">
        <f t="shared" si="11"/>
        <v>1054351</v>
      </c>
      <c r="S132" s="231"/>
      <c r="T132" s="77">
        <f>Population!CG368</f>
        <v>62716</v>
      </c>
      <c r="U132" s="82">
        <f>SUM(Population!H368:L368,Population!O368)</f>
        <v>70202</v>
      </c>
      <c r="V132" s="74">
        <f>Population!G368</f>
        <v>1206</v>
      </c>
      <c r="W132" s="76">
        <f t="shared" ref="W132" si="41">SUM(T132:V132)</f>
        <v>134124</v>
      </c>
      <c r="Y132" s="233">
        <f t="shared" si="13"/>
        <v>1188475</v>
      </c>
    </row>
    <row r="133" spans="1:25" s="229" customFormat="1">
      <c r="A133" s="58">
        <v>43191</v>
      </c>
      <c r="B133" s="58"/>
      <c r="C133" s="74">
        <f t="shared" si="38"/>
        <v>154451</v>
      </c>
      <c r="D133" s="74">
        <f>19321+720</f>
        <v>20041</v>
      </c>
      <c r="E133" s="74">
        <v>48515</v>
      </c>
      <c r="F133" s="74">
        <v>1351</v>
      </c>
      <c r="G133" s="143">
        <f>Population!DK369+Population!DL369</f>
        <v>224358</v>
      </c>
      <c r="H133" s="80">
        <f>Population!DM369+Population!DN369</f>
        <v>60984</v>
      </c>
      <c r="I133" s="74">
        <f>Population!DP369</f>
        <v>115691</v>
      </c>
      <c r="J133" s="74">
        <f>Population!DR369</f>
        <v>15531</v>
      </c>
      <c r="K133" s="74">
        <f>Population!DO369+Population!DT369</f>
        <v>499183</v>
      </c>
      <c r="L133" s="74">
        <f>Population!DS369</f>
        <v>129706</v>
      </c>
      <c r="M133" s="74">
        <f>Population!DQ369</f>
        <v>14756</v>
      </c>
      <c r="N133" s="143">
        <f t="shared" si="10"/>
        <v>835851</v>
      </c>
      <c r="O133" s="74"/>
      <c r="P133" s="74"/>
      <c r="Q133" s="74"/>
      <c r="R133" s="76">
        <f t="shared" si="11"/>
        <v>1060209</v>
      </c>
      <c r="S133" s="231"/>
      <c r="T133" s="77">
        <f>Population!CG369</f>
        <v>63243</v>
      </c>
      <c r="U133" s="82">
        <f>SUM(Population!H369:L369,Population!O369)</f>
        <v>70392</v>
      </c>
      <c r="V133" s="74">
        <f>Population!G369</f>
        <v>1170</v>
      </c>
      <c r="W133" s="76">
        <f t="shared" ref="W133" si="42">SUM(T133:V133)</f>
        <v>134805</v>
      </c>
      <c r="Y133" s="233">
        <f t="shared" si="13"/>
        <v>1195014</v>
      </c>
    </row>
    <row r="134" spans="1:25" s="229" customFormat="1">
      <c r="A134" s="58">
        <v>43221</v>
      </c>
      <c r="B134" s="58"/>
      <c r="C134" s="74">
        <f t="shared" si="38"/>
        <v>154412</v>
      </c>
      <c r="D134" s="74">
        <f>19427+713</f>
        <v>20140</v>
      </c>
      <c r="E134" s="74">
        <v>48867</v>
      </c>
      <c r="F134" s="74">
        <v>1326</v>
      </c>
      <c r="G134" s="143">
        <f>Population!DK370+Population!DL370</f>
        <v>224745</v>
      </c>
      <c r="H134" s="80">
        <f>Population!DM370+Population!DN370</f>
        <v>61329</v>
      </c>
      <c r="I134" s="74">
        <f>Population!DP370</f>
        <v>115897</v>
      </c>
      <c r="J134" s="74">
        <f>Population!DR370</f>
        <v>15588</v>
      </c>
      <c r="K134" s="74">
        <f>Population!DO370+Population!DT370</f>
        <v>501833</v>
      </c>
      <c r="L134" s="74">
        <f>Population!DS370</f>
        <v>131403</v>
      </c>
      <c r="M134" s="74">
        <f>Population!DQ370</f>
        <v>15088</v>
      </c>
      <c r="N134" s="143">
        <f t="shared" si="10"/>
        <v>841138</v>
      </c>
      <c r="O134" s="74"/>
      <c r="P134" s="74"/>
      <c r="Q134" s="74"/>
      <c r="R134" s="76">
        <f t="shared" si="11"/>
        <v>1065883</v>
      </c>
      <c r="S134" s="231"/>
      <c r="T134" s="77">
        <f>Population!CG370</f>
        <v>63633</v>
      </c>
      <c r="U134" s="82">
        <f>SUM(Population!H370:L370,Population!O370)</f>
        <v>70691</v>
      </c>
      <c r="V134" s="74">
        <f>Population!G370</f>
        <v>1162</v>
      </c>
      <c r="W134" s="76">
        <f t="shared" ref="W134" si="43">SUM(T134:V134)</f>
        <v>135486</v>
      </c>
      <c r="Y134" s="233">
        <f t="shared" si="13"/>
        <v>1201369</v>
      </c>
    </row>
    <row r="135" spans="1:25" s="229" customFormat="1">
      <c r="A135" s="58">
        <v>43252</v>
      </c>
      <c r="B135" s="58"/>
      <c r="C135" s="74">
        <f t="shared" si="38"/>
        <v>154361</v>
      </c>
      <c r="D135" s="74">
        <f>19472+665</f>
        <v>20137</v>
      </c>
      <c r="E135" s="74">
        <v>49184</v>
      </c>
      <c r="F135" s="74">
        <v>1329</v>
      </c>
      <c r="G135" s="143">
        <f>Population!DK371+Population!DL371</f>
        <v>225011</v>
      </c>
      <c r="H135" s="80">
        <f>Population!DM371+Population!DN371</f>
        <v>61484</v>
      </c>
      <c r="I135" s="74">
        <f>Population!DP371</f>
        <v>115987</v>
      </c>
      <c r="J135" s="74">
        <f>Population!DR371</f>
        <v>15852</v>
      </c>
      <c r="K135" s="74">
        <f>Population!DO371+Population!DT371</f>
        <v>503581</v>
      </c>
      <c r="L135" s="74">
        <f>Population!DS371</f>
        <v>132576</v>
      </c>
      <c r="M135" s="74">
        <f>Population!DQ371</f>
        <v>15495</v>
      </c>
      <c r="N135" s="143">
        <f t="shared" si="10"/>
        <v>844975</v>
      </c>
      <c r="O135" s="74"/>
      <c r="P135" s="74"/>
      <c r="Q135" s="74"/>
      <c r="R135" s="76">
        <f>G135+N135+Q135</f>
        <v>1069986</v>
      </c>
      <c r="S135" s="231"/>
      <c r="T135" s="77">
        <f>Population!CG371</f>
        <v>63976</v>
      </c>
      <c r="U135" s="82">
        <f>SUM(Population!H371:L371,Population!O371)</f>
        <v>71140</v>
      </c>
      <c r="V135" s="74">
        <f>Population!G371</f>
        <v>1166</v>
      </c>
      <c r="W135" s="76">
        <f t="shared" ref="W135" si="44">SUM(T135:V135)</f>
        <v>136282</v>
      </c>
      <c r="Y135" s="233">
        <f t="shared" ref="Y135:Y142" si="45">R135+W135</f>
        <v>1206268</v>
      </c>
    </row>
    <row r="136" spans="1:25" s="229" customFormat="1" ht="7.5" customHeight="1">
      <c r="A136" s="58"/>
      <c r="B136" s="58"/>
      <c r="C136" s="74"/>
      <c r="D136" s="74"/>
      <c r="E136" s="74"/>
      <c r="F136" s="74"/>
      <c r="N136" s="143"/>
      <c r="O136" s="74"/>
      <c r="P136" s="74"/>
      <c r="Q136" s="74"/>
      <c r="Y136" s="233"/>
    </row>
    <row r="137" spans="1:25" s="229" customFormat="1">
      <c r="A137" s="58">
        <v>43282</v>
      </c>
      <c r="B137" s="58"/>
      <c r="C137" s="74">
        <f t="shared" ref="C137:C143" si="46">G137-D137-E137-F137</f>
        <v>154204</v>
      </c>
      <c r="D137" s="74">
        <f>19433+584</f>
        <v>20017</v>
      </c>
      <c r="E137" s="74">
        <v>49345</v>
      </c>
      <c r="F137" s="74">
        <v>1325</v>
      </c>
      <c r="G137" s="143">
        <f>Population!DK372+Population!DL372</f>
        <v>224891</v>
      </c>
      <c r="H137" s="80">
        <f>Population!DM372+Population!DN372</f>
        <v>61585</v>
      </c>
      <c r="I137" s="74">
        <f>Population!DP372</f>
        <v>115630</v>
      </c>
      <c r="J137" s="74">
        <f>Population!DR372</f>
        <v>15901</v>
      </c>
      <c r="K137" s="74">
        <f>Population!DO372+Population!DT372</f>
        <v>503959</v>
      </c>
      <c r="L137" s="74">
        <f>Population!DS372</f>
        <v>133602</v>
      </c>
      <c r="M137" s="74">
        <f>Population!DQ372</f>
        <v>15764</v>
      </c>
      <c r="N137" s="143">
        <f t="shared" ref="N137:N142" si="47">SUM(H137:M137)</f>
        <v>846441</v>
      </c>
      <c r="O137" s="74"/>
      <c r="P137" s="74"/>
      <c r="Q137" s="74"/>
      <c r="R137" s="76">
        <f t="shared" ref="R137:R142" si="48">G137+N137+Q137</f>
        <v>1071332</v>
      </c>
      <c r="S137" s="231"/>
      <c r="T137" s="77">
        <f>Population!CG372</f>
        <v>63813</v>
      </c>
      <c r="U137" s="82">
        <f>SUM(Population!H372:L372,Population!O372)</f>
        <v>70858</v>
      </c>
      <c r="V137" s="74">
        <f>Population!G372</f>
        <v>1157</v>
      </c>
      <c r="W137" s="76">
        <f t="shared" ref="W137" si="49">SUM(T137:V137)</f>
        <v>135828</v>
      </c>
      <c r="Y137" s="233">
        <f t="shared" si="45"/>
        <v>1207160</v>
      </c>
    </row>
    <row r="138" spans="1:25" s="229" customFormat="1">
      <c r="A138" s="58">
        <v>43313</v>
      </c>
      <c r="B138" s="58"/>
      <c r="C138" s="74">
        <f t="shared" si="46"/>
        <v>153975</v>
      </c>
      <c r="D138" s="74">
        <f>19253+688</f>
        <v>19941</v>
      </c>
      <c r="E138" s="74">
        <v>49667</v>
      </c>
      <c r="F138" s="74">
        <v>1343</v>
      </c>
      <c r="G138" s="143">
        <f>Population!DK373+Population!DL373</f>
        <v>224926</v>
      </c>
      <c r="H138" s="80">
        <f>Population!DM373+Population!DN373</f>
        <v>61604</v>
      </c>
      <c r="I138" s="74">
        <f>Population!DP373</f>
        <v>115734</v>
      </c>
      <c r="J138" s="74">
        <f>Population!DR373</f>
        <v>15851</v>
      </c>
      <c r="K138" s="74">
        <f>Population!DO373+Population!DT373</f>
        <v>503201</v>
      </c>
      <c r="L138" s="74">
        <f>Population!DS373</f>
        <v>133612</v>
      </c>
      <c r="M138" s="74">
        <f>Population!DQ373</f>
        <v>15996</v>
      </c>
      <c r="N138" s="143">
        <f t="shared" si="47"/>
        <v>845998</v>
      </c>
      <c r="O138" s="74"/>
      <c r="P138" s="74"/>
      <c r="Q138" s="74"/>
      <c r="R138" s="76">
        <f t="shared" si="48"/>
        <v>1070924</v>
      </c>
      <c r="S138" s="231"/>
      <c r="T138" s="77">
        <f>Population!CG373</f>
        <v>63529</v>
      </c>
      <c r="U138" s="82">
        <f>SUM(Population!H373:L373,Population!O373)</f>
        <v>70315</v>
      </c>
      <c r="V138" s="74">
        <f>Population!G373</f>
        <v>1140</v>
      </c>
      <c r="W138" s="76">
        <f t="shared" ref="W138" si="50">SUM(T138:V138)</f>
        <v>134984</v>
      </c>
      <c r="Y138" s="233">
        <f t="shared" si="45"/>
        <v>1205908</v>
      </c>
    </row>
    <row r="139" spans="1:25" s="229" customFormat="1">
      <c r="A139" s="58">
        <v>43344</v>
      </c>
      <c r="B139" s="58"/>
      <c r="C139" s="74">
        <f t="shared" si="46"/>
        <v>153915</v>
      </c>
      <c r="D139" s="74">
        <f>19222+668</f>
        <v>19890</v>
      </c>
      <c r="E139" s="74">
        <v>49747</v>
      </c>
      <c r="F139" s="74">
        <v>1326</v>
      </c>
      <c r="G139" s="143">
        <f>Population!DK374+Population!DL374</f>
        <v>224878</v>
      </c>
      <c r="H139" s="80">
        <f>Population!DM374+Population!DN374</f>
        <v>61822</v>
      </c>
      <c r="I139" s="74">
        <f>Population!DP374</f>
        <v>115908</v>
      </c>
      <c r="J139" s="74">
        <f>Population!DR374</f>
        <v>16042</v>
      </c>
      <c r="K139" s="74">
        <f>Population!DO374+Population!DT374</f>
        <v>503591</v>
      </c>
      <c r="L139" s="74">
        <f>Population!DS374</f>
        <v>134934</v>
      </c>
      <c r="M139" s="74">
        <f>Population!DQ374</f>
        <v>16339</v>
      </c>
      <c r="N139" s="143">
        <f t="shared" si="47"/>
        <v>848636</v>
      </c>
      <c r="O139" s="74"/>
      <c r="P139" s="74"/>
      <c r="Q139" s="74"/>
      <c r="R139" s="76">
        <f t="shared" si="48"/>
        <v>1073514</v>
      </c>
      <c r="S139" s="231"/>
      <c r="T139" s="77">
        <f>Population!CG374</f>
        <v>63299</v>
      </c>
      <c r="U139" s="82">
        <f>SUM(Population!H374:L374,Population!O374)</f>
        <v>70393</v>
      </c>
      <c r="V139" s="74">
        <f>Population!G374</f>
        <v>1139</v>
      </c>
      <c r="W139" s="76">
        <f t="shared" ref="W139" si="51">SUM(T139:V139)</f>
        <v>134831</v>
      </c>
      <c r="Y139" s="233">
        <f t="shared" si="45"/>
        <v>1208345</v>
      </c>
    </row>
    <row r="140" spans="1:25" s="229" customFormat="1">
      <c r="A140" s="58">
        <v>43374</v>
      </c>
      <c r="B140" s="58"/>
      <c r="C140" s="74">
        <f t="shared" si="46"/>
        <v>154416</v>
      </c>
      <c r="D140" s="74">
        <f>19147+548</f>
        <v>19695</v>
      </c>
      <c r="E140" s="74">
        <v>49094</v>
      </c>
      <c r="F140" s="74">
        <v>1324</v>
      </c>
      <c r="G140" s="143">
        <f>Population!DK375+Population!DL375</f>
        <v>224529</v>
      </c>
      <c r="H140" s="80">
        <f>Population!DM375+Population!DN375</f>
        <v>61621</v>
      </c>
      <c r="I140" s="74">
        <f>Population!DP375</f>
        <v>116026</v>
      </c>
      <c r="J140" s="74">
        <f>Population!DR375</f>
        <v>15660</v>
      </c>
      <c r="K140" s="74">
        <f>Population!DO375+Population!DT375</f>
        <v>503829</v>
      </c>
      <c r="L140" s="74">
        <f>Population!DS375</f>
        <v>136074</v>
      </c>
      <c r="M140" s="74">
        <f>Population!DQ375</f>
        <v>16578</v>
      </c>
      <c r="N140" s="143">
        <f t="shared" si="47"/>
        <v>849788</v>
      </c>
      <c r="O140" s="74"/>
      <c r="P140" s="74"/>
      <c r="Q140" s="74"/>
      <c r="R140" s="76">
        <f t="shared" si="48"/>
        <v>1074317</v>
      </c>
      <c r="S140" s="231"/>
      <c r="T140" s="77">
        <f>Population!CG375</f>
        <v>63391</v>
      </c>
      <c r="U140" s="82">
        <f>SUM(Population!H375:L375,Population!O375)</f>
        <v>70459</v>
      </c>
      <c r="V140" s="74">
        <f>Population!G375</f>
        <v>1124</v>
      </c>
      <c r="W140" s="76">
        <f t="shared" ref="W140" si="52">SUM(T140:V140)</f>
        <v>134974</v>
      </c>
      <c r="Y140" s="233">
        <f t="shared" si="45"/>
        <v>1209291</v>
      </c>
    </row>
    <row r="141" spans="1:25" s="229" customFormat="1">
      <c r="A141" s="58">
        <v>43405</v>
      </c>
      <c r="B141" s="58"/>
      <c r="C141" s="74">
        <f t="shared" si="46"/>
        <v>154960</v>
      </c>
      <c r="D141" s="74">
        <f>19203+647</f>
        <v>19850</v>
      </c>
      <c r="E141" s="74">
        <v>49130</v>
      </c>
      <c r="F141" s="74">
        <v>1220</v>
      </c>
      <c r="G141" s="143">
        <f>Population!DK376+Population!DL376</f>
        <v>225160</v>
      </c>
      <c r="H141" s="80">
        <f>Population!DM376+Population!DN376</f>
        <v>61850</v>
      </c>
      <c r="I141" s="74">
        <f>Population!DP376</f>
        <v>116709</v>
      </c>
      <c r="J141" s="74">
        <f>Population!DR376</f>
        <v>15412</v>
      </c>
      <c r="K141" s="74">
        <f>Population!DO376+Population!DT376</f>
        <v>504720</v>
      </c>
      <c r="L141" s="74">
        <f>Population!DS376</f>
        <v>138145</v>
      </c>
      <c r="M141" s="74">
        <f>Population!DQ376</f>
        <v>16945</v>
      </c>
      <c r="N141" s="143">
        <f t="shared" si="47"/>
        <v>853781</v>
      </c>
      <c r="O141" s="74"/>
      <c r="P141" s="74"/>
      <c r="Q141" s="74"/>
      <c r="R141" s="76">
        <f t="shared" si="48"/>
        <v>1078941</v>
      </c>
      <c r="S141" s="231"/>
      <c r="T141" s="77">
        <f>Population!CG376</f>
        <v>63746</v>
      </c>
      <c r="U141" s="82">
        <f>SUM(Population!H376:L376,Population!O376)</f>
        <v>70412</v>
      </c>
      <c r="V141" s="74">
        <f>Population!G376</f>
        <v>1115</v>
      </c>
      <c r="W141" s="76">
        <f t="shared" ref="W141" si="53">SUM(T141:V141)</f>
        <v>135273</v>
      </c>
      <c r="Y141" s="233">
        <f t="shared" si="45"/>
        <v>1214214</v>
      </c>
    </row>
    <row r="142" spans="1:25" s="229" customFormat="1">
      <c r="A142" s="58">
        <v>43435</v>
      </c>
      <c r="B142" s="58"/>
      <c r="C142" s="74">
        <f t="shared" si="46"/>
        <v>154494</v>
      </c>
      <c r="D142" s="74">
        <f>19350+642</f>
        <v>19992</v>
      </c>
      <c r="E142" s="74">
        <v>49430</v>
      </c>
      <c r="F142" s="74">
        <v>1191</v>
      </c>
      <c r="G142" s="143">
        <f>Population!DK377+Population!DL377</f>
        <v>225107</v>
      </c>
      <c r="H142" s="80">
        <f>Population!DM377+Population!DN377</f>
        <v>62028</v>
      </c>
      <c r="I142" s="74">
        <f>Population!DP377</f>
        <v>117174</v>
      </c>
      <c r="J142" s="74">
        <f>Population!DR377</f>
        <v>15200</v>
      </c>
      <c r="K142" s="74">
        <f>Population!DO377+Population!DT377</f>
        <v>504963</v>
      </c>
      <c r="L142" s="74">
        <f>Population!DS377</f>
        <v>141391</v>
      </c>
      <c r="M142" s="74">
        <f>Population!DQ377</f>
        <v>17085</v>
      </c>
      <c r="N142" s="143">
        <f t="shared" si="47"/>
        <v>857841</v>
      </c>
      <c r="O142" s="74"/>
      <c r="P142" s="74"/>
      <c r="Q142" s="74"/>
      <c r="R142" s="76">
        <f t="shared" si="48"/>
        <v>1082948</v>
      </c>
      <c r="S142" s="231"/>
      <c r="T142" s="77">
        <f>Population!CG377</f>
        <v>64008</v>
      </c>
      <c r="U142" s="82">
        <f>SUM(Population!H377:L377,Population!O377)</f>
        <v>70995</v>
      </c>
      <c r="V142" s="74">
        <f>Population!G377</f>
        <v>1171</v>
      </c>
      <c r="W142" s="76">
        <f t="shared" ref="W142" si="54">SUM(T142:V142)</f>
        <v>136174</v>
      </c>
      <c r="Y142" s="233">
        <f t="shared" si="45"/>
        <v>1219122</v>
      </c>
    </row>
    <row r="143" spans="1:25" s="229" customFormat="1">
      <c r="A143" s="58">
        <v>43466</v>
      </c>
      <c r="B143" s="58"/>
      <c r="C143" s="74">
        <f t="shared" si="46"/>
        <v>156564</v>
      </c>
      <c r="D143" s="74">
        <f>17649+636</f>
        <v>18285</v>
      </c>
      <c r="E143" s="74">
        <v>47770</v>
      </c>
      <c r="F143" s="74">
        <v>1116</v>
      </c>
      <c r="G143" s="143">
        <f>Population!DK378+Population!DL378</f>
        <v>223735</v>
      </c>
      <c r="H143" s="80">
        <f>Population!DM378+Population!DN378</f>
        <v>61557</v>
      </c>
      <c r="I143" s="74">
        <f>Population!DP378</f>
        <v>112146</v>
      </c>
      <c r="J143" s="74">
        <f>Population!DR378</f>
        <v>14784</v>
      </c>
      <c r="K143" s="74">
        <f>Population!DO378+Population!DT378</f>
        <v>505927</v>
      </c>
      <c r="L143" s="74">
        <f>Population!DS378</f>
        <v>41371</v>
      </c>
      <c r="M143" s="74">
        <f>Population!DQ378</f>
        <v>102</v>
      </c>
      <c r="N143" s="143">
        <f t="shared" ref="N143:N148" si="55">SUM(H143:M143)</f>
        <v>735887</v>
      </c>
      <c r="O143" s="74">
        <f>Population!DU378</f>
        <v>75210</v>
      </c>
      <c r="P143" s="74">
        <f>Population!DV378</f>
        <v>123443</v>
      </c>
      <c r="Q143" s="74">
        <f t="shared" ref="Q143:Q148" si="56">SUM(O143:P143)</f>
        <v>198653</v>
      </c>
      <c r="R143" s="76">
        <f t="shared" ref="R143:R148" si="57">G143+N143+Q143</f>
        <v>1158275</v>
      </c>
      <c r="S143" s="231"/>
      <c r="T143" s="77">
        <f>Population!CG378</f>
        <v>65088</v>
      </c>
      <c r="U143" s="82">
        <f>SUM(Population!H378:L378,Population!O378)</f>
        <v>72457</v>
      </c>
      <c r="V143" s="74">
        <f>Population!G378</f>
        <v>1267</v>
      </c>
      <c r="W143" s="76">
        <f t="shared" ref="W143" si="58">SUM(T143:V143)</f>
        <v>138812</v>
      </c>
      <c r="Y143" s="233">
        <f t="shared" ref="Y143:Y148" si="59">R143+W143</f>
        <v>1297087</v>
      </c>
    </row>
    <row r="144" spans="1:25" s="229" customFormat="1">
      <c r="A144" s="58">
        <v>43497</v>
      </c>
      <c r="B144" s="58"/>
      <c r="C144" s="74">
        <f t="shared" ref="C144:C147" si="60">G144-D144-E144-F144</f>
        <v>154367</v>
      </c>
      <c r="D144" s="74">
        <f>18750+627</f>
        <v>19377</v>
      </c>
      <c r="E144" s="74">
        <v>48939</v>
      </c>
      <c r="F144" s="74">
        <v>1168</v>
      </c>
      <c r="G144" s="143">
        <f>Population!DK379+Population!DL379</f>
        <v>223851</v>
      </c>
      <c r="H144" s="80">
        <f>Population!DM379+Population!DN379</f>
        <v>62056</v>
      </c>
      <c r="I144" s="74">
        <f>Population!DP379</f>
        <v>110438</v>
      </c>
      <c r="J144" s="74">
        <f>Population!DR379</f>
        <v>14804</v>
      </c>
      <c r="K144" s="74">
        <f>Population!DO379+Population!DT379</f>
        <v>508153</v>
      </c>
      <c r="L144" s="74">
        <f>Population!DS379</f>
        <v>41375</v>
      </c>
      <c r="M144" s="74">
        <f>Population!DQ379</f>
        <v>104</v>
      </c>
      <c r="N144" s="143">
        <f t="shared" si="55"/>
        <v>736930</v>
      </c>
      <c r="O144" s="74">
        <f>Population!DU379</f>
        <v>82626</v>
      </c>
      <c r="P144" s="74">
        <f>Population!DV379</f>
        <v>137954</v>
      </c>
      <c r="Q144" s="74">
        <f t="shared" si="56"/>
        <v>220580</v>
      </c>
      <c r="R144" s="76">
        <f t="shared" si="57"/>
        <v>1181361</v>
      </c>
      <c r="S144" s="231"/>
      <c r="T144" s="77">
        <f>Population!CG379</f>
        <v>65522</v>
      </c>
      <c r="U144" s="82">
        <f>SUM(Population!H379:L379,Population!O379)</f>
        <v>72502</v>
      </c>
      <c r="V144" s="74">
        <f>Population!G379</f>
        <v>1305</v>
      </c>
      <c r="W144" s="76">
        <f t="shared" ref="W144" si="61">SUM(T144:V144)</f>
        <v>139329</v>
      </c>
      <c r="Y144" s="233">
        <f t="shared" si="59"/>
        <v>1320690</v>
      </c>
    </row>
    <row r="145" spans="1:25" s="229" customFormat="1">
      <c r="A145" s="58">
        <v>43525</v>
      </c>
      <c r="B145" s="58"/>
      <c r="C145" s="74">
        <f t="shared" si="60"/>
        <v>153956</v>
      </c>
      <c r="D145" s="74">
        <f>18895+631</f>
        <v>19526</v>
      </c>
      <c r="E145" s="74">
        <v>48832</v>
      </c>
      <c r="F145" s="74">
        <v>1180</v>
      </c>
      <c r="G145" s="143">
        <f>Population!DK380+Population!DL380</f>
        <v>223494</v>
      </c>
      <c r="H145" s="80">
        <f>Population!DM380+Population!DN380</f>
        <v>62311</v>
      </c>
      <c r="I145" s="74">
        <f>Population!DP380</f>
        <v>108523</v>
      </c>
      <c r="J145" s="74">
        <f>Population!DR380</f>
        <v>14461</v>
      </c>
      <c r="K145" s="74">
        <f>Population!DO380+Population!DT380</f>
        <v>508063</v>
      </c>
      <c r="L145" s="74">
        <f>Population!DS380</f>
        <v>40999</v>
      </c>
      <c r="M145" s="74">
        <f>Population!DQ380</f>
        <v>93</v>
      </c>
      <c r="N145" s="143">
        <f t="shared" si="55"/>
        <v>734450</v>
      </c>
      <c r="O145" s="74">
        <f>Population!DU380</f>
        <v>87295</v>
      </c>
      <c r="P145" s="74">
        <f>Population!DV380</f>
        <v>149870</v>
      </c>
      <c r="Q145" s="74">
        <f t="shared" si="56"/>
        <v>237165</v>
      </c>
      <c r="R145" s="76">
        <f t="shared" si="57"/>
        <v>1195109</v>
      </c>
      <c r="S145" s="231"/>
      <c r="T145" s="77">
        <f>Population!CG380</f>
        <v>65369</v>
      </c>
      <c r="U145" s="82">
        <f>SUM(Population!H380:L380,Population!O380)</f>
        <v>71984</v>
      </c>
      <c r="V145" s="74">
        <f>Population!G380</f>
        <v>1269</v>
      </c>
      <c r="W145" s="76">
        <f t="shared" ref="W145" si="62">SUM(T145:V145)</f>
        <v>138622</v>
      </c>
      <c r="Y145" s="233">
        <f t="shared" si="59"/>
        <v>1333731</v>
      </c>
    </row>
    <row r="146" spans="1:25" s="229" customFormat="1">
      <c r="A146" s="58">
        <v>43556</v>
      </c>
      <c r="B146" s="58"/>
      <c r="C146" s="74">
        <f t="shared" si="60"/>
        <v>153932</v>
      </c>
      <c r="D146" s="74">
        <f>18938+663</f>
        <v>19601</v>
      </c>
      <c r="E146" s="74">
        <v>49033</v>
      </c>
      <c r="F146" s="74">
        <v>1182</v>
      </c>
      <c r="G146" s="143">
        <f>Population!DK381+Population!DL381</f>
        <v>223748</v>
      </c>
      <c r="H146" s="80">
        <f>Population!DM381+Population!DN381</f>
        <v>62872</v>
      </c>
      <c r="I146" s="74">
        <f>Population!DP381</f>
        <v>107765</v>
      </c>
      <c r="J146" s="74">
        <f>Population!DR381</f>
        <v>14295</v>
      </c>
      <c r="K146" s="74">
        <f>Population!DO381+Population!DT381</f>
        <v>510094</v>
      </c>
      <c r="L146" s="74">
        <f>Population!DS381</f>
        <v>40909</v>
      </c>
      <c r="M146" s="74">
        <f>Population!DQ381</f>
        <v>8</v>
      </c>
      <c r="N146" s="143">
        <f t="shared" si="55"/>
        <v>735943</v>
      </c>
      <c r="O146" s="74">
        <f>Population!DU381</f>
        <v>91561</v>
      </c>
      <c r="P146" s="74">
        <f>Population!DV381</f>
        <v>164031</v>
      </c>
      <c r="Q146" s="74">
        <f t="shared" si="56"/>
        <v>255592</v>
      </c>
      <c r="R146" s="76">
        <f t="shared" si="57"/>
        <v>1215283</v>
      </c>
      <c r="S146" s="231"/>
      <c r="T146" s="77">
        <f>Population!CG381</f>
        <v>65666</v>
      </c>
      <c r="U146" s="82">
        <f>SUM(Population!H381:L381,Population!O381)</f>
        <v>71649</v>
      </c>
      <c r="V146" s="74">
        <f>Population!G381</f>
        <v>1278</v>
      </c>
      <c r="W146" s="76">
        <f t="shared" ref="W146" si="63">SUM(T146:V146)</f>
        <v>138593</v>
      </c>
      <c r="Y146" s="233">
        <f t="shared" si="59"/>
        <v>1353876</v>
      </c>
    </row>
    <row r="147" spans="1:25" s="229" customFormat="1">
      <c r="A147" s="58">
        <v>43586</v>
      </c>
      <c r="B147" s="58"/>
      <c r="C147" s="74">
        <f t="shared" si="60"/>
        <v>153672</v>
      </c>
      <c r="D147" s="74">
        <f>19057+629</f>
        <v>19686</v>
      </c>
      <c r="E147" s="74">
        <v>49082</v>
      </c>
      <c r="F147" s="74">
        <v>1212</v>
      </c>
      <c r="G147" s="143">
        <f>Population!DK382+Population!DL382</f>
        <v>223652</v>
      </c>
      <c r="H147" s="80">
        <f>Population!DM382+Population!DN382</f>
        <v>63253</v>
      </c>
      <c r="I147" s="74">
        <f>Population!DP382</f>
        <v>106342</v>
      </c>
      <c r="J147" s="74">
        <f>Population!DR382</f>
        <v>14454</v>
      </c>
      <c r="K147" s="74">
        <f>Population!DO382+Population!DT382</f>
        <v>511563</v>
      </c>
      <c r="L147" s="74">
        <f>Population!DS382</f>
        <v>41089</v>
      </c>
      <c r="M147" s="74">
        <f>Population!DQ382</f>
        <v>5</v>
      </c>
      <c r="N147" s="143">
        <f t="shared" si="55"/>
        <v>736706</v>
      </c>
      <c r="O147" s="74">
        <f>Population!DU382</f>
        <v>95804</v>
      </c>
      <c r="P147" s="74">
        <f>Population!DV382</f>
        <v>175219</v>
      </c>
      <c r="Q147" s="74">
        <f t="shared" si="56"/>
        <v>271023</v>
      </c>
      <c r="R147" s="76">
        <f t="shared" si="57"/>
        <v>1231381</v>
      </c>
      <c r="S147" s="231"/>
      <c r="T147" s="77">
        <f>Population!CG382</f>
        <v>65969</v>
      </c>
      <c r="U147" s="82">
        <f>SUM(Population!H382:L382,Population!O382)</f>
        <v>71937</v>
      </c>
      <c r="V147" s="74">
        <f>Population!G382</f>
        <v>1293</v>
      </c>
      <c r="W147" s="76">
        <f t="shared" ref="W147" si="64">SUM(T147:V147)</f>
        <v>139199</v>
      </c>
      <c r="Y147" s="233">
        <f t="shared" si="59"/>
        <v>1370580</v>
      </c>
    </row>
    <row r="148" spans="1:25" s="229" customFormat="1">
      <c r="A148" s="58">
        <v>43617</v>
      </c>
      <c r="B148" s="58"/>
      <c r="C148" s="74">
        <f t="shared" ref="C148" si="65">G148-D148-E148-F148</f>
        <v>153130</v>
      </c>
      <c r="D148" s="74">
        <f>19323+606</f>
        <v>19929</v>
      </c>
      <c r="E148" s="74">
        <v>49562</v>
      </c>
      <c r="F148" s="74">
        <v>1247</v>
      </c>
      <c r="G148" s="143">
        <f>Population!DK383+Population!DL383</f>
        <v>223868</v>
      </c>
      <c r="H148" s="80">
        <f>Population!DM383+Population!DN383</f>
        <v>63840</v>
      </c>
      <c r="I148" s="74">
        <f>Population!DP383</f>
        <v>105663</v>
      </c>
      <c r="J148" s="74">
        <f>Population!DR383</f>
        <v>14474</v>
      </c>
      <c r="K148" s="74">
        <f>Population!DO383+Population!DT383</f>
        <v>513684</v>
      </c>
      <c r="L148" s="74">
        <f>Population!DS383</f>
        <v>41289</v>
      </c>
      <c r="M148" s="74">
        <f>Population!DQ383</f>
        <v>0</v>
      </c>
      <c r="N148" s="143">
        <f t="shared" si="55"/>
        <v>738950</v>
      </c>
      <c r="O148" s="74">
        <f>Population!DU383</f>
        <v>99250</v>
      </c>
      <c r="P148" s="74">
        <f>Population!DV383</f>
        <v>185216</v>
      </c>
      <c r="Q148" s="74">
        <f t="shared" si="56"/>
        <v>284466</v>
      </c>
      <c r="R148" s="76">
        <f t="shared" si="57"/>
        <v>1247284</v>
      </c>
      <c r="S148" s="231"/>
      <c r="T148" s="77">
        <f>Population!CG383</f>
        <v>66297</v>
      </c>
      <c r="U148" s="82">
        <f>SUM(Population!H383:L383,Population!O383)</f>
        <v>71936</v>
      </c>
      <c r="V148" s="74">
        <f>Population!G383</f>
        <v>1368</v>
      </c>
      <c r="W148" s="76">
        <f t="shared" ref="W148" si="66">SUM(T148:V148)</f>
        <v>139601</v>
      </c>
      <c r="Y148" s="233">
        <f t="shared" si="59"/>
        <v>1386885</v>
      </c>
    </row>
    <row r="149" spans="1:25" s="229" customFormat="1" ht="7.5" customHeight="1">
      <c r="A149" s="58"/>
      <c r="B149" s="58"/>
    </row>
    <row r="150" spans="1:25" s="229" customFormat="1">
      <c r="A150" s="58">
        <v>43647</v>
      </c>
      <c r="B150" s="58"/>
      <c r="C150" s="74">
        <f t="shared" ref="C150:C155" si="67">G150-D150-E150-F150</f>
        <v>152753</v>
      </c>
      <c r="D150" s="74">
        <f>19360+623</f>
        <v>19983</v>
      </c>
      <c r="E150" s="74">
        <v>49689</v>
      </c>
      <c r="F150" s="74">
        <v>1249</v>
      </c>
      <c r="G150" s="143">
        <f>Population!DK384+Population!DL384</f>
        <v>223674</v>
      </c>
      <c r="H150" s="80">
        <f>Population!DM384+Population!DN384</f>
        <v>64017</v>
      </c>
      <c r="I150" s="74">
        <f>Population!DP384</f>
        <v>105055</v>
      </c>
      <c r="J150" s="74">
        <f>Population!DR384</f>
        <v>14270</v>
      </c>
      <c r="K150" s="74">
        <f>Population!DO384+Population!DT384</f>
        <v>513535</v>
      </c>
      <c r="L150" s="74">
        <f>Population!DS384</f>
        <v>41514</v>
      </c>
      <c r="M150" s="74">
        <f>Population!DQ384</f>
        <v>0</v>
      </c>
      <c r="N150" s="143">
        <f t="shared" ref="N150" si="68">SUM(H150:M150)</f>
        <v>738391</v>
      </c>
      <c r="O150" s="74">
        <f>Population!DU384</f>
        <v>101062</v>
      </c>
      <c r="P150" s="74">
        <f>Population!DV384</f>
        <v>192503</v>
      </c>
      <c r="Q150" s="74">
        <f t="shared" ref="Q150" si="69">SUM(O150:P150)</f>
        <v>293565</v>
      </c>
      <c r="R150" s="76">
        <f t="shared" ref="R150" si="70">G150+N150+Q150</f>
        <v>1255630</v>
      </c>
      <c r="S150" s="231"/>
      <c r="T150" s="77">
        <f>Population!CG384</f>
        <v>66477</v>
      </c>
      <c r="U150" s="82">
        <f>SUM(Population!H384:L384,Population!O384)</f>
        <v>72196</v>
      </c>
      <c r="V150" s="74">
        <f>Population!G384</f>
        <v>1413</v>
      </c>
      <c r="W150" s="76">
        <f t="shared" ref="W150" si="71">SUM(T150:V150)</f>
        <v>140086</v>
      </c>
      <c r="Y150" s="233">
        <f t="shared" ref="Y150" si="72">R150+W150</f>
        <v>1395716</v>
      </c>
    </row>
    <row r="151" spans="1:25" s="229" customFormat="1">
      <c r="A151" s="58">
        <v>43678</v>
      </c>
      <c r="B151" s="58"/>
      <c r="C151" s="74">
        <f t="shared" si="67"/>
        <v>152377</v>
      </c>
      <c r="D151" s="74">
        <f>19213+618</f>
        <v>19831</v>
      </c>
      <c r="E151" s="74">
        <v>49929</v>
      </c>
      <c r="F151" s="74">
        <v>1290</v>
      </c>
      <c r="G151" s="143">
        <f>Population!DK385+Population!DL385</f>
        <v>223427</v>
      </c>
      <c r="H151" s="80">
        <f>Population!DM385+Population!DN385</f>
        <v>64235</v>
      </c>
      <c r="I151" s="74">
        <f>Population!DP385</f>
        <v>105110</v>
      </c>
      <c r="J151" s="74">
        <f>Population!DR385</f>
        <v>14176</v>
      </c>
      <c r="K151" s="74">
        <f>Population!DO385+Population!DT385</f>
        <v>513577</v>
      </c>
      <c r="L151" s="74">
        <f>Population!DS385</f>
        <v>41557</v>
      </c>
      <c r="M151" s="74">
        <f>Population!DQ385</f>
        <v>0</v>
      </c>
      <c r="N151" s="143">
        <f t="shared" ref="N151" si="73">SUM(H151:M151)</f>
        <v>738655</v>
      </c>
      <c r="O151" s="74">
        <f>Population!DU385</f>
        <v>102847</v>
      </c>
      <c r="P151" s="74">
        <f>Population!DV385</f>
        <v>200311</v>
      </c>
      <c r="Q151" s="74">
        <f t="shared" ref="Q151" si="74">SUM(O151:P151)</f>
        <v>303158</v>
      </c>
      <c r="R151" s="76">
        <f t="shared" ref="R151" si="75">G151+N151+Q151</f>
        <v>1265240</v>
      </c>
      <c r="S151" s="231"/>
      <c r="T151" s="77">
        <f>Population!CG385</f>
        <v>66531</v>
      </c>
      <c r="U151" s="82">
        <f>SUM(Population!H385:L385,Population!O385)</f>
        <v>72648</v>
      </c>
      <c r="V151" s="74">
        <f>Population!G385</f>
        <v>1426</v>
      </c>
      <c r="W151" s="76">
        <f t="shared" ref="W151" si="76">SUM(T151:V151)</f>
        <v>140605</v>
      </c>
      <c r="Y151" s="233">
        <f t="shared" ref="Y151" si="77">R151+W151</f>
        <v>1405845</v>
      </c>
    </row>
    <row r="152" spans="1:25" s="229" customFormat="1">
      <c r="A152" s="58">
        <v>43709</v>
      </c>
      <c r="B152" s="58"/>
      <c r="C152" s="74">
        <f t="shared" si="67"/>
        <v>152122</v>
      </c>
      <c r="D152" s="74">
        <f>19234+615</f>
        <v>19849</v>
      </c>
      <c r="E152" s="74">
        <f>50306</f>
        <v>50306</v>
      </c>
      <c r="F152" s="74">
        <v>1295</v>
      </c>
      <c r="G152" s="143">
        <f>Population!DK386+Population!DL386</f>
        <v>223572</v>
      </c>
      <c r="H152" s="80">
        <f>Population!DM386+Population!DN386</f>
        <v>64459</v>
      </c>
      <c r="I152" s="74">
        <f>Population!DP386</f>
        <v>105496</v>
      </c>
      <c r="J152" s="74">
        <f>Population!DR386</f>
        <v>14588</v>
      </c>
      <c r="K152" s="74">
        <f>Population!DO386+Population!DT386</f>
        <v>513497</v>
      </c>
      <c r="L152" s="74">
        <f>Population!DS386</f>
        <v>41635</v>
      </c>
      <c r="M152" s="74">
        <f>Population!DQ386</f>
        <v>0</v>
      </c>
      <c r="N152" s="143">
        <f t="shared" ref="N152" si="78">SUM(H152:M152)</f>
        <v>739675</v>
      </c>
      <c r="O152" s="74">
        <f>Population!DU386</f>
        <v>104334</v>
      </c>
      <c r="P152" s="74">
        <f>Population!DV386</f>
        <v>208292</v>
      </c>
      <c r="Q152" s="74">
        <f t="shared" ref="Q152" si="79">SUM(O152:P152)</f>
        <v>312626</v>
      </c>
      <c r="R152" s="76">
        <f t="shared" ref="R152" si="80">G152+N152+Q152</f>
        <v>1275873</v>
      </c>
      <c r="S152" s="231"/>
      <c r="T152" s="77">
        <f>Population!CG386</f>
        <v>66658</v>
      </c>
      <c r="U152" s="82">
        <f>SUM(Population!H386:L386,Population!O386)</f>
        <v>73737</v>
      </c>
      <c r="V152" s="74">
        <f>Population!G386</f>
        <v>1456</v>
      </c>
      <c r="W152" s="76">
        <f t="shared" ref="W152" si="81">SUM(T152:V152)</f>
        <v>141851</v>
      </c>
      <c r="Y152" s="233">
        <f t="shared" ref="Y152" si="82">R152+W152</f>
        <v>1417724</v>
      </c>
    </row>
    <row r="153" spans="1:25" s="229" customFormat="1">
      <c r="A153" s="58">
        <v>43739</v>
      </c>
      <c r="B153" s="58"/>
      <c r="C153" s="74">
        <f t="shared" si="67"/>
        <v>151979</v>
      </c>
      <c r="D153" s="74">
        <f>19272+606</f>
        <v>19878</v>
      </c>
      <c r="E153" s="74">
        <v>50602</v>
      </c>
      <c r="F153" s="74">
        <v>1318</v>
      </c>
      <c r="G153" s="143">
        <f>Population!DK387+Population!DL387</f>
        <v>223777</v>
      </c>
      <c r="H153" s="80">
        <f>Population!DM387+Population!DN387</f>
        <v>64493</v>
      </c>
      <c r="I153" s="74">
        <f>Population!DP387</f>
        <v>106542</v>
      </c>
      <c r="J153" s="74">
        <f>Population!DR387</f>
        <v>13933</v>
      </c>
      <c r="K153" s="74">
        <f>Population!DO387+Population!DT387</f>
        <v>514274</v>
      </c>
      <c r="L153" s="74">
        <f>Population!DS387</f>
        <v>42114</v>
      </c>
      <c r="M153" s="74">
        <f>Population!DQ387</f>
        <v>0</v>
      </c>
      <c r="N153" s="143">
        <f t="shared" ref="N153" si="83">SUM(H153:M153)</f>
        <v>741356</v>
      </c>
      <c r="O153" s="74">
        <f>Population!DU387</f>
        <v>106476</v>
      </c>
      <c r="P153" s="74">
        <f>Population!DV387</f>
        <v>216544</v>
      </c>
      <c r="Q153" s="74">
        <f t="shared" ref="Q153" si="84">SUM(O153:P153)</f>
        <v>323020</v>
      </c>
      <c r="R153" s="76">
        <f t="shared" ref="R153" si="85">G153+N153+Q153</f>
        <v>1288153</v>
      </c>
      <c r="S153" s="231"/>
      <c r="T153" s="77">
        <f>Population!CG387</f>
        <v>67165</v>
      </c>
      <c r="U153" s="82">
        <f>SUM(Population!H387:L387,Population!O387)</f>
        <v>74393</v>
      </c>
      <c r="V153" s="74">
        <f>Population!G387</f>
        <v>1467</v>
      </c>
      <c r="W153" s="76">
        <f t="shared" ref="W153" si="86">SUM(T153:V153)</f>
        <v>143025</v>
      </c>
      <c r="Y153" s="233">
        <f t="shared" ref="Y153" si="87">R153+W153</f>
        <v>1431178</v>
      </c>
    </row>
    <row r="154" spans="1:25" s="229" customFormat="1">
      <c r="A154" s="58">
        <v>43770</v>
      </c>
      <c r="B154" s="58"/>
      <c r="C154" s="74">
        <f t="shared" si="67"/>
        <v>151791</v>
      </c>
      <c r="D154" s="74">
        <f>19316+610</f>
        <v>19926</v>
      </c>
      <c r="E154" s="74">
        <v>50780</v>
      </c>
      <c r="F154" s="74">
        <v>1327</v>
      </c>
      <c r="G154" s="143">
        <f>Population!DK388+Population!DL388</f>
        <v>223824</v>
      </c>
      <c r="H154" s="80">
        <f>Population!DM388+Population!DN388</f>
        <v>64803</v>
      </c>
      <c r="I154" s="74">
        <f>Population!DP388</f>
        <v>107149</v>
      </c>
      <c r="J154" s="74">
        <f>Population!DR388</f>
        <v>13671</v>
      </c>
      <c r="K154" s="74">
        <f>Population!DO388+Population!DT388</f>
        <v>515211</v>
      </c>
      <c r="L154" s="74">
        <f>Population!DS388</f>
        <v>42963</v>
      </c>
      <c r="M154" s="74">
        <f>Population!DQ388</f>
        <v>0</v>
      </c>
      <c r="N154" s="143">
        <f t="shared" ref="N154" si="88">SUM(H154:M154)</f>
        <v>743797</v>
      </c>
      <c r="O154" s="74">
        <f>Population!DU388</f>
        <v>107272</v>
      </c>
      <c r="P154" s="74">
        <f>Population!DV388</f>
        <v>219598</v>
      </c>
      <c r="Q154" s="74">
        <f t="shared" ref="Q154" si="89">SUM(O154:P154)</f>
        <v>326870</v>
      </c>
      <c r="R154" s="76">
        <f t="shared" ref="R154" si="90">G154+N154+Q154</f>
        <v>1294491</v>
      </c>
      <c r="S154" s="231"/>
      <c r="T154" s="77">
        <f>Population!CG388</f>
        <v>67404</v>
      </c>
      <c r="U154" s="82">
        <f>SUM(Population!H388:L388,Population!O388)</f>
        <v>74571</v>
      </c>
      <c r="V154" s="74">
        <f>Population!G388</f>
        <v>1466</v>
      </c>
      <c r="W154" s="76">
        <f t="shared" ref="W154" si="91">SUM(T154:V154)</f>
        <v>143441</v>
      </c>
      <c r="Y154" s="233">
        <f t="shared" ref="Y154" si="92">R154+W154</f>
        <v>1437932</v>
      </c>
    </row>
    <row r="155" spans="1:25" s="229" customFormat="1">
      <c r="A155" s="58">
        <v>43800</v>
      </c>
      <c r="B155" s="58"/>
      <c r="C155" s="74">
        <f t="shared" si="67"/>
        <v>151475</v>
      </c>
      <c r="D155" s="74">
        <f>19470+605</f>
        <v>20075</v>
      </c>
      <c r="E155" s="74">
        <v>51069</v>
      </c>
      <c r="F155" s="74">
        <v>1326</v>
      </c>
      <c r="G155" s="143">
        <f>Population!DK389+Population!DL389</f>
        <v>223945</v>
      </c>
      <c r="H155" s="80">
        <f>Population!DM389+Population!DN389</f>
        <v>64964</v>
      </c>
      <c r="I155" s="74">
        <f>Population!DP389</f>
        <v>107325</v>
      </c>
      <c r="J155" s="74">
        <f>Population!DR389</f>
        <v>13360</v>
      </c>
      <c r="K155" s="74">
        <f>Population!DO389+Population!DT389</f>
        <v>517140</v>
      </c>
      <c r="L155" s="74">
        <f>Population!DS389</f>
        <v>43648</v>
      </c>
      <c r="M155" s="74">
        <f>Population!DQ389</f>
        <v>0</v>
      </c>
      <c r="N155" s="143">
        <f t="shared" ref="N155" si="93">SUM(H155:M155)</f>
        <v>746437</v>
      </c>
      <c r="O155" s="74">
        <f>Population!DU389</f>
        <v>110918</v>
      </c>
      <c r="P155" s="74">
        <f>Population!DV389</f>
        <v>232129</v>
      </c>
      <c r="Q155" s="74">
        <f t="shared" ref="Q155" si="94">SUM(O155:P155)</f>
        <v>343047</v>
      </c>
      <c r="R155" s="76">
        <f t="shared" ref="R155" si="95">G155+N155+Q155</f>
        <v>1313429</v>
      </c>
      <c r="S155" s="231"/>
      <c r="T155" s="77">
        <f>Population!CG389</f>
        <v>70767</v>
      </c>
      <c r="U155" s="82">
        <f>SUM(Population!H389:L389,Population!O389)</f>
        <v>74315</v>
      </c>
      <c r="V155" s="74">
        <f>Population!G389</f>
        <v>1591</v>
      </c>
      <c r="W155" s="76">
        <f t="shared" ref="W155" si="96">SUM(T155:V155)</f>
        <v>146673</v>
      </c>
      <c r="Y155" s="233">
        <f t="shared" ref="Y155" si="97">R155+W155</f>
        <v>1460102</v>
      </c>
    </row>
    <row r="156" spans="1:25" s="229" customFormat="1">
      <c r="A156" s="58">
        <v>43831</v>
      </c>
      <c r="B156" s="58"/>
      <c r="C156" s="74">
        <f t="shared" ref="C156:C160" si="98">G156-D156-E156-F156</f>
        <v>152856</v>
      </c>
      <c r="D156" s="74">
        <f>18732+593</f>
        <v>19325</v>
      </c>
      <c r="E156" s="74">
        <f>50000</f>
        <v>50000</v>
      </c>
      <c r="F156" s="74">
        <v>1252</v>
      </c>
      <c r="G156" s="143">
        <f>Population!DK390+Population!DL390</f>
        <v>223433</v>
      </c>
      <c r="H156" s="80">
        <f>Population!DM390+Population!DN390</f>
        <v>64820</v>
      </c>
      <c r="I156" s="74">
        <f>Population!DP390</f>
        <v>108002</v>
      </c>
      <c r="J156" s="74">
        <f>Population!DR390</f>
        <v>13158</v>
      </c>
      <c r="K156" s="74">
        <f>Population!DO390+Population!DT390</f>
        <v>521198</v>
      </c>
      <c r="L156" s="74">
        <f>Population!DS390</f>
        <v>44140</v>
      </c>
      <c r="M156" s="74">
        <f>Population!DQ390</f>
        <v>0</v>
      </c>
      <c r="N156" s="143">
        <f t="shared" ref="N156" si="99">SUM(H156:M156)</f>
        <v>751318</v>
      </c>
      <c r="O156" s="74">
        <f>Population!DU390</f>
        <v>116369</v>
      </c>
      <c r="P156" s="74">
        <f>Population!DV390</f>
        <v>255729</v>
      </c>
      <c r="Q156" s="74">
        <f t="shared" ref="Q156" si="100">SUM(O156:P156)</f>
        <v>372098</v>
      </c>
      <c r="R156" s="76">
        <f t="shared" ref="R156" si="101">G156+N156+Q156</f>
        <v>1346849</v>
      </c>
      <c r="S156" s="231"/>
      <c r="T156" s="77">
        <f>Population!CG390</f>
        <v>75187</v>
      </c>
      <c r="U156" s="82">
        <f>SUM(Population!H390:L390,Population!O390)</f>
        <v>74349</v>
      </c>
      <c r="V156" s="74">
        <f>Population!G390</f>
        <v>1719</v>
      </c>
      <c r="W156" s="76">
        <f t="shared" ref="W156" si="102">SUM(T156:V156)</f>
        <v>151255</v>
      </c>
      <c r="Y156" s="233">
        <f t="shared" ref="Y156" si="103">R156+W156</f>
        <v>1498104</v>
      </c>
    </row>
    <row r="157" spans="1:25" s="229" customFormat="1">
      <c r="A157" s="58">
        <v>43862</v>
      </c>
      <c r="B157" s="58"/>
      <c r="C157" s="74">
        <f t="shared" si="98"/>
        <v>150843</v>
      </c>
      <c r="D157" s="74">
        <f>19149+585</f>
        <v>19734</v>
      </c>
      <c r="E157" s="74">
        <v>51181</v>
      </c>
      <c r="F157" s="74">
        <v>1317</v>
      </c>
      <c r="G157" s="143">
        <f>Population!DK391+Population!DL391</f>
        <v>223075</v>
      </c>
      <c r="H157" s="80">
        <f>Population!DM391+Population!DN391</f>
        <v>64651</v>
      </c>
      <c r="I157" s="74">
        <f>Population!DP391</f>
        <v>107909</v>
      </c>
      <c r="J157" s="74">
        <f>Population!DR391</f>
        <v>13275</v>
      </c>
      <c r="K157" s="74">
        <f>Population!DO391+Population!DT391</f>
        <v>521131</v>
      </c>
      <c r="L157" s="74">
        <f>Population!DS391</f>
        <v>45215</v>
      </c>
      <c r="M157" s="74">
        <f>Population!DQ391</f>
        <v>0</v>
      </c>
      <c r="N157" s="143">
        <f t="shared" ref="N157" si="104">SUM(H157:M157)</f>
        <v>752181</v>
      </c>
      <c r="O157" s="74">
        <f>Population!DU391</f>
        <v>117421</v>
      </c>
      <c r="P157" s="74">
        <f>Population!DV391</f>
        <v>264506</v>
      </c>
      <c r="Q157" s="74">
        <f t="shared" ref="Q157" si="105">SUM(O157:P157)</f>
        <v>381927</v>
      </c>
      <c r="R157" s="76">
        <f t="shared" ref="R157" si="106">G157+N157+Q157</f>
        <v>1357183</v>
      </c>
      <c r="S157" s="231"/>
      <c r="T157" s="77">
        <f>Population!CG391</f>
        <v>75211</v>
      </c>
      <c r="U157" s="82">
        <f>SUM(Population!H391:L391,Population!O391)</f>
        <v>74943</v>
      </c>
      <c r="V157" s="74">
        <f>Population!G391</f>
        <v>1687</v>
      </c>
      <c r="W157" s="76">
        <f t="shared" ref="W157" si="107">SUM(T157:V157)</f>
        <v>151841</v>
      </c>
      <c r="Y157" s="233">
        <f t="shared" ref="Y157" si="108">R157+W157</f>
        <v>1509024</v>
      </c>
    </row>
    <row r="158" spans="1:25" s="229" customFormat="1">
      <c r="A158" s="58">
        <v>43891</v>
      </c>
      <c r="B158" s="58"/>
      <c r="C158" s="74">
        <f t="shared" si="98"/>
        <v>150727</v>
      </c>
      <c r="D158" s="74">
        <f>19269+572</f>
        <v>19841</v>
      </c>
      <c r="E158" s="74">
        <v>51199</v>
      </c>
      <c r="F158" s="74">
        <v>1306</v>
      </c>
      <c r="G158" s="143">
        <f>Population!DK392+Population!DL392</f>
        <v>223073</v>
      </c>
      <c r="H158" s="80">
        <f>Population!DM392+Population!DN392</f>
        <v>64416</v>
      </c>
      <c r="I158" s="74">
        <f>Population!DP392</f>
        <v>108369</v>
      </c>
      <c r="J158" s="74">
        <f>Population!DR392</f>
        <v>13168</v>
      </c>
      <c r="K158" s="74">
        <f>Population!DO392+Population!DT392</f>
        <v>521899</v>
      </c>
      <c r="L158" s="74">
        <f>Population!DS392</f>
        <v>45893</v>
      </c>
      <c r="M158" s="74">
        <f>Population!DQ392</f>
        <v>0</v>
      </c>
      <c r="N158" s="143">
        <f t="shared" ref="N158" si="109">SUM(H158:M158)</f>
        <v>753745</v>
      </c>
      <c r="O158" s="74">
        <f>Population!DU392</f>
        <v>117940</v>
      </c>
      <c r="P158" s="74">
        <f>Population!DV392</f>
        <v>269049</v>
      </c>
      <c r="Q158" s="74">
        <f t="shared" ref="Q158" si="110">SUM(O158:P158)</f>
        <v>386989</v>
      </c>
      <c r="R158" s="76">
        <f t="shared" ref="R158" si="111">G158+N158+Q158</f>
        <v>1363807</v>
      </c>
      <c r="S158" s="231"/>
      <c r="T158" s="77">
        <f>Population!CG392</f>
        <v>75329</v>
      </c>
      <c r="U158" s="82">
        <f>SUM(Population!H392:L392,Population!O392)</f>
        <v>75296</v>
      </c>
      <c r="V158" s="74">
        <f>Population!G392</f>
        <v>1563</v>
      </c>
      <c r="W158" s="76">
        <f t="shared" ref="W158" si="112">SUM(T158:V158)</f>
        <v>152188</v>
      </c>
      <c r="Y158" s="233">
        <f t="shared" ref="Y158" si="113">R158+W158</f>
        <v>1515995</v>
      </c>
    </row>
    <row r="159" spans="1:25" s="229" customFormat="1">
      <c r="A159" s="58">
        <v>43922</v>
      </c>
      <c r="B159" s="58"/>
      <c r="C159" s="74">
        <f t="shared" si="98"/>
        <v>151824</v>
      </c>
      <c r="D159" s="74">
        <f>19251+576</f>
        <v>19827</v>
      </c>
      <c r="E159" s="74">
        <v>51249</v>
      </c>
      <c r="F159" s="74">
        <v>1333</v>
      </c>
      <c r="G159" s="143">
        <f>Population!DK393+Population!DL393</f>
        <v>224233</v>
      </c>
      <c r="H159" s="80">
        <f>Population!DM393+Population!DN393</f>
        <v>64790</v>
      </c>
      <c r="I159" s="74">
        <f>Population!DP393</f>
        <v>109412</v>
      </c>
      <c r="J159" s="74">
        <f>Population!DR393</f>
        <v>13741</v>
      </c>
      <c r="K159" s="74">
        <f>Population!DO393+Population!DT393</f>
        <v>525735</v>
      </c>
      <c r="L159" s="74">
        <f>Population!DS393</f>
        <v>46521</v>
      </c>
      <c r="M159" s="74">
        <f>Population!DQ393</f>
        <v>0</v>
      </c>
      <c r="N159" s="143">
        <f t="shared" ref="N159" si="114">SUM(H159:M159)</f>
        <v>760199</v>
      </c>
      <c r="O159" s="74">
        <f>Population!DU393</f>
        <v>118821</v>
      </c>
      <c r="P159" s="74">
        <f>Population!DV393</f>
        <v>277802</v>
      </c>
      <c r="Q159" s="74">
        <f t="shared" ref="Q159" si="115">SUM(O159:P159)</f>
        <v>396623</v>
      </c>
      <c r="R159" s="76">
        <f t="shared" ref="R159" si="116">G159+N159+Q159</f>
        <v>1381055</v>
      </c>
      <c r="S159" s="231"/>
      <c r="T159" s="77">
        <f>Population!CG393</f>
        <v>75899</v>
      </c>
      <c r="U159" s="82">
        <f>SUM(Population!H393:L393,Population!O393)</f>
        <v>76074</v>
      </c>
      <c r="V159" s="74">
        <f>Population!G393</f>
        <v>1642</v>
      </c>
      <c r="W159" s="76">
        <f t="shared" ref="W159" si="117">SUM(T159:V159)</f>
        <v>153615</v>
      </c>
      <c r="Y159" s="233">
        <f t="shared" ref="Y159" si="118">R159+W159</f>
        <v>1534670</v>
      </c>
    </row>
    <row r="160" spans="1:25" s="229" customFormat="1">
      <c r="A160" s="58">
        <v>43952</v>
      </c>
      <c r="B160" s="58"/>
      <c r="C160" s="74">
        <f t="shared" si="98"/>
        <v>154988</v>
      </c>
      <c r="D160" s="74">
        <f>19251+574</f>
        <v>19825</v>
      </c>
      <c r="E160" s="74">
        <v>52001</v>
      </c>
      <c r="F160" s="74">
        <v>1387</v>
      </c>
      <c r="G160" s="143">
        <f>Population!DK394+Population!DL394</f>
        <v>228201</v>
      </c>
      <c r="H160" s="80">
        <f>Population!DM394+Population!DN394</f>
        <v>66320</v>
      </c>
      <c r="I160" s="74">
        <f>Population!DP394</f>
        <v>115774</v>
      </c>
      <c r="J160" s="74">
        <f>Population!DR394</f>
        <v>15770</v>
      </c>
      <c r="K160" s="74">
        <f>Population!DO394+Population!DT394</f>
        <v>542608</v>
      </c>
      <c r="L160" s="74">
        <f>Population!DS394</f>
        <v>45224</v>
      </c>
      <c r="M160" s="74">
        <f>Population!DQ394</f>
        <v>0</v>
      </c>
      <c r="N160" s="143">
        <f t="shared" ref="N160" si="119">SUM(H160:M160)</f>
        <v>785696</v>
      </c>
      <c r="O160" s="74">
        <f>Population!DU394</f>
        <v>122540</v>
      </c>
      <c r="P160" s="74">
        <f>Population!DV394</f>
        <v>293951</v>
      </c>
      <c r="Q160" s="74">
        <f t="shared" ref="Q160" si="120">SUM(O160:P160)</f>
        <v>416491</v>
      </c>
      <c r="R160" s="76">
        <f t="shared" ref="R160" si="121">G160+N160+Q160</f>
        <v>1430388</v>
      </c>
      <c r="S160" s="231"/>
      <c r="T160" s="77">
        <f>Population!CG394</f>
        <v>76873</v>
      </c>
      <c r="U160" s="82">
        <f>SUM(Population!H394:L394,Population!O394)</f>
        <v>76837</v>
      </c>
      <c r="V160" s="74">
        <f>Population!G394</f>
        <v>1772</v>
      </c>
      <c r="W160" s="76">
        <f t="shared" ref="W160" si="122">SUM(T160:V160)</f>
        <v>155482</v>
      </c>
      <c r="Y160" s="233">
        <f t="shared" ref="Y160" si="123">R160+W160</f>
        <v>1585870</v>
      </c>
    </row>
    <row r="161" spans="1:27" s="229" customFormat="1">
      <c r="A161" s="58">
        <v>43983</v>
      </c>
      <c r="B161" s="58"/>
      <c r="C161" s="74">
        <f>G161-D161-E161-F161</f>
        <v>155095</v>
      </c>
      <c r="D161" s="74">
        <f>19476+578</f>
        <v>20054</v>
      </c>
      <c r="E161" s="74">
        <v>52557</v>
      </c>
      <c r="F161" s="74">
        <v>1400</v>
      </c>
      <c r="G161" s="143">
        <f>Population!DK395+Population!DL395</f>
        <v>229106</v>
      </c>
      <c r="H161" s="80">
        <f>Population!DM395+Population!DN395</f>
        <v>66595</v>
      </c>
      <c r="I161" s="74">
        <f>Population!DP395</f>
        <v>118311</v>
      </c>
      <c r="J161" s="74">
        <f>Population!DR395</f>
        <v>16939</v>
      </c>
      <c r="K161" s="74">
        <f>Population!DO395+Population!DT395</f>
        <v>549695</v>
      </c>
      <c r="L161" s="74">
        <f>Population!DS395</f>
        <v>45026</v>
      </c>
      <c r="M161" s="74">
        <f>Population!DQ395</f>
        <v>0</v>
      </c>
      <c r="N161" s="143">
        <f t="shared" ref="N161" si="124">SUM(H161:M161)</f>
        <v>796566</v>
      </c>
      <c r="O161" s="74">
        <f>Population!DU395</f>
        <v>124160</v>
      </c>
      <c r="P161" s="74">
        <f>Population!DV395</f>
        <v>301940</v>
      </c>
      <c r="Q161" s="74">
        <f t="shared" ref="Q161" si="125">SUM(O161:P161)</f>
        <v>426100</v>
      </c>
      <c r="R161" s="76">
        <f t="shared" ref="R161" si="126">G161+N161+Q161</f>
        <v>1451772</v>
      </c>
      <c r="S161" s="231"/>
      <c r="T161" s="77">
        <f>Population!CG395</f>
        <v>77419</v>
      </c>
      <c r="U161" s="82">
        <f>SUM(Population!H395:L395,Population!O395)</f>
        <v>76671</v>
      </c>
      <c r="V161" s="74">
        <f>Population!G395</f>
        <v>1841</v>
      </c>
      <c r="W161" s="76">
        <f t="shared" ref="W161" si="127">SUM(T161:V161)</f>
        <v>155931</v>
      </c>
      <c r="Y161" s="233">
        <f t="shared" ref="Y161" si="128">R161+W161</f>
        <v>1607703</v>
      </c>
      <c r="AA161" s="234"/>
    </row>
    <row r="162" spans="1:27" s="229" customFormat="1" ht="6.75" customHeight="1">
      <c r="A162" s="58"/>
      <c r="B162" s="58"/>
      <c r="C162" s="74"/>
      <c r="D162" s="74"/>
      <c r="E162" s="74"/>
      <c r="F162" s="74"/>
      <c r="G162" s="143"/>
      <c r="H162" s="80"/>
      <c r="I162" s="74"/>
      <c r="J162" s="74"/>
      <c r="K162" s="74"/>
      <c r="L162" s="74"/>
      <c r="M162" s="74"/>
      <c r="N162" s="143"/>
      <c r="O162" s="74"/>
      <c r="P162" s="74"/>
      <c r="Q162" s="74"/>
      <c r="R162" s="76"/>
      <c r="S162" s="231"/>
      <c r="T162" s="77"/>
      <c r="U162" s="82"/>
      <c r="V162" s="74"/>
      <c r="W162" s="76"/>
      <c r="Y162" s="233"/>
      <c r="AA162" s="234"/>
    </row>
    <row r="163" spans="1:27" s="229" customFormat="1">
      <c r="A163" s="58">
        <v>44013</v>
      </c>
      <c r="B163" s="58"/>
      <c r="C163" s="74">
        <f t="shared" ref="C163:C173" si="129">G163-D163-E163-F163</f>
        <v>155468</v>
      </c>
      <c r="D163" s="74">
        <f>19425+577</f>
        <v>20002</v>
      </c>
      <c r="E163" s="74">
        <v>52972</v>
      </c>
      <c r="F163" s="74">
        <v>1414</v>
      </c>
      <c r="G163" s="143">
        <f>Population!DK396+Population!DL396</f>
        <v>229856</v>
      </c>
      <c r="H163" s="80">
        <f>Population!DM396+Population!DN396</f>
        <v>66796</v>
      </c>
      <c r="I163" s="74">
        <f>Population!DP396</f>
        <v>120535</v>
      </c>
      <c r="J163" s="74">
        <f>Population!DR396</f>
        <v>18011</v>
      </c>
      <c r="K163" s="74">
        <f>Population!DO396+Population!DT396</f>
        <v>556991</v>
      </c>
      <c r="L163" s="74">
        <f>Population!DS396</f>
        <v>44946</v>
      </c>
      <c r="M163" s="74">
        <f>Population!DQ396</f>
        <v>0</v>
      </c>
      <c r="N163" s="143">
        <f t="shared" ref="N163" si="130">SUM(H163:M163)</f>
        <v>807279</v>
      </c>
      <c r="O163" s="74">
        <f>Population!DU396</f>
        <v>125736</v>
      </c>
      <c r="P163" s="74">
        <f>Population!DV396</f>
        <v>310445</v>
      </c>
      <c r="Q163" s="74">
        <f t="shared" ref="Q163" si="131">SUM(O163:P163)</f>
        <v>436181</v>
      </c>
      <c r="R163" s="76">
        <f t="shared" ref="R163" si="132">G163+N163+Q163</f>
        <v>1473316</v>
      </c>
      <c r="S163" s="231"/>
      <c r="T163" s="77">
        <f>Population!CG396</f>
        <v>77996</v>
      </c>
      <c r="U163" s="82">
        <f>SUM(Population!H396:L396,Population!O396)</f>
        <v>76574</v>
      </c>
      <c r="V163" s="74">
        <f>Population!G396</f>
        <v>1936</v>
      </c>
      <c r="W163" s="76">
        <f t="shared" ref="W163" si="133">SUM(T163:V163)</f>
        <v>156506</v>
      </c>
      <c r="Y163" s="233">
        <f t="shared" ref="Y163" si="134">R163+W163</f>
        <v>1629822</v>
      </c>
      <c r="AA163" s="234"/>
    </row>
    <row r="164" spans="1:27" s="229" customFormat="1">
      <c r="A164" s="58">
        <v>44044</v>
      </c>
      <c r="B164" s="58"/>
      <c r="C164" s="74">
        <f t="shared" si="129"/>
        <v>156262</v>
      </c>
      <c r="D164" s="74">
        <f>19456+583</f>
        <v>20039</v>
      </c>
      <c r="E164" s="74">
        <v>53142</v>
      </c>
      <c r="F164" s="74">
        <v>1402</v>
      </c>
      <c r="G164" s="143">
        <f>Population!DK397+Population!DL397</f>
        <v>230845</v>
      </c>
      <c r="H164" s="80">
        <f>Population!DM397+Population!DN397</f>
        <v>67011</v>
      </c>
      <c r="I164" s="74">
        <f>Population!DP397</f>
        <v>122711</v>
      </c>
      <c r="J164" s="74">
        <f>Population!DR397</f>
        <v>18737</v>
      </c>
      <c r="K164" s="74">
        <f>Population!DO397+Population!DT397</f>
        <v>560998</v>
      </c>
      <c r="L164" s="74">
        <f>Population!DS397</f>
        <v>45371</v>
      </c>
      <c r="M164" s="74">
        <f>Population!DQ397</f>
        <v>0</v>
      </c>
      <c r="N164" s="143">
        <f t="shared" ref="N164" si="135">SUM(H164:M164)</f>
        <v>814828</v>
      </c>
      <c r="O164" s="74">
        <f>Population!DU397</f>
        <v>127198</v>
      </c>
      <c r="P164" s="74">
        <f>Population!DV397</f>
        <v>321041</v>
      </c>
      <c r="Q164" s="74">
        <f t="shared" ref="Q164" si="136">SUM(O164:P164)</f>
        <v>448239</v>
      </c>
      <c r="R164" s="76">
        <f t="shared" ref="R164" si="137">G164+N164+Q164</f>
        <v>1493912</v>
      </c>
      <c r="S164" s="231"/>
      <c r="T164" s="77">
        <f>Population!CG397</f>
        <v>78089</v>
      </c>
      <c r="U164" s="82">
        <f>SUM(Population!H397:L397,Population!O397)</f>
        <v>77112</v>
      </c>
      <c r="V164" s="74">
        <f>Population!G397</f>
        <v>1739</v>
      </c>
      <c r="W164" s="76">
        <f t="shared" ref="W164" si="138">SUM(T164:V164)</f>
        <v>156940</v>
      </c>
      <c r="Y164" s="233">
        <f t="shared" ref="Y164:Y165" si="139">R164+W164</f>
        <v>1650852</v>
      </c>
      <c r="AA164" s="234"/>
    </row>
    <row r="165" spans="1:27" s="229" customFormat="1">
      <c r="A165" s="58">
        <v>44075</v>
      </c>
      <c r="B165" s="58"/>
      <c r="C165" s="74">
        <f t="shared" si="129"/>
        <v>156468</v>
      </c>
      <c r="D165" s="74">
        <f>19327+575</f>
        <v>19902</v>
      </c>
      <c r="E165" s="74">
        <v>53387</v>
      </c>
      <c r="F165" s="74">
        <v>1430</v>
      </c>
      <c r="G165" s="143">
        <f>Population!DK398+Population!DL398</f>
        <v>231187</v>
      </c>
      <c r="H165" s="80">
        <f>Population!DM398+Population!DN398</f>
        <v>67020</v>
      </c>
      <c r="I165" s="74">
        <f>Population!DP398</f>
        <v>124596</v>
      </c>
      <c r="J165" s="74">
        <f>Population!DR398</f>
        <v>18918</v>
      </c>
      <c r="K165" s="74">
        <f>Population!DO398+Population!DT398</f>
        <v>566635</v>
      </c>
      <c r="L165" s="74">
        <f>Population!DS398</f>
        <v>45731</v>
      </c>
      <c r="M165" s="74">
        <f>Population!DQ398</f>
        <v>0</v>
      </c>
      <c r="N165" s="143">
        <f t="shared" ref="N165" si="140">SUM(H165:M165)</f>
        <v>822900</v>
      </c>
      <c r="O165" s="74">
        <f>Population!DU398</f>
        <v>128844</v>
      </c>
      <c r="P165" s="74">
        <f>Population!DV398</f>
        <v>329720</v>
      </c>
      <c r="Q165" s="74">
        <f t="shared" ref="Q165" si="141">SUM(O165:P165)</f>
        <v>458564</v>
      </c>
      <c r="R165" s="76">
        <f t="shared" ref="R165" si="142">G165+N165+Q165</f>
        <v>1512651</v>
      </c>
      <c r="S165" s="231"/>
      <c r="T165" s="77">
        <f>Population!CG398</f>
        <v>78262</v>
      </c>
      <c r="U165" s="82">
        <f>SUM(Population!H398:L398,Population!O398)</f>
        <v>77063</v>
      </c>
      <c r="V165" s="74">
        <f>Population!G398</f>
        <v>1567</v>
      </c>
      <c r="W165" s="76">
        <f t="shared" ref="W165" si="143">SUM(T165:V165)</f>
        <v>156892</v>
      </c>
      <c r="Y165" s="233">
        <f t="shared" si="139"/>
        <v>1669543</v>
      </c>
      <c r="AA165" s="234"/>
    </row>
    <row r="166" spans="1:27" s="229" customFormat="1">
      <c r="A166" s="58">
        <v>44105</v>
      </c>
      <c r="B166" s="58"/>
      <c r="C166" s="74">
        <f t="shared" si="129"/>
        <v>157104</v>
      </c>
      <c r="D166" s="74">
        <f>19222+575</f>
        <v>19797</v>
      </c>
      <c r="E166" s="74">
        <v>53414</v>
      </c>
      <c r="F166" s="74">
        <v>1439</v>
      </c>
      <c r="G166" s="143">
        <f>Population!DK399+Population!DL399</f>
        <v>231754</v>
      </c>
      <c r="H166" s="80">
        <f>Population!DM399+Population!DN399</f>
        <v>67030</v>
      </c>
      <c r="I166" s="74">
        <f>Population!DP399</f>
        <v>126847</v>
      </c>
      <c r="J166" s="74">
        <f>Population!DR399</f>
        <v>19504</v>
      </c>
      <c r="K166" s="74">
        <f>Population!DO399+Population!DT399</f>
        <v>573039</v>
      </c>
      <c r="L166" s="74">
        <f>Population!DS399</f>
        <v>45407</v>
      </c>
      <c r="M166" s="74">
        <f>Population!DQ399</f>
        <v>0</v>
      </c>
      <c r="N166" s="143">
        <f t="shared" ref="N166" si="144">SUM(H166:M166)</f>
        <v>831827</v>
      </c>
      <c r="O166" s="74">
        <f>Population!DU399</f>
        <v>130381</v>
      </c>
      <c r="P166" s="74">
        <f>Population!DV399</f>
        <v>339312</v>
      </c>
      <c r="Q166" s="74">
        <f t="shared" ref="Q166" si="145">SUM(O166:P166)</f>
        <v>469693</v>
      </c>
      <c r="R166" s="76">
        <f t="shared" ref="R166" si="146">G166+N166+Q166</f>
        <v>1533274</v>
      </c>
      <c r="S166" s="231"/>
      <c r="T166" s="77">
        <f>Population!CG399</f>
        <v>78176</v>
      </c>
      <c r="U166" s="82">
        <f>SUM(Population!H399:L399,Population!O399)</f>
        <v>77375</v>
      </c>
      <c r="V166" s="74">
        <f>Population!G399</f>
        <v>1505</v>
      </c>
      <c r="W166" s="76">
        <f t="shared" ref="W166" si="147">SUM(T166:V166)</f>
        <v>157056</v>
      </c>
      <c r="Y166" s="233">
        <f t="shared" ref="Y166" si="148">R166+W166</f>
        <v>1690330</v>
      </c>
      <c r="AA166" s="234"/>
    </row>
    <row r="167" spans="1:27" s="229" customFormat="1">
      <c r="A167" s="58">
        <v>44136</v>
      </c>
      <c r="B167" s="58"/>
      <c r="C167" s="74">
        <f t="shared" si="129"/>
        <v>157454</v>
      </c>
      <c r="D167" s="74">
        <f>19130+566</f>
        <v>19696</v>
      </c>
      <c r="E167" s="74">
        <v>53769</v>
      </c>
      <c r="F167" s="74">
        <v>1450</v>
      </c>
      <c r="G167" s="143">
        <f>Population!DK400+Population!DL400</f>
        <v>232369</v>
      </c>
      <c r="H167" s="80">
        <f>Population!DM400+Population!DN400</f>
        <v>67092</v>
      </c>
      <c r="I167" s="74">
        <f>Population!DP400</f>
        <v>128484</v>
      </c>
      <c r="J167" s="74">
        <f>Population!DR400</f>
        <v>20215</v>
      </c>
      <c r="K167" s="74">
        <f>Population!DO400+Population!DT400</f>
        <v>578468</v>
      </c>
      <c r="L167" s="74">
        <f>Population!DS400</f>
        <v>45195</v>
      </c>
      <c r="M167" s="74">
        <f>Population!DQ400</f>
        <v>0</v>
      </c>
      <c r="N167" s="143">
        <f t="shared" ref="N167" si="149">SUM(H167:M167)</f>
        <v>839454</v>
      </c>
      <c r="O167" s="74">
        <f>Population!DU400</f>
        <v>132110</v>
      </c>
      <c r="P167" s="74">
        <f>Population!DV400</f>
        <v>347720</v>
      </c>
      <c r="Q167" s="74">
        <f t="shared" ref="Q167" si="150">SUM(O167:P167)</f>
        <v>479830</v>
      </c>
      <c r="R167" s="76">
        <f t="shared" ref="R167" si="151">G167+N167+Q167</f>
        <v>1551653</v>
      </c>
      <c r="S167" s="231"/>
      <c r="T167" s="77">
        <f>Population!CG400</f>
        <v>78244</v>
      </c>
      <c r="U167" s="82">
        <f>SUM(Population!H400:L400,Population!O400)</f>
        <v>77987</v>
      </c>
      <c r="V167" s="74">
        <f>Population!G400</f>
        <v>1495</v>
      </c>
      <c r="W167" s="76">
        <f t="shared" ref="W167" si="152">SUM(T167:V167)</f>
        <v>157726</v>
      </c>
      <c r="Y167" s="233">
        <f t="shared" ref="Y167" si="153">R167+W167</f>
        <v>1709379</v>
      </c>
      <c r="AA167" s="234"/>
    </row>
    <row r="168" spans="1:27" s="229" customFormat="1">
      <c r="A168" s="58">
        <v>44166</v>
      </c>
      <c r="B168" s="58"/>
      <c r="C168" s="74">
        <f t="shared" si="129"/>
        <v>157829</v>
      </c>
      <c r="D168" s="74">
        <f>19029+562</f>
        <v>19591</v>
      </c>
      <c r="E168" s="74">
        <v>54134</v>
      </c>
      <c r="F168" s="74">
        <v>1457</v>
      </c>
      <c r="G168" s="143">
        <f>Population!DK401+Population!DL401</f>
        <v>233011</v>
      </c>
      <c r="H168" s="80">
        <f>Population!DM401+Population!DN401</f>
        <v>67122</v>
      </c>
      <c r="I168" s="74">
        <f>Population!DP401</f>
        <v>130390</v>
      </c>
      <c r="J168" s="74">
        <f>Population!DR401</f>
        <v>20563</v>
      </c>
      <c r="K168" s="74">
        <f>Population!DO401+Population!DT401</f>
        <v>583361</v>
      </c>
      <c r="L168" s="74">
        <f>Population!DS401</f>
        <v>45421</v>
      </c>
      <c r="M168" s="74">
        <f>Population!DQ401</f>
        <v>0</v>
      </c>
      <c r="N168" s="143">
        <f t="shared" ref="N168" si="154">SUM(H168:M168)</f>
        <v>846857</v>
      </c>
      <c r="O168" s="74">
        <f>Population!DU401</f>
        <v>134066</v>
      </c>
      <c r="P168" s="74">
        <f>Population!DV401</f>
        <v>360174</v>
      </c>
      <c r="Q168" s="74">
        <f t="shared" ref="Q168" si="155">SUM(O168:P168)</f>
        <v>494240</v>
      </c>
      <c r="R168" s="76">
        <f t="shared" ref="R168" si="156">G168+N168+Q168</f>
        <v>1574108</v>
      </c>
      <c r="S168" s="231"/>
      <c r="T168" s="77">
        <f>Population!CG401</f>
        <v>78999</v>
      </c>
      <c r="U168" s="82">
        <f>SUM(Population!H401:L401,Population!O401)</f>
        <v>78769</v>
      </c>
      <c r="V168" s="74">
        <f>Population!G401</f>
        <v>1529</v>
      </c>
      <c r="W168" s="76">
        <f t="shared" ref="W168" si="157">SUM(T168:V168)</f>
        <v>159297</v>
      </c>
      <c r="Y168" s="233">
        <f t="shared" ref="Y168" si="158">R168+W168</f>
        <v>1733405</v>
      </c>
      <c r="AA168" s="234"/>
    </row>
    <row r="169" spans="1:27" s="229" customFormat="1">
      <c r="A169" s="58">
        <v>44197</v>
      </c>
      <c r="B169" s="58"/>
      <c r="C169" s="74">
        <f t="shared" si="129"/>
        <v>158168</v>
      </c>
      <c r="D169" s="74">
        <f>18659+562</f>
        <v>19221</v>
      </c>
      <c r="E169" s="74">
        <v>54344</v>
      </c>
      <c r="F169" s="74">
        <v>1475</v>
      </c>
      <c r="G169" s="143">
        <f>Population!DK402+Population!DL402</f>
        <v>233208</v>
      </c>
      <c r="H169" s="80">
        <f>Population!DM402+Population!DN402</f>
        <v>67013</v>
      </c>
      <c r="I169" s="74">
        <f>Population!DP402</f>
        <v>132417</v>
      </c>
      <c r="J169" s="74">
        <f>Population!DR402</f>
        <v>20961</v>
      </c>
      <c r="K169" s="74">
        <f>Population!DO402+Population!DT402</f>
        <v>588886</v>
      </c>
      <c r="L169" s="74">
        <f>Population!DS402</f>
        <v>45743</v>
      </c>
      <c r="M169" s="74">
        <f>Population!DQ402</f>
        <v>0</v>
      </c>
      <c r="N169" s="143">
        <f t="shared" ref="N169" si="159">SUM(H169:M169)</f>
        <v>855020</v>
      </c>
      <c r="O169" s="74">
        <f>Population!DU402</f>
        <v>136220</v>
      </c>
      <c r="P169" s="74">
        <f>Population!DV402</f>
        <v>374899</v>
      </c>
      <c r="Q169" s="74">
        <f t="shared" ref="Q169" si="160">SUM(O169:P169)</f>
        <v>511119</v>
      </c>
      <c r="R169" s="76">
        <f t="shared" ref="R169" si="161">G169+N169+Q169</f>
        <v>1599347</v>
      </c>
      <c r="S169" s="231"/>
      <c r="T169" s="77">
        <f>Population!CG402</f>
        <v>79937</v>
      </c>
      <c r="U169" s="82">
        <f>SUM(Population!H402:L402,Population!O402)</f>
        <v>79598</v>
      </c>
      <c r="V169" s="74">
        <f>Population!G402</f>
        <v>1572</v>
      </c>
      <c r="W169" s="76">
        <f t="shared" ref="W169" si="162">SUM(T169:V169)</f>
        <v>161107</v>
      </c>
      <c r="Y169" s="233">
        <f t="shared" ref="Y169" si="163">R169+W169</f>
        <v>1760454</v>
      </c>
      <c r="AA169" s="234"/>
    </row>
    <row r="170" spans="1:27" s="229" customFormat="1">
      <c r="A170" s="58">
        <v>44228</v>
      </c>
      <c r="B170" s="58"/>
      <c r="C170" s="74">
        <f t="shared" si="129"/>
        <v>158198</v>
      </c>
      <c r="D170" s="74">
        <f>18356+569</f>
        <v>18925</v>
      </c>
      <c r="E170" s="74">
        <v>54572</v>
      </c>
      <c r="F170" s="74">
        <v>1473</v>
      </c>
      <c r="G170" s="143">
        <f>Population!DK403+Population!DL403</f>
        <v>233168</v>
      </c>
      <c r="H170" s="80">
        <f>Population!DM403+Population!DN403</f>
        <v>66976</v>
      </c>
      <c r="I170" s="74">
        <f>Population!DP403</f>
        <v>133948</v>
      </c>
      <c r="J170" s="74">
        <f>Population!DR403</f>
        <v>21344</v>
      </c>
      <c r="K170" s="74">
        <f>Population!DO403+Population!DT403</f>
        <v>592839</v>
      </c>
      <c r="L170" s="74">
        <f>Population!DS403</f>
        <v>45853</v>
      </c>
      <c r="M170" s="74">
        <f>Population!DQ403</f>
        <v>0</v>
      </c>
      <c r="N170" s="143">
        <f t="shared" ref="N170" si="164">SUM(H170:M170)</f>
        <v>860960</v>
      </c>
      <c r="O170" s="74">
        <f>Population!DU403</f>
        <v>137671</v>
      </c>
      <c r="P170" s="74">
        <f>Population!DV403</f>
        <v>383040</v>
      </c>
      <c r="Q170" s="74">
        <f t="shared" ref="Q170" si="165">SUM(O170:P170)</f>
        <v>520711</v>
      </c>
      <c r="R170" s="76">
        <f t="shared" ref="R170" si="166">G170+N170+Q170</f>
        <v>1614839</v>
      </c>
      <c r="S170" s="231"/>
      <c r="T170" s="77">
        <f>Population!CG403</f>
        <v>80362</v>
      </c>
      <c r="U170" s="82">
        <f>SUM(Population!H403:L403,Population!O403)</f>
        <v>80087</v>
      </c>
      <c r="V170" s="74">
        <f>Population!G403</f>
        <v>1629</v>
      </c>
      <c r="W170" s="76">
        <f t="shared" ref="W170" si="167">SUM(T170:V170)</f>
        <v>162078</v>
      </c>
      <c r="Y170" s="233">
        <f t="shared" ref="Y170" si="168">R170+W170</f>
        <v>1776917</v>
      </c>
      <c r="AA170" s="234"/>
    </row>
    <row r="171" spans="1:27" s="229" customFormat="1">
      <c r="A171" s="58">
        <v>44256</v>
      </c>
      <c r="B171" s="58"/>
      <c r="C171" s="74">
        <f t="shared" si="129"/>
        <v>158658</v>
      </c>
      <c r="D171" s="74">
        <f>18175+556</f>
        <v>18731</v>
      </c>
      <c r="E171" s="74">
        <v>54589</v>
      </c>
      <c r="F171" s="74">
        <v>1490</v>
      </c>
      <c r="G171" s="143">
        <f>Population!DK404+Population!DL404</f>
        <v>233468</v>
      </c>
      <c r="H171" s="80">
        <f>Population!DM404+Population!DN404</f>
        <v>66908</v>
      </c>
      <c r="I171" s="74">
        <f>Population!DP404</f>
        <v>135660</v>
      </c>
      <c r="J171" s="74">
        <f>Population!DR404</f>
        <v>21493</v>
      </c>
      <c r="K171" s="74">
        <f>Population!DO404+Population!DT404</f>
        <v>596153</v>
      </c>
      <c r="L171" s="74">
        <f>Population!DS404</f>
        <v>45928</v>
      </c>
      <c r="M171" s="74">
        <f>Population!DQ404</f>
        <v>0</v>
      </c>
      <c r="N171" s="143">
        <f t="shared" ref="N171" si="169">SUM(H171:M171)</f>
        <v>866142</v>
      </c>
      <c r="O171" s="74">
        <f>Population!DU404</f>
        <v>138859</v>
      </c>
      <c r="P171" s="74">
        <f>Population!DV404</f>
        <v>390142</v>
      </c>
      <c r="Q171" s="74">
        <f t="shared" ref="Q171" si="170">SUM(O171:P171)</f>
        <v>529001</v>
      </c>
      <c r="R171" s="76">
        <f t="shared" ref="R171" si="171">G171+N171+Q171</f>
        <v>1628611</v>
      </c>
      <c r="S171" s="231"/>
      <c r="T171" s="77">
        <f>Population!CG404</f>
        <v>80762</v>
      </c>
      <c r="U171" s="82">
        <f>SUM(Population!H404:L404,Population!O404)</f>
        <v>80505</v>
      </c>
      <c r="V171" s="74">
        <f>Population!G404</f>
        <v>1624</v>
      </c>
      <c r="W171" s="76">
        <f t="shared" ref="W171" si="172">SUM(T171:V171)</f>
        <v>162891</v>
      </c>
      <c r="Y171" s="233">
        <f t="shared" ref="Y171" si="173">R171+W171</f>
        <v>1791502</v>
      </c>
      <c r="AA171" s="234"/>
    </row>
    <row r="172" spans="1:27" s="229" customFormat="1">
      <c r="A172" s="58">
        <v>44287</v>
      </c>
      <c r="B172" s="58"/>
      <c r="C172" s="74">
        <f t="shared" si="129"/>
        <v>159124</v>
      </c>
      <c r="D172" s="74">
        <f>18423+554</f>
        <v>18977</v>
      </c>
      <c r="E172" s="74">
        <v>54700</v>
      </c>
      <c r="F172" s="74">
        <v>1491</v>
      </c>
      <c r="G172" s="143">
        <f>Population!DK405+Population!DL405</f>
        <v>234292</v>
      </c>
      <c r="H172" s="80">
        <f>Population!DM405+Population!DN405</f>
        <v>66962</v>
      </c>
      <c r="I172" s="74">
        <f>Population!DP405</f>
        <v>136986</v>
      </c>
      <c r="J172" s="74">
        <f>Population!DR405</f>
        <v>21895</v>
      </c>
      <c r="K172" s="74">
        <f>Population!DO405+Population!DT405</f>
        <v>600277</v>
      </c>
      <c r="L172" s="74">
        <f>Population!DS405</f>
        <v>46179</v>
      </c>
      <c r="M172" s="74">
        <f>Population!DQ405</f>
        <v>0</v>
      </c>
      <c r="N172" s="143">
        <f t="shared" ref="N172" si="174">SUM(H172:M172)</f>
        <v>872299</v>
      </c>
      <c r="O172" s="74">
        <f>Population!DU405</f>
        <v>140442</v>
      </c>
      <c r="P172" s="74">
        <f>Population!DV405</f>
        <v>398218</v>
      </c>
      <c r="Q172" s="74">
        <f t="shared" ref="Q172" si="175">SUM(O172:P172)</f>
        <v>538660</v>
      </c>
      <c r="R172" s="76">
        <f t="shared" ref="R172" si="176">G172+N172+Q172</f>
        <v>1645251</v>
      </c>
      <c r="S172" s="231"/>
      <c r="T172" s="77">
        <f>Population!CG405</f>
        <v>81284</v>
      </c>
      <c r="U172" s="82">
        <f>SUM(Population!H405:L405,Population!O405)</f>
        <v>80811</v>
      </c>
      <c r="V172" s="74">
        <f>Population!G405</f>
        <v>1636</v>
      </c>
      <c r="W172" s="76">
        <f t="shared" ref="W172" si="177">SUM(T172:V172)</f>
        <v>163731</v>
      </c>
      <c r="Y172" s="233">
        <f t="shared" ref="Y172" si="178">R172+W172</f>
        <v>1808982</v>
      </c>
      <c r="AA172" s="234"/>
    </row>
    <row r="173" spans="1:27" s="229" customFormat="1">
      <c r="A173" s="58">
        <v>44317</v>
      </c>
      <c r="B173" s="58"/>
      <c r="C173" s="74">
        <f t="shared" si="129"/>
        <v>159345</v>
      </c>
      <c r="D173" s="74">
        <f>18594+532</f>
        <v>19126</v>
      </c>
      <c r="E173" s="74">
        <v>54969</v>
      </c>
      <c r="F173" s="74">
        <v>1499</v>
      </c>
      <c r="G173" s="143">
        <f>Population!DK406+Population!DL406</f>
        <v>234939</v>
      </c>
      <c r="H173" s="80">
        <f>Population!DM406+Population!DN406</f>
        <v>66883</v>
      </c>
      <c r="I173" s="74">
        <f>Population!DP406</f>
        <v>138173</v>
      </c>
      <c r="J173" s="74">
        <f>Population!DR406</f>
        <v>22308</v>
      </c>
      <c r="K173" s="74">
        <f>Population!DO406+Population!DT406</f>
        <v>603635</v>
      </c>
      <c r="L173" s="74">
        <f>Population!DS406</f>
        <v>46349</v>
      </c>
      <c r="M173" s="74">
        <f>Population!DQ406</f>
        <v>0</v>
      </c>
      <c r="N173" s="143">
        <f t="shared" ref="N173" si="179">SUM(H173:M173)</f>
        <v>877348</v>
      </c>
      <c r="O173" s="74">
        <f>Population!DU406</f>
        <v>141959</v>
      </c>
      <c r="P173" s="74">
        <f>Population!DV406</f>
        <v>405679</v>
      </c>
      <c r="Q173" s="74">
        <f t="shared" ref="Q173" si="180">SUM(O173:P173)</f>
        <v>547638</v>
      </c>
      <c r="R173" s="76">
        <f t="shared" ref="R173" si="181">G173+N173+Q173</f>
        <v>1659925</v>
      </c>
      <c r="S173" s="231"/>
      <c r="T173" s="77">
        <f>Population!CG406</f>
        <v>81897</v>
      </c>
      <c r="U173" s="82">
        <f>SUM(Population!H406:L406,Population!O406)</f>
        <v>80826</v>
      </c>
      <c r="V173" s="74">
        <f>Population!G406</f>
        <v>1682</v>
      </c>
      <c r="W173" s="76">
        <f t="shared" ref="W173" si="182">SUM(T173:V173)</f>
        <v>164405</v>
      </c>
      <c r="Y173" s="233">
        <f t="shared" ref="Y173" si="183">R173+W173</f>
        <v>1824330</v>
      </c>
      <c r="AA173" s="234"/>
    </row>
    <row r="174" spans="1:27" s="229" customFormat="1">
      <c r="A174" s="58">
        <v>44348</v>
      </c>
      <c r="B174" s="58"/>
      <c r="C174" s="74">
        <f>G174-D174-E174-F174</f>
        <v>159372</v>
      </c>
      <c r="D174" s="74">
        <f>18786+532</f>
        <v>19318</v>
      </c>
      <c r="E174" s="74">
        <v>55117</v>
      </c>
      <c r="F174" s="74">
        <v>1492</v>
      </c>
      <c r="G174" s="143">
        <f>Population!DK407+Population!DL407</f>
        <v>235299</v>
      </c>
      <c r="H174" s="80">
        <f>Population!DM407+Population!DN407</f>
        <v>66795</v>
      </c>
      <c r="I174" s="74">
        <f>Population!DP407</f>
        <v>139518</v>
      </c>
      <c r="J174" s="74">
        <f>Population!DR407</f>
        <v>22760</v>
      </c>
      <c r="K174" s="74">
        <f>Population!DO407+Population!DT407</f>
        <v>607400</v>
      </c>
      <c r="L174" s="74">
        <f>Population!DS407</f>
        <v>46728</v>
      </c>
      <c r="M174" s="74">
        <f>Population!DQ407</f>
        <v>0</v>
      </c>
      <c r="N174" s="143">
        <f t="shared" ref="N174" si="184">SUM(H174:M174)</f>
        <v>883201</v>
      </c>
      <c r="O174" s="74">
        <f>Population!DU407</f>
        <v>143186</v>
      </c>
      <c r="P174" s="74">
        <f>Population!DV407</f>
        <v>412037</v>
      </c>
      <c r="Q174" s="74">
        <f t="shared" ref="Q174" si="185">SUM(O174:P174)</f>
        <v>555223</v>
      </c>
      <c r="R174" s="76">
        <f t="shared" ref="R174" si="186">G174+N174+Q174</f>
        <v>1673723</v>
      </c>
      <c r="S174" s="231"/>
      <c r="T174" s="77">
        <f>Population!CG407</f>
        <v>82630</v>
      </c>
      <c r="U174" s="82">
        <f>SUM(Population!H407:L407,Population!O407)</f>
        <v>80759</v>
      </c>
      <c r="V174" s="74">
        <f>Population!G407</f>
        <v>1701</v>
      </c>
      <c r="W174" s="76">
        <f t="shared" ref="W174" si="187">SUM(T174:V174)</f>
        <v>165090</v>
      </c>
      <c r="Y174" s="233">
        <f t="shared" ref="Y174" si="188">R174+W174</f>
        <v>1838813</v>
      </c>
      <c r="AA174" s="234"/>
    </row>
    <row r="175" spans="1:27" s="229" customFormat="1" ht="6.75" customHeight="1">
      <c r="A175" s="58"/>
      <c r="B175" s="58"/>
      <c r="D175" s="74"/>
      <c r="E175" s="74"/>
      <c r="F175" s="74"/>
    </row>
    <row r="176" spans="1:27" s="229" customFormat="1">
      <c r="A176" s="58">
        <v>44378</v>
      </c>
      <c r="B176" s="58"/>
      <c r="C176" s="74">
        <f>G176-D176-E176-F176</f>
        <v>158795</v>
      </c>
      <c r="D176" s="74">
        <f>18897+513</f>
        <v>19410</v>
      </c>
      <c r="E176" s="74">
        <v>55297</v>
      </c>
      <c r="F176" s="74">
        <v>1508</v>
      </c>
      <c r="G176" s="143">
        <f>Population!DK408+Population!DL408</f>
        <v>235010</v>
      </c>
      <c r="H176" s="80">
        <f>Population!DM408+Population!DN408</f>
        <v>66432</v>
      </c>
      <c r="I176" s="74">
        <f>Population!DP408</f>
        <v>140894</v>
      </c>
      <c r="J176" s="74">
        <f>Population!DR408</f>
        <v>23300</v>
      </c>
      <c r="K176" s="74">
        <f>Population!DO408+Population!DT408</f>
        <v>611748</v>
      </c>
      <c r="L176" s="74">
        <f>Population!DS408</f>
        <v>47101</v>
      </c>
      <c r="M176" s="74">
        <f>Population!DQ408</f>
        <v>0</v>
      </c>
      <c r="N176" s="143">
        <f t="shared" ref="N176" si="189">SUM(H176:M176)</f>
        <v>889475</v>
      </c>
      <c r="O176" s="74">
        <f>Population!DU408</f>
        <v>144279</v>
      </c>
      <c r="P176" s="74">
        <f>Population!DV408</f>
        <v>418269</v>
      </c>
      <c r="Q176" s="74">
        <f t="shared" ref="Q176" si="190">SUM(O176:P176)</f>
        <v>562548</v>
      </c>
      <c r="R176" s="76">
        <f t="shared" ref="R176" si="191">G176+N176+Q176</f>
        <v>1687033</v>
      </c>
      <c r="S176" s="231"/>
      <c r="T176" s="77">
        <f>Population!CG408</f>
        <v>83237</v>
      </c>
      <c r="U176" s="82">
        <f>SUM(Population!H408:L408,Population!O408)</f>
        <v>80556</v>
      </c>
      <c r="V176" s="74">
        <f>Population!G408</f>
        <v>1737</v>
      </c>
      <c r="W176" s="76">
        <f t="shared" ref="W176" si="192">SUM(T176:V176)</f>
        <v>165530</v>
      </c>
      <c r="Y176" s="233">
        <f t="shared" ref="Y176" si="193">R176+W176</f>
        <v>1852563</v>
      </c>
    </row>
    <row r="177" spans="1:29" s="229" customFormat="1">
      <c r="A177" s="58">
        <v>44409</v>
      </c>
      <c r="B177" s="58"/>
      <c r="C177" s="74"/>
      <c r="D177" s="74"/>
      <c r="E177" s="74"/>
      <c r="F177" s="74"/>
      <c r="G177" s="103"/>
      <c r="H177" s="103"/>
      <c r="I177" s="103"/>
      <c r="J177" s="103"/>
      <c r="K177" s="103"/>
      <c r="L177" s="103"/>
      <c r="M177" s="103"/>
      <c r="N177" s="76"/>
      <c r="O177" s="76"/>
      <c r="P177" s="76"/>
      <c r="Q177" s="76"/>
      <c r="R177" s="76"/>
      <c r="T177" s="103"/>
      <c r="U177" s="77"/>
      <c r="V177" s="103"/>
      <c r="W177" s="103"/>
      <c r="Y177" s="103"/>
    </row>
    <row r="178" spans="1:29" s="229" customFormat="1">
      <c r="A178" s="58">
        <v>44440</v>
      </c>
      <c r="B178" s="58"/>
      <c r="C178" s="74"/>
      <c r="D178" s="74"/>
      <c r="E178" s="74"/>
      <c r="F178" s="74"/>
      <c r="G178" s="103"/>
      <c r="H178" s="103"/>
      <c r="I178" s="103"/>
      <c r="J178" s="103"/>
      <c r="K178" s="103"/>
      <c r="L178" s="103"/>
      <c r="M178" s="103"/>
      <c r="N178" s="76"/>
      <c r="O178" s="76"/>
      <c r="P178" s="76"/>
      <c r="Q178" s="76"/>
      <c r="R178" s="76"/>
      <c r="T178" s="103"/>
      <c r="U178" s="77"/>
      <c r="V178" s="103"/>
      <c r="W178" s="103"/>
      <c r="Y178" s="103"/>
    </row>
    <row r="179" spans="1:29" s="229" customFormat="1">
      <c r="A179" s="58">
        <v>44470</v>
      </c>
      <c r="B179" s="58"/>
      <c r="C179" s="74"/>
      <c r="D179" s="74"/>
      <c r="E179" s="74"/>
      <c r="F179" s="74"/>
      <c r="G179" s="103"/>
      <c r="H179" s="103"/>
      <c r="I179" s="103"/>
      <c r="J179" s="103"/>
      <c r="K179" s="103"/>
      <c r="L179" s="103"/>
      <c r="M179" s="103"/>
      <c r="N179" s="76"/>
      <c r="O179" s="76"/>
      <c r="P179" s="76"/>
      <c r="Q179" s="76"/>
      <c r="R179" s="76"/>
      <c r="T179" s="103"/>
      <c r="U179" s="77"/>
      <c r="V179" s="103"/>
      <c r="W179" s="103"/>
      <c r="Y179" s="103"/>
    </row>
    <row r="180" spans="1:29" s="229" customFormat="1">
      <c r="A180" s="58">
        <v>44501</v>
      </c>
      <c r="B180" s="58"/>
      <c r="C180" s="74"/>
      <c r="D180" s="74"/>
      <c r="E180" s="74"/>
      <c r="F180" s="74"/>
      <c r="G180" s="103"/>
      <c r="H180" s="103"/>
      <c r="I180" s="103"/>
      <c r="J180" s="103"/>
      <c r="K180" s="103"/>
      <c r="L180" s="103"/>
      <c r="M180" s="103"/>
      <c r="N180" s="76"/>
      <c r="O180" s="76"/>
      <c r="P180" s="76"/>
      <c r="Q180" s="76"/>
      <c r="R180" s="76"/>
      <c r="T180" s="103"/>
      <c r="U180" s="77"/>
      <c r="V180" s="103"/>
      <c r="W180" s="103"/>
      <c r="Y180" s="103"/>
    </row>
    <row r="181" spans="1:29" s="229" customFormat="1">
      <c r="A181" s="58">
        <v>44531</v>
      </c>
      <c r="B181" s="58"/>
      <c r="C181" s="74"/>
      <c r="D181" s="74"/>
      <c r="E181" s="74"/>
      <c r="F181" s="74"/>
      <c r="G181" s="103"/>
      <c r="H181" s="103"/>
      <c r="I181" s="103"/>
      <c r="J181" s="103"/>
      <c r="K181" s="103"/>
      <c r="L181" s="103"/>
      <c r="M181" s="103"/>
      <c r="N181" s="76"/>
      <c r="O181" s="76"/>
      <c r="P181" s="76"/>
      <c r="Q181" s="76"/>
      <c r="R181" s="76"/>
      <c r="T181" s="103"/>
      <c r="U181" s="77"/>
      <c r="V181" s="103"/>
      <c r="W181" s="103"/>
      <c r="Y181" s="103"/>
    </row>
    <row r="182" spans="1:29" s="229" customFormat="1">
      <c r="A182" s="58">
        <v>44562</v>
      </c>
      <c r="B182" s="58"/>
      <c r="C182" s="74"/>
      <c r="D182" s="74"/>
      <c r="E182" s="74"/>
      <c r="F182" s="74"/>
      <c r="G182" s="103"/>
      <c r="H182" s="103"/>
      <c r="I182" s="103"/>
      <c r="J182" s="103"/>
      <c r="K182" s="103"/>
      <c r="L182" s="103"/>
      <c r="M182" s="103"/>
      <c r="N182" s="76"/>
      <c r="O182" s="76"/>
      <c r="P182" s="76"/>
      <c r="Q182" s="76"/>
      <c r="R182" s="76"/>
      <c r="T182" s="103"/>
      <c r="U182" s="77"/>
      <c r="V182" s="103"/>
      <c r="W182" s="103"/>
      <c r="Y182" s="103"/>
    </row>
    <row r="183" spans="1:29" s="229" customFormat="1">
      <c r="A183" s="58">
        <v>44593</v>
      </c>
      <c r="B183" s="58"/>
      <c r="C183" s="74"/>
      <c r="D183" s="74"/>
      <c r="E183" s="74"/>
      <c r="F183" s="74"/>
      <c r="G183" s="103"/>
      <c r="H183" s="103"/>
      <c r="I183" s="103"/>
      <c r="J183" s="103"/>
      <c r="K183" s="103"/>
      <c r="L183" s="103"/>
      <c r="M183" s="103"/>
      <c r="N183" s="76"/>
      <c r="O183" s="76"/>
      <c r="P183" s="76"/>
      <c r="Q183" s="76"/>
      <c r="R183" s="76"/>
      <c r="T183" s="103"/>
      <c r="U183" s="77"/>
      <c r="V183" s="103"/>
      <c r="W183" s="103"/>
      <c r="Y183" s="103"/>
    </row>
    <row r="184" spans="1:29" s="229" customFormat="1">
      <c r="A184" s="58">
        <v>44621</v>
      </c>
      <c r="B184" s="58"/>
      <c r="C184" s="74"/>
      <c r="D184" s="74"/>
      <c r="E184" s="74"/>
      <c r="F184" s="74"/>
      <c r="G184" s="103"/>
      <c r="H184" s="103"/>
      <c r="I184" s="103"/>
      <c r="J184" s="103"/>
      <c r="K184" s="103"/>
      <c r="L184" s="103"/>
      <c r="M184" s="103"/>
      <c r="N184" s="76"/>
      <c r="O184" s="76"/>
      <c r="P184" s="76"/>
      <c r="Q184" s="76"/>
      <c r="R184" s="76"/>
      <c r="T184" s="103"/>
      <c r="U184" s="77"/>
      <c r="V184" s="103"/>
      <c r="W184" s="103"/>
      <c r="Y184" s="103"/>
    </row>
    <row r="185" spans="1:29" s="229" customFormat="1">
      <c r="A185" s="58">
        <v>44652</v>
      </c>
      <c r="B185" s="58"/>
      <c r="C185" s="74"/>
      <c r="D185" s="74"/>
      <c r="E185" s="74"/>
      <c r="F185" s="74"/>
      <c r="G185" s="103"/>
      <c r="H185" s="103"/>
      <c r="I185" s="103"/>
      <c r="J185" s="103"/>
      <c r="K185" s="103"/>
      <c r="L185" s="103"/>
      <c r="M185" s="103"/>
      <c r="N185" s="76"/>
      <c r="O185" s="76"/>
      <c r="P185" s="76"/>
      <c r="Q185" s="76"/>
      <c r="R185" s="76"/>
      <c r="T185" s="103"/>
      <c r="U185" s="77"/>
      <c r="V185" s="103"/>
      <c r="W185" s="103"/>
      <c r="Y185" s="103"/>
    </row>
    <row r="186" spans="1:29" s="229" customFormat="1">
      <c r="A186" s="58">
        <v>44682</v>
      </c>
      <c r="B186" s="58"/>
      <c r="C186" s="74"/>
      <c r="D186" s="74"/>
      <c r="E186" s="74"/>
      <c r="F186" s="74"/>
      <c r="G186" s="103"/>
      <c r="H186" s="103"/>
      <c r="I186" s="103"/>
      <c r="J186" s="103"/>
      <c r="K186" s="103"/>
      <c r="L186" s="103"/>
      <c r="M186" s="103"/>
      <c r="N186" s="76"/>
      <c r="O186" s="76"/>
      <c r="P186" s="76"/>
      <c r="Q186" s="76"/>
      <c r="R186" s="76"/>
      <c r="T186" s="103"/>
      <c r="U186" s="77"/>
      <c r="V186" s="103"/>
      <c r="W186" s="103"/>
      <c r="Y186" s="103"/>
    </row>
    <row r="187" spans="1:29" s="229" customFormat="1">
      <c r="A187" s="58">
        <v>44713</v>
      </c>
      <c r="B187" s="58"/>
      <c r="C187" s="74"/>
      <c r="D187" s="74"/>
      <c r="E187" s="74"/>
      <c r="F187" s="74"/>
      <c r="G187" s="103"/>
      <c r="H187" s="103"/>
      <c r="I187" s="103"/>
      <c r="J187" s="103"/>
      <c r="K187" s="103"/>
      <c r="L187" s="103"/>
      <c r="M187" s="103"/>
      <c r="N187" s="76"/>
      <c r="O187" s="76"/>
      <c r="P187" s="76"/>
      <c r="Q187" s="76"/>
      <c r="R187" s="76"/>
      <c r="T187" s="103"/>
      <c r="U187" s="77"/>
      <c r="V187" s="103"/>
      <c r="W187" s="103"/>
      <c r="Y187" s="103"/>
    </row>
    <row r="188" spans="1:29" s="229" customFormat="1">
      <c r="A188" s="58"/>
      <c r="B188" s="58"/>
      <c r="C188" s="74"/>
      <c r="D188" s="74"/>
      <c r="E188" s="74"/>
      <c r="F188" s="74"/>
      <c r="G188" s="103"/>
      <c r="H188" s="103"/>
      <c r="I188" s="103"/>
      <c r="J188" s="103"/>
      <c r="K188" s="103"/>
      <c r="L188" s="103"/>
      <c r="M188" s="103"/>
      <c r="N188" s="76"/>
      <c r="O188" s="76"/>
      <c r="P188" s="76"/>
      <c r="Q188" s="76"/>
      <c r="R188" s="76"/>
      <c r="T188" s="103"/>
      <c r="U188" s="77"/>
      <c r="V188" s="103"/>
      <c r="W188" s="103"/>
      <c r="Y188" s="103"/>
    </row>
    <row r="189" spans="1:29" s="229" customFormat="1">
      <c r="A189" s="58"/>
      <c r="B189" s="58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6"/>
      <c r="O189" s="76"/>
      <c r="P189" s="76"/>
      <c r="Q189" s="76"/>
      <c r="R189" s="76"/>
      <c r="T189" s="77"/>
      <c r="U189" s="77"/>
      <c r="V189" s="74"/>
      <c r="W189" s="76"/>
      <c r="Y189" s="233"/>
    </row>
    <row r="190" spans="1:29">
      <c r="A190" s="219" t="s">
        <v>146</v>
      </c>
      <c r="B190" s="219"/>
      <c r="Z190" s="229"/>
      <c r="AA190" s="232"/>
      <c r="AB190" s="229"/>
      <c r="AC190" s="229"/>
    </row>
    <row r="191" spans="1:29" hidden="1">
      <c r="A191" s="228" t="s">
        <v>177</v>
      </c>
      <c r="B191" s="227"/>
      <c r="C191" s="226"/>
      <c r="D191" s="226"/>
      <c r="E191" s="226"/>
      <c r="F191" s="226"/>
      <c r="G191" s="224"/>
      <c r="H191" s="221"/>
      <c r="I191" s="225"/>
      <c r="J191" s="225"/>
      <c r="K191" s="225"/>
      <c r="L191" s="225"/>
      <c r="M191" s="225"/>
      <c r="N191" s="225"/>
      <c r="O191" s="291"/>
      <c r="P191" s="291"/>
      <c r="Q191" s="291"/>
      <c r="R191" s="291"/>
      <c r="T191" s="225"/>
      <c r="U191" s="221"/>
      <c r="V191" s="224"/>
      <c r="W191" s="220"/>
      <c r="Y191" s="230"/>
      <c r="Z191" s="229"/>
      <c r="AA191" s="229"/>
      <c r="AB191" s="229"/>
      <c r="AC191" s="229"/>
    </row>
    <row r="192" spans="1:29" hidden="1">
      <c r="A192" s="228" t="s">
        <v>178</v>
      </c>
      <c r="B192" s="227"/>
      <c r="C192" s="226"/>
      <c r="D192" s="226"/>
      <c r="E192" s="226"/>
      <c r="F192" s="226"/>
      <c r="G192" s="224"/>
      <c r="H192" s="221"/>
      <c r="I192" s="225"/>
      <c r="J192" s="225"/>
      <c r="K192" s="225"/>
      <c r="L192" s="225"/>
      <c r="M192" s="225"/>
      <c r="N192" s="225"/>
      <c r="O192" s="291"/>
      <c r="P192" s="291"/>
      <c r="Q192" s="291"/>
      <c r="R192" s="291"/>
      <c r="T192" s="225"/>
      <c r="U192" s="221"/>
      <c r="V192" s="224"/>
      <c r="W192" s="220"/>
      <c r="Y192" s="230"/>
      <c r="Z192" s="229"/>
      <c r="AA192" s="229"/>
      <c r="AB192" s="229"/>
      <c r="AC192" s="229"/>
    </row>
    <row r="193" spans="1:29" hidden="1">
      <c r="A193" s="228" t="s">
        <v>151</v>
      </c>
      <c r="B193" s="227"/>
      <c r="C193" s="226"/>
      <c r="D193" s="226"/>
      <c r="E193" s="226"/>
      <c r="F193" s="226"/>
      <c r="G193" s="224">
        <f>Population!DK431+Population!DL431</f>
        <v>186744.58333333334</v>
      </c>
      <c r="H193" s="221">
        <f>Population!DM431+Population!DN431</f>
        <v>44951.25</v>
      </c>
      <c r="I193" s="225">
        <f>Population!DP431</f>
        <v>66881.416666666672</v>
      </c>
      <c r="J193" s="225">
        <f>Population!DR431</f>
        <v>16109.916666666666</v>
      </c>
      <c r="K193" s="225">
        <f>Population!DO431+Population!DT431</f>
        <v>374973.08333333331</v>
      </c>
      <c r="L193" s="225">
        <f>Population!DS431</f>
        <v>4615.666666666667</v>
      </c>
      <c r="M193" s="225"/>
      <c r="N193" s="225">
        <f>SUM(C193:L193)</f>
        <v>694275.91666666663</v>
      </c>
      <c r="O193" s="291"/>
      <c r="P193" s="291"/>
      <c r="Q193" s="291"/>
      <c r="R193" s="291"/>
      <c r="T193" s="225">
        <f>Population!CG431</f>
        <v>38122</v>
      </c>
      <c r="U193" s="221">
        <f>SUM(Population!H431:K431)</f>
        <v>56413.833333333328</v>
      </c>
      <c r="V193" s="224">
        <f>Population!G431</f>
        <v>1140</v>
      </c>
      <c r="W193" s="220">
        <f>SUM(T193:V193)</f>
        <v>95675.833333333328</v>
      </c>
      <c r="Y193" s="230">
        <f>N193+W193</f>
        <v>789951.75</v>
      </c>
      <c r="Z193" s="229"/>
      <c r="AA193" s="231"/>
      <c r="AB193" s="229"/>
      <c r="AC193" s="229"/>
    </row>
    <row r="194" spans="1:29" hidden="1">
      <c r="A194" s="228" t="s">
        <v>152</v>
      </c>
      <c r="B194" s="227"/>
      <c r="C194" s="226"/>
      <c r="D194" s="226"/>
      <c r="E194" s="226"/>
      <c r="F194" s="226"/>
      <c r="G194" s="224">
        <f>Population!DK432+Population!DL432</f>
        <v>191424.66666666666</v>
      </c>
      <c r="H194" s="221">
        <f>Population!DM432+Population!DN432</f>
        <v>48272</v>
      </c>
      <c r="I194" s="225">
        <f>Population!DP432</f>
        <v>77515.333333333328</v>
      </c>
      <c r="J194" s="225">
        <f>Population!DR432</f>
        <v>15056.083333333334</v>
      </c>
      <c r="K194" s="225">
        <f>Population!DO432+Population!DT432</f>
        <v>426922</v>
      </c>
      <c r="L194" s="225">
        <f>Population!DS432</f>
        <v>4554.833333333333</v>
      </c>
      <c r="M194" s="225"/>
      <c r="N194" s="225">
        <f>SUM(C194:L194)</f>
        <v>763744.91666666663</v>
      </c>
      <c r="O194" s="291"/>
      <c r="P194" s="291"/>
      <c r="Q194" s="291"/>
      <c r="R194" s="291"/>
      <c r="T194" s="225">
        <f>Population!CG432</f>
        <v>43267.583333333336</v>
      </c>
      <c r="U194" s="221">
        <f>SUM(Population!H432:K432)</f>
        <v>55484.583333333336</v>
      </c>
      <c r="V194" s="224">
        <f>Population!G432</f>
        <v>1174.75</v>
      </c>
      <c r="W194" s="220">
        <f>SUM(T194:V194)</f>
        <v>99926.916666666672</v>
      </c>
      <c r="Y194" s="230">
        <f>N194+W194</f>
        <v>863671.83333333326</v>
      </c>
      <c r="Z194" s="231"/>
      <c r="AA194" s="231"/>
      <c r="AB194" s="229"/>
      <c r="AC194" s="229"/>
    </row>
    <row r="195" spans="1:29" hidden="1">
      <c r="A195" s="228" t="s">
        <v>162</v>
      </c>
      <c r="B195" s="227"/>
      <c r="C195" s="226"/>
      <c r="D195" s="226"/>
      <c r="E195" s="226"/>
      <c r="F195" s="226"/>
      <c r="G195" s="224">
        <f>AVERAGE(G33:G44)</f>
        <v>197151.66666666666</v>
      </c>
      <c r="H195" s="221">
        <f>Population!DM433+Population!DN433</f>
        <v>52141.833333333336</v>
      </c>
      <c r="I195" s="225">
        <f>AVERAGE(I33:I44)</f>
        <v>84051.833333333328</v>
      </c>
      <c r="J195" s="225">
        <f>AVERAGE(J33:J44)</f>
        <v>14527</v>
      </c>
      <c r="K195" s="225">
        <f>AVERAGE(K33:K44)</f>
        <v>450192.83333333331</v>
      </c>
      <c r="L195" s="225">
        <f>AVERAGE(L33:L44)</f>
        <v>6120.75</v>
      </c>
      <c r="M195" s="225"/>
      <c r="N195" s="225">
        <f>SUM(C195:L195)</f>
        <v>804185.91666666663</v>
      </c>
      <c r="O195" s="291"/>
      <c r="P195" s="291"/>
      <c r="Q195" s="291"/>
      <c r="R195" s="291"/>
      <c r="T195" s="225">
        <f>AVERAGE(T33:T44)</f>
        <v>46436.416666666664</v>
      </c>
      <c r="U195" s="221">
        <f>AVERAGE(U33:U44)</f>
        <v>57154</v>
      </c>
      <c r="V195" s="224">
        <f>AVERAGE(V33:V44)</f>
        <v>1251.0833333333333</v>
      </c>
      <c r="W195" s="220">
        <f>AVERAGE(W33:W44)</f>
        <v>104841.5</v>
      </c>
      <c r="Y195" s="230">
        <f>AVERAGE(Y33:Y44)</f>
        <v>909027.41666666663</v>
      </c>
      <c r="Z195" s="229"/>
      <c r="AA195" s="231"/>
      <c r="AB195" s="229"/>
      <c r="AC195" s="229"/>
    </row>
    <row r="196" spans="1:29" hidden="1">
      <c r="A196" s="228" t="s">
        <v>184</v>
      </c>
      <c r="B196" s="227"/>
      <c r="C196" s="226"/>
      <c r="D196" s="226"/>
      <c r="E196" s="226"/>
      <c r="F196" s="226"/>
      <c r="G196" s="224">
        <f>AVERAGE(G46:G57)</f>
        <v>201415.66666666666</v>
      </c>
      <c r="H196" s="221">
        <f>Population!DM434+Population!DN434</f>
        <v>55948.583333333336</v>
      </c>
      <c r="I196" s="225">
        <f>AVERAGE(I46:I57)</f>
        <v>87187.916666666672</v>
      </c>
      <c r="J196" s="225">
        <f>AVERAGE(J46:J57)</f>
        <v>14565.25</v>
      </c>
      <c r="K196" s="225">
        <f>AVERAGE(K46:K57)</f>
        <v>461124.41666666669</v>
      </c>
      <c r="L196" s="225">
        <f>AVERAGE(L46:L57)</f>
        <v>14634.333333333334</v>
      </c>
      <c r="M196" s="225"/>
      <c r="N196" s="225">
        <f>SUM(C196:L196)</f>
        <v>834876.16666666674</v>
      </c>
      <c r="O196" s="291"/>
      <c r="P196" s="291"/>
      <c r="Q196" s="291"/>
      <c r="R196" s="291"/>
      <c r="T196" s="225">
        <f>AVERAGE(T46:T57)</f>
        <v>47809.166666666664</v>
      </c>
      <c r="U196" s="221">
        <f>AVERAGE(U46:U57)</f>
        <v>62339.333333333336</v>
      </c>
      <c r="V196" s="224">
        <f>AVERAGE(V46:V57)</f>
        <v>1332.9166666666667</v>
      </c>
      <c r="W196" s="220">
        <f>AVERAGE(W46:W57)</f>
        <v>111481.41666666667</v>
      </c>
      <c r="Y196" s="230">
        <f>AVERAGE(Y46:Y57)</f>
        <v>946357.58333333337</v>
      </c>
      <c r="Z196" s="229"/>
      <c r="AA196" s="229"/>
      <c r="AB196" s="229"/>
      <c r="AC196" s="229"/>
    </row>
    <row r="197" spans="1:29" hidden="1">
      <c r="A197" s="228" t="s">
        <v>194</v>
      </c>
      <c r="B197" s="227"/>
      <c r="C197" s="226">
        <f t="shared" ref="C197:L197" si="194">AVERAGE(C59:C70)</f>
        <v>146944.08333333334</v>
      </c>
      <c r="D197" s="226">
        <f t="shared" si="194"/>
        <v>21464.833333333332</v>
      </c>
      <c r="E197" s="226">
        <f t="shared" si="194"/>
        <v>34710.25</v>
      </c>
      <c r="F197" s="226">
        <f t="shared" si="194"/>
        <v>787.16666666666663</v>
      </c>
      <c r="G197" s="224">
        <f t="shared" si="194"/>
        <v>203906.33333333334</v>
      </c>
      <c r="H197" s="221">
        <f t="shared" si="194"/>
        <v>58999.75</v>
      </c>
      <c r="I197" s="225">
        <f t="shared" si="194"/>
        <v>91758.25</v>
      </c>
      <c r="J197" s="225">
        <f t="shared" si="194"/>
        <v>15229.333333333334</v>
      </c>
      <c r="K197" s="225">
        <f t="shared" si="194"/>
        <v>473758.08333333331</v>
      </c>
      <c r="L197" s="225">
        <f t="shared" si="194"/>
        <v>33786.333333333336</v>
      </c>
      <c r="M197" s="225"/>
      <c r="N197" s="225">
        <f>AVERAGE(N59:N70)</f>
        <v>673531.75</v>
      </c>
      <c r="O197" s="291"/>
      <c r="P197" s="291"/>
      <c r="Q197" s="291"/>
      <c r="R197" s="291"/>
      <c r="S197" s="211"/>
      <c r="T197" s="225">
        <f>AVERAGE(T59:T70)</f>
        <v>50116.583333333336</v>
      </c>
      <c r="U197" s="221">
        <f>AVERAGE(U59:U70)</f>
        <v>63550.916666666664</v>
      </c>
      <c r="V197" s="224">
        <f>AVERAGE(V59:V70)</f>
        <v>1509.4166666666667</v>
      </c>
      <c r="W197" s="220">
        <f>AVERAGE(W59:W70)</f>
        <v>115176.91666666667</v>
      </c>
      <c r="Y197" s="223">
        <f>AVERAGE(Y59:Y70)</f>
        <v>992615</v>
      </c>
    </row>
    <row r="198" spans="1:29" hidden="1">
      <c r="A198" s="228" t="s">
        <v>348</v>
      </c>
      <c r="B198" s="227"/>
      <c r="C198" s="226">
        <f t="shared" ref="C198:L198" si="195">AVERAGE(C72:C83)</f>
        <v>147200.16666666666</v>
      </c>
      <c r="D198" s="226">
        <f t="shared" si="195"/>
        <v>20742.25</v>
      </c>
      <c r="E198" s="226">
        <f t="shared" si="195"/>
        <v>37570.166666666664</v>
      </c>
      <c r="F198" s="226">
        <f t="shared" si="195"/>
        <v>994.16666666666663</v>
      </c>
      <c r="G198" s="224">
        <f t="shared" si="195"/>
        <v>206506.75</v>
      </c>
      <c r="H198" s="221">
        <f t="shared" si="195"/>
        <v>59676.166666666664</v>
      </c>
      <c r="I198" s="225">
        <f t="shared" si="195"/>
        <v>92635.25</v>
      </c>
      <c r="J198" s="225">
        <f t="shared" si="195"/>
        <v>15422.333333333334</v>
      </c>
      <c r="K198" s="225">
        <f t="shared" si="195"/>
        <v>469756.08333333331</v>
      </c>
      <c r="L198" s="225">
        <f t="shared" si="195"/>
        <v>45265.25</v>
      </c>
      <c r="M198" s="225"/>
      <c r="N198" s="225">
        <f>AVERAGE(N72:N83)</f>
        <v>682755.08333333337</v>
      </c>
      <c r="O198" s="225"/>
      <c r="P198" s="225"/>
      <c r="Q198" s="225"/>
      <c r="R198" s="225">
        <f>AVERAGE(R72:R83)</f>
        <v>889261.83333333337</v>
      </c>
      <c r="S198" s="211"/>
      <c r="T198" s="225">
        <f>AVERAGE(T72:T83)</f>
        <v>50572.083333333336</v>
      </c>
      <c r="U198" s="221">
        <f>AVERAGE(U72:U83)</f>
        <v>63384.083333333336</v>
      </c>
      <c r="V198" s="224">
        <f>AVERAGE(V72:V83)</f>
        <v>1221.3333333333333</v>
      </c>
      <c r="W198" s="220">
        <f>AVERAGE(W72:W83)</f>
        <v>115177.5</v>
      </c>
      <c r="Y198" s="223">
        <f>AVERAGE(Y72:Y83)</f>
        <v>1004439.3333333334</v>
      </c>
    </row>
    <row r="199" spans="1:29" hidden="1">
      <c r="A199" s="228" t="s">
        <v>351</v>
      </c>
      <c r="B199" s="227"/>
      <c r="C199" s="226">
        <f t="shared" ref="C199:N199" si="196">AVERAGE(C85:C96)</f>
        <v>147780.5</v>
      </c>
      <c r="D199" s="226">
        <f t="shared" si="196"/>
        <v>20399.5</v>
      </c>
      <c r="E199" s="226">
        <f t="shared" si="196"/>
        <v>40643.333333333336</v>
      </c>
      <c r="F199" s="226">
        <f t="shared" si="196"/>
        <v>1208.5833333333333</v>
      </c>
      <c r="G199" s="224">
        <f t="shared" si="196"/>
        <v>210031.91666666666</v>
      </c>
      <c r="H199" s="221">
        <f t="shared" si="196"/>
        <v>60002.833333333336</v>
      </c>
      <c r="I199" s="225">
        <f t="shared" si="196"/>
        <v>97820</v>
      </c>
      <c r="J199" s="225">
        <f t="shared" si="196"/>
        <v>16421.916666666668</v>
      </c>
      <c r="K199" s="225">
        <f t="shared" si="196"/>
        <v>474060.41666666669</v>
      </c>
      <c r="L199" s="225">
        <f t="shared" si="196"/>
        <v>78293.75</v>
      </c>
      <c r="M199" s="225">
        <f t="shared" si="196"/>
        <v>674.75</v>
      </c>
      <c r="N199" s="225">
        <f t="shared" si="196"/>
        <v>727273.66666666663</v>
      </c>
      <c r="O199" s="225"/>
      <c r="P199" s="225"/>
      <c r="Q199" s="225"/>
      <c r="R199" s="225">
        <f>AVERAGE(R85:R96)</f>
        <v>937305.58333333337</v>
      </c>
      <c r="S199" s="211"/>
      <c r="T199" s="225">
        <f>AVERAGE(T85:T96)</f>
        <v>48332.75</v>
      </c>
      <c r="U199" s="221">
        <f>AVERAGE(U85:U96)</f>
        <v>61739.166666666664</v>
      </c>
      <c r="V199" s="224">
        <f>AVERAGE(V85:V96)</f>
        <v>326.25</v>
      </c>
      <c r="W199" s="220">
        <f>AVERAGE(W85:W96)</f>
        <v>110398.16666666667</v>
      </c>
      <c r="Y199" s="223">
        <f>AVERAGE(Y85:Y96)</f>
        <v>1047703.75</v>
      </c>
    </row>
    <row r="200" spans="1:29" hidden="1">
      <c r="A200" s="222" t="s">
        <v>384</v>
      </c>
      <c r="B200" s="222"/>
      <c r="C200" s="226">
        <f t="shared" ref="C200:N200" si="197">AVERAGE(C98:C109)</f>
        <v>148310.66666666666</v>
      </c>
      <c r="D200" s="226">
        <f t="shared" si="197"/>
        <v>20418.666666666668</v>
      </c>
      <c r="E200" s="226">
        <f t="shared" si="197"/>
        <v>43881.833333333336</v>
      </c>
      <c r="F200" s="226">
        <f t="shared" si="197"/>
        <v>1308.4166666666667</v>
      </c>
      <c r="G200" s="224">
        <f t="shared" si="197"/>
        <v>213919.58333333334</v>
      </c>
      <c r="H200" s="221">
        <f t="shared" si="197"/>
        <v>61461.666666666664</v>
      </c>
      <c r="I200" s="225">
        <f t="shared" si="197"/>
        <v>102293.16666666667</v>
      </c>
      <c r="J200" s="225">
        <f t="shared" si="197"/>
        <v>16519.166666666668</v>
      </c>
      <c r="K200" s="225">
        <f t="shared" si="197"/>
        <v>481125.33333333331</v>
      </c>
      <c r="L200" s="225">
        <f t="shared" si="197"/>
        <v>110100.58333333333</v>
      </c>
      <c r="M200" s="225">
        <f t="shared" si="197"/>
        <v>5691.666666666667</v>
      </c>
      <c r="N200" s="225">
        <f t="shared" si="197"/>
        <v>777191.58333333337</v>
      </c>
      <c r="O200" s="225"/>
      <c r="P200" s="225"/>
      <c r="Q200" s="225"/>
      <c r="R200" s="225">
        <f>AVERAGE(R98:R109)</f>
        <v>991111.16666666663</v>
      </c>
      <c r="T200" s="225">
        <f>AVERAGE(T98:T110)</f>
        <v>49800.75</v>
      </c>
      <c r="U200" s="225">
        <f>AVERAGE(U98:U110)</f>
        <v>57688.333333333336</v>
      </c>
      <c r="V200" s="225">
        <f>AVERAGE(V98:V110)</f>
        <v>1060.0833333333333</v>
      </c>
      <c r="W200" s="220">
        <f>AVERAGE(W98:W110)</f>
        <v>108549.16666666667</v>
      </c>
      <c r="Y200" s="220">
        <f>AVERAGE(Y98:Y110)</f>
        <v>1099660.3333333333</v>
      </c>
    </row>
    <row r="201" spans="1:29">
      <c r="A201" s="222" t="s">
        <v>406</v>
      </c>
      <c r="B201" s="222"/>
      <c r="C201" s="226">
        <f t="shared" ref="C201:N201" si="198">AVERAGE(C111:C122)</f>
        <v>150452.58333333334</v>
      </c>
      <c r="D201" s="226">
        <f t="shared" si="198"/>
        <v>20116.166666666668</v>
      </c>
      <c r="E201" s="226">
        <f t="shared" si="198"/>
        <v>46354.333333333336</v>
      </c>
      <c r="F201" s="226">
        <f t="shared" si="198"/>
        <v>1299.5</v>
      </c>
      <c r="G201" s="224">
        <f t="shared" si="198"/>
        <v>218222.58333333334</v>
      </c>
      <c r="H201" s="221">
        <f t="shared" si="198"/>
        <v>60926.083333333336</v>
      </c>
      <c r="I201" s="225">
        <f t="shared" si="198"/>
        <v>109093.33333333333</v>
      </c>
      <c r="J201" s="225">
        <f t="shared" si="198"/>
        <v>15742</v>
      </c>
      <c r="K201" s="225">
        <f t="shared" si="198"/>
        <v>486564</v>
      </c>
      <c r="L201" s="225">
        <f t="shared" si="198"/>
        <v>110941.58333333333</v>
      </c>
      <c r="M201" s="225">
        <f t="shared" si="198"/>
        <v>9751.1666666666661</v>
      </c>
      <c r="N201" s="225">
        <f t="shared" si="198"/>
        <v>793018.16666666663</v>
      </c>
      <c r="O201" s="225"/>
      <c r="P201" s="225"/>
      <c r="Q201" s="225"/>
      <c r="R201" s="225">
        <f>AVERAGE(R111:R122)</f>
        <v>1011240.75</v>
      </c>
      <c r="T201" s="225">
        <f>AVERAGE(T111:T122)</f>
        <v>52420.666666666664</v>
      </c>
      <c r="U201" s="225">
        <f>AVERAGE(U111:U122)</f>
        <v>60516.333333333336</v>
      </c>
      <c r="V201" s="225">
        <f>AVERAGE(V111:V122)</f>
        <v>1064.4166666666667</v>
      </c>
      <c r="W201" s="220">
        <f>AVERAGE(W111:W122)</f>
        <v>114001.41666666667</v>
      </c>
      <c r="Y201" s="220">
        <f>AVERAGE(Y111:Y122)</f>
        <v>1125242.1666666667</v>
      </c>
    </row>
    <row r="202" spans="1:29" s="35" customFormat="1">
      <c r="A202" s="222" t="s">
        <v>408</v>
      </c>
      <c r="B202" s="222"/>
      <c r="C202" s="226">
        <f t="shared" ref="C202:N202" si="199">AVERAGE(C124:C135)</f>
        <v>153445.83333333334</v>
      </c>
      <c r="D202" s="226">
        <f t="shared" si="199"/>
        <v>20249.666666666668</v>
      </c>
      <c r="E202" s="226">
        <f t="shared" si="199"/>
        <v>48433.083333333336</v>
      </c>
      <c r="F202" s="226">
        <f t="shared" si="199"/>
        <v>1324.1666666666667</v>
      </c>
      <c r="G202" s="224">
        <f t="shared" si="199"/>
        <v>223452.75</v>
      </c>
      <c r="H202" s="221">
        <f t="shared" si="199"/>
        <v>60860.166666666664</v>
      </c>
      <c r="I202" s="225">
        <f t="shared" si="199"/>
        <v>116173.91666666667</v>
      </c>
      <c r="J202" s="225">
        <f t="shared" si="199"/>
        <v>15838.166666666666</v>
      </c>
      <c r="K202" s="225">
        <f t="shared" si="199"/>
        <v>495173.91666666669</v>
      </c>
      <c r="L202" s="225">
        <f t="shared" si="199"/>
        <v>123288.75</v>
      </c>
      <c r="M202" s="225">
        <f t="shared" si="199"/>
        <v>13531</v>
      </c>
      <c r="N202" s="225">
        <f t="shared" si="199"/>
        <v>824865.91666666663</v>
      </c>
      <c r="O202" s="225"/>
      <c r="P202" s="225"/>
      <c r="Q202" s="225"/>
      <c r="R202" s="225">
        <f>AVERAGE(R124:R135)</f>
        <v>1048318.6666666666</v>
      </c>
      <c r="S202" s="207"/>
      <c r="T202" s="225">
        <f>AVERAGE(T124:T135)</f>
        <v>60757.166666666664</v>
      </c>
      <c r="U202" s="225">
        <f>AVERAGE(U124:U135)</f>
        <v>68012.666666666672</v>
      </c>
      <c r="V202" s="225">
        <f>AVERAGE(V124:V135)</f>
        <v>1151.5</v>
      </c>
      <c r="W202" s="220">
        <f>AVERAGE(W124:W135)</f>
        <v>129921.33333333333</v>
      </c>
      <c r="X202" s="207"/>
      <c r="Y202" s="220">
        <f>AVERAGE(Y124:Y135)</f>
        <v>1178240</v>
      </c>
    </row>
    <row r="203" spans="1:29" s="35" customFormat="1">
      <c r="A203" s="222" t="s">
        <v>455</v>
      </c>
      <c r="B203" s="222"/>
      <c r="C203" s="226">
        <f>AVERAGE(C136:C148)</f>
        <v>154298.75</v>
      </c>
      <c r="D203" s="226">
        <f t="shared" ref="D203:R203" si="200">AVERAGE(D137:D148)</f>
        <v>19649.083333333332</v>
      </c>
      <c r="E203" s="226">
        <f t="shared" si="200"/>
        <v>49135.916666666664</v>
      </c>
      <c r="F203" s="226">
        <f t="shared" si="200"/>
        <v>1236.1666666666667</v>
      </c>
      <c r="G203" s="224">
        <f t="shared" si="200"/>
        <v>224319.91666666666</v>
      </c>
      <c r="H203" s="221">
        <f t="shared" si="200"/>
        <v>62199.916666666664</v>
      </c>
      <c r="I203" s="225">
        <f t="shared" si="200"/>
        <v>112338.16666666667</v>
      </c>
      <c r="J203" s="225">
        <f t="shared" si="200"/>
        <v>15111.5</v>
      </c>
      <c r="K203" s="225">
        <f t="shared" si="200"/>
        <v>506812.25</v>
      </c>
      <c r="L203" s="225">
        <f t="shared" si="200"/>
        <v>88732.5</v>
      </c>
      <c r="M203" s="225">
        <f t="shared" si="200"/>
        <v>8251.5833333333339</v>
      </c>
      <c r="N203" s="225">
        <f t="shared" si="200"/>
        <v>793445.91666666663</v>
      </c>
      <c r="O203" s="225">
        <f t="shared" si="200"/>
        <v>88624.333333333328</v>
      </c>
      <c r="P203" s="225">
        <f t="shared" si="200"/>
        <v>155955.5</v>
      </c>
      <c r="Q203" s="225">
        <f t="shared" si="200"/>
        <v>244579.83333333334</v>
      </c>
      <c r="R203" s="225">
        <f t="shared" si="200"/>
        <v>1140055.75</v>
      </c>
      <c r="S203" s="207"/>
      <c r="T203" s="225">
        <f>AVERAGE(T137:T148)</f>
        <v>64641.416666666664</v>
      </c>
      <c r="U203" s="225">
        <f>AVERAGE(U137:U148)</f>
        <v>71324.75</v>
      </c>
      <c r="V203" s="225">
        <f>AVERAGE(V137:V148)</f>
        <v>1218.8333333333333</v>
      </c>
      <c r="W203" s="220">
        <f>AVERAGE(W137:W148)</f>
        <v>137185</v>
      </c>
      <c r="X203" s="207"/>
      <c r="Y203" s="220">
        <f>AVERAGE(Y137:Y148)</f>
        <v>1277240.75</v>
      </c>
    </row>
    <row r="204" spans="1:29" s="35" customFormat="1">
      <c r="A204" s="222" t="s">
        <v>469</v>
      </c>
      <c r="B204" s="222"/>
      <c r="C204" s="226">
        <f t="shared" ref="C204:R204" si="201">AVERAGE(C150:C161)</f>
        <v>152402.5</v>
      </c>
      <c r="D204" s="226">
        <f t="shared" si="201"/>
        <v>19845.666666666668</v>
      </c>
      <c r="E204" s="226">
        <f t="shared" si="201"/>
        <v>50880.166666666664</v>
      </c>
      <c r="F204" s="226">
        <f t="shared" si="201"/>
        <v>1316.6666666666667</v>
      </c>
      <c r="G204" s="224">
        <f t="shared" si="201"/>
        <v>224445</v>
      </c>
      <c r="H204" s="221">
        <f t="shared" si="201"/>
        <v>64880.25</v>
      </c>
      <c r="I204" s="225">
        <f t="shared" si="201"/>
        <v>108704.5</v>
      </c>
      <c r="J204" s="225">
        <f t="shared" si="201"/>
        <v>14170.75</v>
      </c>
      <c r="K204" s="225">
        <f t="shared" si="201"/>
        <v>522458.33333333331</v>
      </c>
      <c r="L204" s="225">
        <f t="shared" si="201"/>
        <v>43787.5</v>
      </c>
      <c r="M204" s="225">
        <f t="shared" si="201"/>
        <v>0</v>
      </c>
      <c r="N204" s="225">
        <f t="shared" si="201"/>
        <v>754001.33333333337</v>
      </c>
      <c r="O204" s="225">
        <f t="shared" si="201"/>
        <v>112513.33333333333</v>
      </c>
      <c r="P204" s="225">
        <f t="shared" si="201"/>
        <v>244362.83333333334</v>
      </c>
      <c r="Q204" s="225">
        <f t="shared" si="201"/>
        <v>356876.16666666669</v>
      </c>
      <c r="R204" s="225">
        <f t="shared" si="201"/>
        <v>1335322.5</v>
      </c>
      <c r="S204" s="207"/>
      <c r="T204" s="225">
        <f>AVERAGE(T150:T161)</f>
        <v>71743.333333333328</v>
      </c>
      <c r="U204" s="225">
        <f>AVERAGE(U150:U161)</f>
        <v>74669.166666666672</v>
      </c>
      <c r="V204" s="225">
        <f>AVERAGE(V150:V161)</f>
        <v>1586.9166666666667</v>
      </c>
      <c r="W204" s="220">
        <f>AVERAGE(W150:W161)</f>
        <v>147999.41666666666</v>
      </c>
      <c r="X204" s="207"/>
      <c r="Y204" s="220">
        <f>AVERAGE(Y150:Y161)</f>
        <v>1483321.9166666667</v>
      </c>
    </row>
    <row r="205" spans="1:29" s="35" customFormat="1">
      <c r="A205" s="222" t="s">
        <v>484</v>
      </c>
      <c r="B205" s="222"/>
      <c r="C205" s="226">
        <f>AVERAGE(C163:C174)</f>
        <v>157787.5</v>
      </c>
      <c r="D205" s="226">
        <f t="shared" ref="D205:M205" si="202">AVERAGE(D163:D174)</f>
        <v>19443.75</v>
      </c>
      <c r="E205" s="226">
        <f t="shared" si="202"/>
        <v>54092.416666666664</v>
      </c>
      <c r="F205" s="226">
        <f t="shared" si="202"/>
        <v>1459.3333333333333</v>
      </c>
      <c r="G205" s="224">
        <f t="shared" si="202"/>
        <v>232783</v>
      </c>
      <c r="H205" s="221">
        <f t="shared" si="202"/>
        <v>66967.333333333328</v>
      </c>
      <c r="I205" s="225">
        <f t="shared" si="202"/>
        <v>130855.41666666667</v>
      </c>
      <c r="J205" s="225">
        <f t="shared" si="202"/>
        <v>20559.083333333332</v>
      </c>
      <c r="K205" s="225">
        <f t="shared" si="202"/>
        <v>584056.83333333337</v>
      </c>
      <c r="L205" s="225">
        <f t="shared" si="202"/>
        <v>45737.583333333336</v>
      </c>
      <c r="M205" s="225">
        <f t="shared" si="202"/>
        <v>0</v>
      </c>
      <c r="N205" s="225">
        <f t="shared" ref="N205:R205" si="203">AVERAGE(N163:N174)</f>
        <v>848176.25</v>
      </c>
      <c r="O205" s="225">
        <f t="shared" si="203"/>
        <v>134722.66666666666</v>
      </c>
      <c r="P205" s="225">
        <f t="shared" si="203"/>
        <v>364368.91666666669</v>
      </c>
      <c r="Q205" s="225">
        <f t="shared" si="203"/>
        <v>499091.58333333331</v>
      </c>
      <c r="R205" s="225">
        <f t="shared" si="203"/>
        <v>1580050.8333333333</v>
      </c>
      <c r="S205" s="207"/>
      <c r="T205" s="225">
        <f>AVERAGE(T163:T174)</f>
        <v>79719.833333333328</v>
      </c>
      <c r="U205" s="225">
        <f t="shared" ref="U205:W205" si="204">AVERAGE(U163:U174)</f>
        <v>78955.5</v>
      </c>
      <c r="V205" s="225">
        <f t="shared" si="204"/>
        <v>1634.5833333333333</v>
      </c>
      <c r="W205" s="225">
        <f t="shared" si="204"/>
        <v>160309.91666666666</v>
      </c>
      <c r="X205" s="207"/>
      <c r="Y205" s="220">
        <f>AVERAGE(Y164:Y174)</f>
        <v>1750409.7272727273</v>
      </c>
    </row>
    <row r="206" spans="1:29" s="35" customFormat="1">
      <c r="A206" s="222" t="s">
        <v>485</v>
      </c>
      <c r="B206" s="222"/>
      <c r="C206" s="226">
        <f>AVERAGE(C176:C187)</f>
        <v>158795</v>
      </c>
      <c r="D206" s="226">
        <f t="shared" ref="D206:F206" si="205">AVERAGE(D176:D187)</f>
        <v>19410</v>
      </c>
      <c r="E206" s="226">
        <f t="shared" si="205"/>
        <v>55297</v>
      </c>
      <c r="F206" s="226">
        <f t="shared" si="205"/>
        <v>1508</v>
      </c>
      <c r="G206" s="224">
        <f t="shared" ref="G206:R206" si="206">AVERAGE(G176:G187)</f>
        <v>235010</v>
      </c>
      <c r="H206" s="221">
        <f t="shared" si="206"/>
        <v>66432</v>
      </c>
      <c r="I206" s="225">
        <f t="shared" si="206"/>
        <v>140894</v>
      </c>
      <c r="J206" s="225">
        <f t="shared" si="206"/>
        <v>23300</v>
      </c>
      <c r="K206" s="225">
        <f t="shared" si="206"/>
        <v>611748</v>
      </c>
      <c r="L206" s="225">
        <f t="shared" si="206"/>
        <v>47101</v>
      </c>
      <c r="M206" s="225">
        <f t="shared" si="206"/>
        <v>0</v>
      </c>
      <c r="N206" s="225">
        <f t="shared" si="206"/>
        <v>889475</v>
      </c>
      <c r="O206" s="225">
        <f t="shared" si="206"/>
        <v>144279</v>
      </c>
      <c r="P206" s="225">
        <f t="shared" si="206"/>
        <v>418269</v>
      </c>
      <c r="Q206" s="225">
        <f t="shared" si="206"/>
        <v>562548</v>
      </c>
      <c r="R206" s="225">
        <f t="shared" si="206"/>
        <v>1687033</v>
      </c>
      <c r="S206" s="207"/>
      <c r="T206" s="225">
        <f>AVERAGE(T176:T187)</f>
        <v>83237</v>
      </c>
      <c r="U206" s="225">
        <f>AVERAGE(U176:U187)</f>
        <v>80556</v>
      </c>
      <c r="V206" s="225">
        <f>AVERAGE(V176:V187)</f>
        <v>1737</v>
      </c>
      <c r="W206" s="225">
        <f>AVERAGE(W176:W187)</f>
        <v>165530</v>
      </c>
      <c r="X206" s="207"/>
      <c r="Y206" s="220">
        <f>AVERAGE(Y176:Y187)</f>
        <v>1852563</v>
      </c>
    </row>
    <row r="207" spans="1:29" s="35" customFormat="1">
      <c r="A207" s="106"/>
      <c r="B207" s="106"/>
      <c r="Y207" s="107"/>
    </row>
    <row r="208" spans="1:29">
      <c r="A208" s="219" t="s">
        <v>150</v>
      </c>
      <c r="B208" s="219"/>
      <c r="T208" s="218"/>
      <c r="U208" s="218"/>
      <c r="V208" s="218"/>
      <c r="W208" s="218"/>
    </row>
    <row r="209" spans="1:26" s="2" customFormat="1" ht="12.75" hidden="1" customHeight="1">
      <c r="A209" s="124" t="s">
        <v>166</v>
      </c>
      <c r="B209" s="132"/>
      <c r="G209" s="2">
        <v>52352</v>
      </c>
      <c r="I209" s="2">
        <v>58076</v>
      </c>
      <c r="K209" s="2">
        <v>279330</v>
      </c>
      <c r="N209" s="2">
        <f>SUM(H209:M209)</f>
        <v>337406</v>
      </c>
      <c r="R209" s="2">
        <f>G209+N209+Q209</f>
        <v>389758</v>
      </c>
      <c r="T209" s="206">
        <v>28779</v>
      </c>
      <c r="U209" s="206">
        <v>45855</v>
      </c>
      <c r="V209" s="206">
        <v>946</v>
      </c>
      <c r="W209" s="206">
        <f>SUM(T209:V209)</f>
        <v>75580</v>
      </c>
      <c r="Y209" s="54">
        <f>W209+R209</f>
        <v>465338</v>
      </c>
      <c r="Z209" s="2">
        <f>N209+T209</f>
        <v>366185</v>
      </c>
    </row>
    <row r="210" spans="1:26" s="2" customFormat="1" ht="12.75" hidden="1" customHeight="1">
      <c r="A210" s="124" t="s">
        <v>165</v>
      </c>
      <c r="B210" s="132"/>
      <c r="G210" s="2">
        <v>54497</v>
      </c>
      <c r="I210" s="2">
        <v>62078</v>
      </c>
      <c r="K210" s="2">
        <v>316741</v>
      </c>
      <c r="N210" s="2">
        <f t="shared" ref="N210:N273" si="207">SUM(H210:M210)</f>
        <v>378819</v>
      </c>
      <c r="R210" s="2">
        <f t="shared" ref="R210:R273" si="208">G210+N210+Q210</f>
        <v>433316</v>
      </c>
      <c r="T210" s="206">
        <v>31305</v>
      </c>
      <c r="U210" s="206">
        <v>49818</v>
      </c>
      <c r="V210" s="206">
        <v>925</v>
      </c>
      <c r="W210" s="206">
        <f>SUM(T210:V210)</f>
        <v>82048</v>
      </c>
      <c r="Y210" s="54">
        <f t="shared" ref="Y210:Y273" si="209">W210+R210</f>
        <v>515364</v>
      </c>
      <c r="Z210" s="2">
        <f>N210+T210</f>
        <v>410124</v>
      </c>
    </row>
    <row r="211" spans="1:26" s="2" customFormat="1" ht="12.75" hidden="1" customHeight="1">
      <c r="A211" s="124" t="s">
        <v>164</v>
      </c>
      <c r="B211" s="132"/>
      <c r="G211" s="2">
        <v>56674</v>
      </c>
      <c r="I211" s="2">
        <v>61060</v>
      </c>
      <c r="J211" s="2">
        <v>10286</v>
      </c>
      <c r="K211" s="2">
        <v>356781</v>
      </c>
      <c r="N211" s="2">
        <f t="shared" si="207"/>
        <v>428127</v>
      </c>
      <c r="R211" s="2">
        <f t="shared" si="208"/>
        <v>484801</v>
      </c>
      <c r="T211" s="206">
        <v>36467</v>
      </c>
      <c r="U211" s="206">
        <v>46541</v>
      </c>
      <c r="V211" s="206">
        <v>1023</v>
      </c>
      <c r="W211" s="206">
        <f>SUM(T211:V211)</f>
        <v>84031</v>
      </c>
      <c r="Y211" s="54">
        <f t="shared" si="209"/>
        <v>568832</v>
      </c>
      <c r="Z211" s="2">
        <f>N211+T211</f>
        <v>464594</v>
      </c>
    </row>
    <row r="212" spans="1:26" s="2" customFormat="1" ht="5.25" hidden="1" customHeight="1">
      <c r="A212" s="124"/>
      <c r="B212" s="132"/>
      <c r="T212" s="206"/>
      <c r="U212" s="206"/>
      <c r="V212" s="206"/>
      <c r="W212" s="206"/>
      <c r="Y212" s="54"/>
    </row>
    <row r="213" spans="1:26" s="2" customFormat="1" ht="12.75" hidden="1" customHeight="1">
      <c r="A213" s="125" t="s">
        <v>167</v>
      </c>
      <c r="B213" s="132"/>
      <c r="G213" s="2">
        <v>56752</v>
      </c>
      <c r="I213" s="2">
        <v>71459</v>
      </c>
      <c r="K213" s="2">
        <v>357849</v>
      </c>
      <c r="N213" s="2">
        <f t="shared" si="207"/>
        <v>429308</v>
      </c>
      <c r="O213" s="108"/>
      <c r="P213" s="108"/>
      <c r="Q213" s="108"/>
      <c r="R213" s="2">
        <f t="shared" si="208"/>
        <v>486060</v>
      </c>
      <c r="T213" s="206">
        <v>36776</v>
      </c>
      <c r="U213" s="206">
        <v>46798</v>
      </c>
      <c r="V213" s="206">
        <v>1029</v>
      </c>
      <c r="W213" s="206">
        <f t="shared" ref="W213:W221" si="210">SUM(T213:V213)</f>
        <v>84603</v>
      </c>
      <c r="Y213" s="54">
        <f t="shared" si="209"/>
        <v>570663</v>
      </c>
      <c r="Z213" s="2">
        <f t="shared" ref="Z213:Z221" si="211">N213+T213</f>
        <v>466084</v>
      </c>
    </row>
    <row r="214" spans="1:26" s="2" customFormat="1" ht="12.75" hidden="1" customHeight="1">
      <c r="A214" s="125" t="s">
        <v>168</v>
      </c>
      <c r="B214" s="132"/>
      <c r="G214" s="2">
        <v>57366</v>
      </c>
      <c r="I214" s="2">
        <v>72211</v>
      </c>
      <c r="K214" s="2">
        <v>359394</v>
      </c>
      <c r="N214" s="2">
        <f t="shared" si="207"/>
        <v>431605</v>
      </c>
      <c r="O214" s="108"/>
      <c r="P214" s="108"/>
      <c r="Q214" s="108"/>
      <c r="R214" s="2">
        <f t="shared" si="208"/>
        <v>488971</v>
      </c>
      <c r="T214" s="206">
        <v>36826</v>
      </c>
      <c r="U214" s="206">
        <v>46908</v>
      </c>
      <c r="V214" s="206">
        <v>1008</v>
      </c>
      <c r="W214" s="206">
        <f t="shared" si="210"/>
        <v>84742</v>
      </c>
      <c r="Y214" s="54">
        <f t="shared" si="209"/>
        <v>573713</v>
      </c>
      <c r="Z214" s="2">
        <f t="shared" si="211"/>
        <v>468431</v>
      </c>
    </row>
    <row r="215" spans="1:26" s="2" customFormat="1" ht="12.75" hidden="1" customHeight="1">
      <c r="A215" s="125" t="s">
        <v>169</v>
      </c>
      <c r="B215" s="132"/>
      <c r="G215" s="2">
        <v>57341</v>
      </c>
      <c r="I215" s="2">
        <v>71539</v>
      </c>
      <c r="K215" s="2">
        <v>358492</v>
      </c>
      <c r="N215" s="2">
        <f t="shared" si="207"/>
        <v>430031</v>
      </c>
      <c r="O215" s="108"/>
      <c r="P215" s="108"/>
      <c r="Q215" s="108"/>
      <c r="R215" s="2">
        <f t="shared" si="208"/>
        <v>487372</v>
      </c>
      <c r="T215" s="206">
        <v>36915</v>
      </c>
      <c r="U215" s="206">
        <v>47598</v>
      </c>
      <c r="V215" s="206">
        <v>1057</v>
      </c>
      <c r="W215" s="206">
        <f t="shared" si="210"/>
        <v>85570</v>
      </c>
      <c r="Y215" s="54">
        <f t="shared" si="209"/>
        <v>572942</v>
      </c>
      <c r="Z215" s="2">
        <f t="shared" si="211"/>
        <v>466946</v>
      </c>
    </row>
    <row r="216" spans="1:26" s="2" customFormat="1" ht="12.75" hidden="1" customHeight="1">
      <c r="A216" s="125" t="s">
        <v>170</v>
      </c>
      <c r="B216" s="132"/>
      <c r="G216" s="2">
        <v>57827</v>
      </c>
      <c r="I216" s="2">
        <v>72421</v>
      </c>
      <c r="K216" s="2">
        <v>359602</v>
      </c>
      <c r="N216" s="2">
        <f t="shared" si="207"/>
        <v>432023</v>
      </c>
      <c r="O216" s="108"/>
      <c r="P216" s="108"/>
      <c r="Q216" s="108"/>
      <c r="R216" s="2">
        <f t="shared" si="208"/>
        <v>489850</v>
      </c>
      <c r="T216" s="206">
        <v>37510</v>
      </c>
      <c r="U216" s="206">
        <v>47685</v>
      </c>
      <c r="V216" s="206">
        <v>1074</v>
      </c>
      <c r="W216" s="206">
        <f t="shared" si="210"/>
        <v>86269</v>
      </c>
      <c r="Y216" s="54">
        <f t="shared" si="209"/>
        <v>576119</v>
      </c>
      <c r="Z216" s="2">
        <f t="shared" si="211"/>
        <v>469533</v>
      </c>
    </row>
    <row r="217" spans="1:26" s="2" customFormat="1" ht="12.75" hidden="1" customHeight="1">
      <c r="A217" s="125" t="s">
        <v>155</v>
      </c>
      <c r="B217" s="132"/>
      <c r="G217" s="2">
        <f>264+2320+37397+18167</f>
        <v>58148</v>
      </c>
      <c r="H217" s="2">
        <v>0</v>
      </c>
      <c r="I217" s="2">
        <f>73014-J217</f>
        <v>63505</v>
      </c>
      <c r="J217" s="2">
        <v>9509</v>
      </c>
      <c r="K217" s="2">
        <v>363528</v>
      </c>
      <c r="L217" s="2">
        <v>0</v>
      </c>
      <c r="N217" s="2">
        <f t="shared" si="207"/>
        <v>436542</v>
      </c>
      <c r="O217" s="108"/>
      <c r="P217" s="108"/>
      <c r="Q217" s="108"/>
      <c r="R217" s="2">
        <f t="shared" si="208"/>
        <v>494690</v>
      </c>
      <c r="T217" s="206">
        <v>38275</v>
      </c>
      <c r="U217" s="206">
        <v>48741</v>
      </c>
      <c r="V217" s="206">
        <v>1060</v>
      </c>
      <c r="W217" s="206">
        <f t="shared" si="210"/>
        <v>88076</v>
      </c>
      <c r="Y217" s="54">
        <f t="shared" si="209"/>
        <v>582766</v>
      </c>
      <c r="Z217" s="2">
        <f t="shared" si="211"/>
        <v>474817</v>
      </c>
    </row>
    <row r="218" spans="1:26" s="2" customFormat="1" ht="12.75" hidden="1" customHeight="1">
      <c r="A218" s="125" t="s">
        <v>156</v>
      </c>
      <c r="B218" s="132"/>
      <c r="G218" s="2">
        <v>58570</v>
      </c>
      <c r="H218" s="2">
        <v>0</v>
      </c>
      <c r="I218" s="2">
        <v>64044</v>
      </c>
      <c r="J218" s="2">
        <v>9292</v>
      </c>
      <c r="K218" s="2">
        <v>366193</v>
      </c>
      <c r="L218" s="2">
        <v>0</v>
      </c>
      <c r="N218" s="2">
        <f t="shared" si="207"/>
        <v>439529</v>
      </c>
      <c r="O218" s="108"/>
      <c r="P218" s="108"/>
      <c r="Q218" s="108"/>
      <c r="R218" s="2">
        <f t="shared" si="208"/>
        <v>498099</v>
      </c>
      <c r="T218" s="206">
        <v>38717</v>
      </c>
      <c r="U218" s="206">
        <v>49888</v>
      </c>
      <c r="V218" s="206">
        <v>1116</v>
      </c>
      <c r="W218" s="206">
        <f t="shared" si="210"/>
        <v>89721</v>
      </c>
      <c r="Y218" s="54">
        <f t="shared" si="209"/>
        <v>587820</v>
      </c>
      <c r="Z218" s="2">
        <f t="shared" si="211"/>
        <v>478246</v>
      </c>
    </row>
    <row r="219" spans="1:26" s="2" customFormat="1" ht="12.75" hidden="1" customHeight="1">
      <c r="A219" s="125" t="s">
        <v>158</v>
      </c>
      <c r="B219" s="132"/>
      <c r="G219" s="2">
        <v>58991</v>
      </c>
      <c r="H219" s="2">
        <v>0</v>
      </c>
      <c r="I219" s="2">
        <v>63904</v>
      </c>
      <c r="J219" s="2">
        <v>9198</v>
      </c>
      <c r="K219" s="2">
        <v>364699</v>
      </c>
      <c r="L219" s="2">
        <v>0</v>
      </c>
      <c r="N219" s="2">
        <f t="shared" si="207"/>
        <v>437801</v>
      </c>
      <c r="O219" s="108"/>
      <c r="P219" s="108"/>
      <c r="Q219" s="108"/>
      <c r="R219" s="2">
        <f t="shared" si="208"/>
        <v>496792</v>
      </c>
      <c r="T219" s="206">
        <v>38847</v>
      </c>
      <c r="U219" s="206">
        <v>50058</v>
      </c>
      <c r="V219" s="206">
        <v>1087</v>
      </c>
      <c r="W219" s="206">
        <f t="shared" si="210"/>
        <v>89992</v>
      </c>
      <c r="Y219" s="54">
        <f t="shared" si="209"/>
        <v>586784</v>
      </c>
      <c r="Z219" s="2">
        <f t="shared" si="211"/>
        <v>476648</v>
      </c>
    </row>
    <row r="220" spans="1:26" s="2" customFormat="1" ht="12.75" hidden="1" customHeight="1">
      <c r="A220" s="125" t="s">
        <v>157</v>
      </c>
      <c r="B220" s="132"/>
      <c r="G220" s="2">
        <v>59143</v>
      </c>
      <c r="H220" s="2">
        <v>0</v>
      </c>
      <c r="I220" s="2">
        <v>63999</v>
      </c>
      <c r="J220" s="2">
        <v>8861</v>
      </c>
      <c r="K220" s="2">
        <v>364863</v>
      </c>
      <c r="L220" s="2">
        <v>0</v>
      </c>
      <c r="N220" s="2">
        <f t="shared" si="207"/>
        <v>437723</v>
      </c>
      <c r="O220" s="108"/>
      <c r="P220" s="108"/>
      <c r="Q220" s="108"/>
      <c r="R220" s="2">
        <f t="shared" si="208"/>
        <v>496866</v>
      </c>
      <c r="T220" s="206">
        <v>38804</v>
      </c>
      <c r="U220" s="206">
        <v>50425</v>
      </c>
      <c r="V220" s="206">
        <v>1044</v>
      </c>
      <c r="W220" s="206">
        <f t="shared" si="210"/>
        <v>90273</v>
      </c>
      <c r="Y220" s="54">
        <f t="shared" si="209"/>
        <v>587139</v>
      </c>
      <c r="Z220" s="2">
        <f t="shared" si="211"/>
        <v>476527</v>
      </c>
    </row>
    <row r="221" spans="1:26" s="108" customFormat="1" ht="12.75" hidden="1" customHeight="1">
      <c r="A221" s="124" t="s">
        <v>159</v>
      </c>
      <c r="B221" s="131"/>
      <c r="G221" s="108">
        <v>59044</v>
      </c>
      <c r="H221" s="108">
        <v>0</v>
      </c>
      <c r="I221" s="108">
        <v>63232</v>
      </c>
      <c r="J221" s="108">
        <v>8544</v>
      </c>
      <c r="K221" s="108">
        <v>362664</v>
      </c>
      <c r="L221" s="108">
        <v>0</v>
      </c>
      <c r="N221" s="2">
        <f t="shared" si="207"/>
        <v>434440</v>
      </c>
      <c r="R221" s="2">
        <f t="shared" si="208"/>
        <v>493484</v>
      </c>
      <c r="T221" s="217">
        <v>38194</v>
      </c>
      <c r="U221" s="217">
        <v>50733</v>
      </c>
      <c r="V221" s="217">
        <v>1096</v>
      </c>
      <c r="W221" s="217">
        <f t="shared" si="210"/>
        <v>90023</v>
      </c>
      <c r="Y221" s="54">
        <f t="shared" si="209"/>
        <v>583507</v>
      </c>
      <c r="Z221" s="2">
        <f t="shared" si="211"/>
        <v>472634</v>
      </c>
    </row>
    <row r="222" spans="1:26" s="108" customFormat="1" ht="12.75" hidden="1" customHeight="1">
      <c r="A222" s="124" t="s">
        <v>160</v>
      </c>
      <c r="B222" s="131"/>
      <c r="G222" s="108">
        <v>59013</v>
      </c>
      <c r="H222" s="108">
        <v>0</v>
      </c>
      <c r="I222" s="108">
        <v>63269</v>
      </c>
      <c r="J222" s="108">
        <v>8769</v>
      </c>
      <c r="K222" s="108">
        <v>363274</v>
      </c>
      <c r="L222" s="108">
        <v>0</v>
      </c>
      <c r="N222" s="2">
        <f t="shared" si="207"/>
        <v>435312</v>
      </c>
      <c r="R222" s="2">
        <f t="shared" si="208"/>
        <v>494325</v>
      </c>
      <c r="T222" s="217">
        <v>37751</v>
      </c>
      <c r="U222" s="217">
        <v>51275</v>
      </c>
      <c r="V222" s="217">
        <v>1060</v>
      </c>
      <c r="W222" s="217">
        <v>90086</v>
      </c>
      <c r="Y222" s="54">
        <f t="shared" si="209"/>
        <v>584411</v>
      </c>
      <c r="Z222" s="2">
        <v>532076</v>
      </c>
    </row>
    <row r="223" spans="1:26" s="108" customFormat="1" ht="12.75" hidden="1" customHeight="1">
      <c r="A223" s="124" t="s">
        <v>161</v>
      </c>
      <c r="B223" s="131"/>
      <c r="G223" s="108">
        <v>59016</v>
      </c>
      <c r="H223" s="108">
        <v>0</v>
      </c>
      <c r="I223" s="108">
        <v>63168</v>
      </c>
      <c r="J223" s="108">
        <v>8838</v>
      </c>
      <c r="K223" s="108">
        <v>363387</v>
      </c>
      <c r="L223" s="108">
        <v>0</v>
      </c>
      <c r="N223" s="2">
        <f t="shared" si="207"/>
        <v>435393</v>
      </c>
      <c r="R223" s="2">
        <f t="shared" si="208"/>
        <v>494409</v>
      </c>
      <c r="T223" s="217">
        <v>37622</v>
      </c>
      <c r="U223" s="217">
        <v>52085</v>
      </c>
      <c r="V223" s="217">
        <v>1045</v>
      </c>
      <c r="W223" s="217">
        <f>SUM(T223:V223)</f>
        <v>90752</v>
      </c>
      <c r="Y223" s="54">
        <f t="shared" si="209"/>
        <v>585161</v>
      </c>
      <c r="Z223" s="2">
        <f>N223+T223</f>
        <v>473015</v>
      </c>
    </row>
    <row r="224" spans="1:26" s="108" customFormat="1" ht="12.75" hidden="1" customHeight="1">
      <c r="A224" s="124" t="s">
        <v>163</v>
      </c>
      <c r="B224" s="131"/>
      <c r="G224" s="108">
        <v>59329</v>
      </c>
      <c r="H224" s="108">
        <v>0</v>
      </c>
      <c r="I224" s="108">
        <v>63258</v>
      </c>
      <c r="J224" s="108">
        <v>8889</v>
      </c>
      <c r="K224" s="108">
        <v>363991</v>
      </c>
      <c r="L224" s="108">
        <v>0</v>
      </c>
      <c r="N224" s="2">
        <f t="shared" si="207"/>
        <v>436138</v>
      </c>
      <c r="R224" s="2">
        <f t="shared" si="208"/>
        <v>495467</v>
      </c>
      <c r="T224" s="217">
        <v>37841</v>
      </c>
      <c r="U224" s="217">
        <v>53100</v>
      </c>
      <c r="V224" s="217">
        <v>1043</v>
      </c>
      <c r="W224" s="217">
        <f>SUM(T224:V224)</f>
        <v>91984</v>
      </c>
      <c r="Y224" s="54">
        <f t="shared" si="209"/>
        <v>587451</v>
      </c>
      <c r="Z224" s="2">
        <f>N224+T224</f>
        <v>473979</v>
      </c>
    </row>
    <row r="225" spans="1:26" s="108" customFormat="1" ht="5.25" hidden="1" customHeight="1">
      <c r="A225" s="124"/>
      <c r="B225" s="131"/>
      <c r="N225" s="2"/>
      <c r="R225" s="2"/>
      <c r="T225" s="217"/>
      <c r="U225" s="217"/>
      <c r="V225" s="217"/>
      <c r="W225" s="217"/>
      <c r="Y225" s="54"/>
      <c r="Z225" s="2"/>
    </row>
    <row r="226" spans="1:26" s="108" customFormat="1" ht="12.75" hidden="1" customHeight="1">
      <c r="A226" s="124" t="s">
        <v>173</v>
      </c>
      <c r="B226" s="131"/>
      <c r="G226" s="108">
        <v>59044</v>
      </c>
      <c r="H226" s="108">
        <v>0</v>
      </c>
      <c r="I226" s="108">
        <f>71667-J226</f>
        <v>62685</v>
      </c>
      <c r="J226" s="108">
        <v>8982</v>
      </c>
      <c r="K226" s="108">
        <v>363287</v>
      </c>
      <c r="L226" s="108">
        <v>0</v>
      </c>
      <c r="N226" s="2">
        <f t="shared" si="207"/>
        <v>434954</v>
      </c>
      <c r="R226" s="2">
        <f t="shared" si="208"/>
        <v>493998</v>
      </c>
      <c r="T226" s="217">
        <v>37681</v>
      </c>
      <c r="U226" s="217">
        <v>53244</v>
      </c>
      <c r="V226" s="217">
        <v>1043</v>
      </c>
      <c r="W226" s="217">
        <f t="shared" ref="W226:W237" si="212">SUM(T226:V226)</f>
        <v>91968</v>
      </c>
      <c r="Y226" s="54">
        <f t="shared" si="209"/>
        <v>585966</v>
      </c>
      <c r="Z226" s="2">
        <f t="shared" ref="Z226:Z237" si="213">N226+T226</f>
        <v>472635</v>
      </c>
    </row>
    <row r="227" spans="1:26" s="108" customFormat="1" ht="12.75" hidden="1" customHeight="1">
      <c r="A227" s="124" t="s">
        <v>174</v>
      </c>
      <c r="B227" s="131"/>
      <c r="G227" s="108">
        <v>59267</v>
      </c>
      <c r="H227" s="108">
        <v>0</v>
      </c>
      <c r="I227" s="108">
        <f>71658-J227</f>
        <v>62656</v>
      </c>
      <c r="J227" s="108">
        <v>9002</v>
      </c>
      <c r="K227" s="108">
        <v>362648</v>
      </c>
      <c r="L227" s="108">
        <v>0</v>
      </c>
      <c r="N227" s="2">
        <f t="shared" si="207"/>
        <v>434306</v>
      </c>
      <c r="R227" s="2">
        <f t="shared" si="208"/>
        <v>493573</v>
      </c>
      <c r="T227" s="217">
        <v>37577</v>
      </c>
      <c r="U227" s="217">
        <v>53451</v>
      </c>
      <c r="V227" s="217">
        <v>1039</v>
      </c>
      <c r="W227" s="217">
        <f t="shared" si="212"/>
        <v>92067</v>
      </c>
      <c r="Y227" s="54">
        <f t="shared" si="209"/>
        <v>585640</v>
      </c>
      <c r="Z227" s="2">
        <f t="shared" si="213"/>
        <v>471883</v>
      </c>
    </row>
    <row r="228" spans="1:26" s="108" customFormat="1" ht="12.75" hidden="1" customHeight="1">
      <c r="A228" s="124" t="s">
        <v>175</v>
      </c>
      <c r="B228" s="131"/>
      <c r="G228" s="108">
        <v>59598</v>
      </c>
      <c r="H228" s="108">
        <v>0</v>
      </c>
      <c r="I228" s="108">
        <f>71523-J228</f>
        <v>62724</v>
      </c>
      <c r="J228" s="108">
        <v>8799</v>
      </c>
      <c r="K228" s="108">
        <v>362453</v>
      </c>
      <c r="L228" s="108">
        <v>0</v>
      </c>
      <c r="N228" s="2">
        <f t="shared" si="207"/>
        <v>433976</v>
      </c>
      <c r="R228" s="2">
        <f t="shared" si="208"/>
        <v>493574</v>
      </c>
      <c r="T228" s="217">
        <v>37843</v>
      </c>
      <c r="U228" s="217">
        <v>52864</v>
      </c>
      <c r="V228" s="217">
        <v>1053</v>
      </c>
      <c r="W228" s="217">
        <f t="shared" si="212"/>
        <v>91760</v>
      </c>
      <c r="Y228" s="54">
        <f t="shared" si="209"/>
        <v>585334</v>
      </c>
      <c r="Z228" s="2">
        <f t="shared" si="213"/>
        <v>471819</v>
      </c>
    </row>
    <row r="229" spans="1:26" s="108" customFormat="1" ht="12.75" hidden="1" customHeight="1">
      <c r="A229" s="124" t="s">
        <v>176</v>
      </c>
      <c r="B229" s="131"/>
      <c r="G229" s="108">
        <v>59422</v>
      </c>
      <c r="H229" s="108">
        <v>0</v>
      </c>
      <c r="I229" s="108">
        <f>71252-J229</f>
        <v>62594</v>
      </c>
      <c r="J229" s="108">
        <v>8658</v>
      </c>
      <c r="K229" s="108">
        <v>361036</v>
      </c>
      <c r="L229" s="108">
        <v>0</v>
      </c>
      <c r="N229" s="2">
        <f t="shared" si="207"/>
        <v>432288</v>
      </c>
      <c r="R229" s="2">
        <f t="shared" si="208"/>
        <v>491710</v>
      </c>
      <c r="T229" s="217">
        <v>37825</v>
      </c>
      <c r="U229" s="217">
        <v>52332</v>
      </c>
      <c r="V229" s="217">
        <v>1045</v>
      </c>
      <c r="W229" s="217">
        <f t="shared" si="212"/>
        <v>91202</v>
      </c>
      <c r="Y229" s="54">
        <f t="shared" si="209"/>
        <v>582912</v>
      </c>
      <c r="Z229" s="2">
        <f t="shared" si="213"/>
        <v>470113</v>
      </c>
    </row>
    <row r="230" spans="1:26" s="108" customFormat="1" ht="12.75" hidden="1" customHeight="1">
      <c r="A230" s="124" t="s">
        <v>179</v>
      </c>
      <c r="B230" s="131"/>
      <c r="G230" s="108">
        <v>59726</v>
      </c>
      <c r="H230" s="108">
        <v>0</v>
      </c>
      <c r="I230" s="108">
        <f>71088-J230</f>
        <v>62798</v>
      </c>
      <c r="J230" s="108">
        <v>8290</v>
      </c>
      <c r="K230" s="108">
        <v>362641</v>
      </c>
      <c r="L230" s="108">
        <v>0</v>
      </c>
      <c r="N230" s="2">
        <f t="shared" si="207"/>
        <v>433729</v>
      </c>
      <c r="R230" s="2">
        <f t="shared" si="208"/>
        <v>493455</v>
      </c>
      <c r="T230" s="217">
        <v>38226</v>
      </c>
      <c r="U230" s="217">
        <v>52583</v>
      </c>
      <c r="V230" s="217">
        <v>1036</v>
      </c>
      <c r="W230" s="217">
        <f t="shared" si="212"/>
        <v>91845</v>
      </c>
      <c r="Y230" s="54">
        <f t="shared" si="209"/>
        <v>585300</v>
      </c>
      <c r="Z230" s="2">
        <f t="shared" si="213"/>
        <v>471955</v>
      </c>
    </row>
    <row r="231" spans="1:26" s="108" customFormat="1" ht="12.75" hidden="1" customHeight="1">
      <c r="A231" s="124" t="s">
        <v>180</v>
      </c>
      <c r="B231" s="131"/>
      <c r="G231" s="108">
        <v>60106</v>
      </c>
      <c r="H231" s="108">
        <v>0</v>
      </c>
      <c r="I231" s="108">
        <f>71376-J231</f>
        <v>63276</v>
      </c>
      <c r="J231" s="108">
        <v>8100</v>
      </c>
      <c r="K231" s="108">
        <v>364922</v>
      </c>
      <c r="L231" s="108">
        <v>0</v>
      </c>
      <c r="N231" s="2">
        <f t="shared" si="207"/>
        <v>436298</v>
      </c>
      <c r="R231" s="2">
        <f t="shared" si="208"/>
        <v>496404</v>
      </c>
      <c r="T231" s="217">
        <v>38834</v>
      </c>
      <c r="U231" s="217">
        <v>53713</v>
      </c>
      <c r="V231" s="217">
        <v>1074</v>
      </c>
      <c r="W231" s="217">
        <f t="shared" si="212"/>
        <v>93621</v>
      </c>
      <c r="Y231" s="54">
        <f t="shared" si="209"/>
        <v>590025</v>
      </c>
      <c r="Z231" s="2">
        <f t="shared" si="213"/>
        <v>475132</v>
      </c>
    </row>
    <row r="232" spans="1:26" s="108" customFormat="1" ht="12.75" hidden="1" customHeight="1">
      <c r="A232" s="125" t="s">
        <v>181</v>
      </c>
      <c r="B232" s="131"/>
      <c r="G232" s="108">
        <v>64390</v>
      </c>
      <c r="H232" s="108">
        <v>0</v>
      </c>
      <c r="I232" s="108">
        <f>77679-J232</f>
        <v>68315</v>
      </c>
      <c r="J232" s="108">
        <v>9364</v>
      </c>
      <c r="K232" s="108">
        <v>382982</v>
      </c>
      <c r="L232" s="108">
        <v>0</v>
      </c>
      <c r="N232" s="2">
        <f t="shared" si="207"/>
        <v>460661</v>
      </c>
      <c r="R232" s="2">
        <f t="shared" si="208"/>
        <v>525051</v>
      </c>
      <c r="T232" s="217">
        <v>41102</v>
      </c>
      <c r="U232" s="217">
        <v>55336</v>
      </c>
      <c r="V232" s="217">
        <v>1131</v>
      </c>
      <c r="W232" s="217">
        <f t="shared" si="212"/>
        <v>97569</v>
      </c>
      <c r="Y232" s="54">
        <f t="shared" si="209"/>
        <v>622620</v>
      </c>
      <c r="Z232" s="2">
        <f t="shared" si="213"/>
        <v>501763</v>
      </c>
    </row>
    <row r="233" spans="1:26" s="108" customFormat="1" ht="12.75" hidden="1" customHeight="1">
      <c r="A233" s="125" t="s">
        <v>182</v>
      </c>
      <c r="B233" s="131"/>
      <c r="G233" s="108">
        <v>64511</v>
      </c>
      <c r="H233" s="108">
        <v>0</v>
      </c>
      <c r="I233" s="108">
        <f>78303-J233</f>
        <v>69141</v>
      </c>
      <c r="J233" s="108">
        <v>9162</v>
      </c>
      <c r="K233" s="108">
        <v>385041</v>
      </c>
      <c r="L233" s="108">
        <v>0</v>
      </c>
      <c r="N233" s="2">
        <f t="shared" si="207"/>
        <v>463344</v>
      </c>
      <c r="R233" s="2">
        <f t="shared" si="208"/>
        <v>527855</v>
      </c>
      <c r="T233" s="217">
        <v>41278</v>
      </c>
      <c r="U233" s="217">
        <v>56129</v>
      </c>
      <c r="V233" s="217">
        <v>1167</v>
      </c>
      <c r="W233" s="217">
        <f t="shared" si="212"/>
        <v>98574</v>
      </c>
      <c r="Y233" s="54">
        <f t="shared" si="209"/>
        <v>626429</v>
      </c>
      <c r="Z233" s="2">
        <f t="shared" si="213"/>
        <v>504622</v>
      </c>
    </row>
    <row r="234" spans="1:26" s="108" customFormat="1" ht="12.75" hidden="1" customHeight="1">
      <c r="A234" s="124" t="s">
        <v>183</v>
      </c>
      <c r="B234" s="131"/>
      <c r="G234" s="108">
        <v>64509</v>
      </c>
      <c r="H234" s="108">
        <v>0</v>
      </c>
      <c r="I234" s="108">
        <f>78017-J234</f>
        <v>68933</v>
      </c>
      <c r="J234" s="108">
        <v>9084</v>
      </c>
      <c r="K234" s="108">
        <v>384297</v>
      </c>
      <c r="L234" s="108">
        <v>0</v>
      </c>
      <c r="N234" s="2">
        <f t="shared" si="207"/>
        <v>462314</v>
      </c>
      <c r="R234" s="2">
        <f t="shared" si="208"/>
        <v>526823</v>
      </c>
      <c r="T234" s="217">
        <v>41048</v>
      </c>
      <c r="U234" s="217">
        <v>55655</v>
      </c>
      <c r="V234" s="217">
        <v>1209</v>
      </c>
      <c r="W234" s="217">
        <f t="shared" si="212"/>
        <v>97912</v>
      </c>
      <c r="Y234" s="54">
        <f t="shared" si="209"/>
        <v>624735</v>
      </c>
      <c r="Z234" s="2">
        <f t="shared" si="213"/>
        <v>503362</v>
      </c>
    </row>
    <row r="235" spans="1:26" s="108" customFormat="1" ht="12.75" hidden="1" customHeight="1">
      <c r="A235" s="124" t="s">
        <v>185</v>
      </c>
      <c r="B235" s="131"/>
      <c r="G235" s="108">
        <v>64215</v>
      </c>
      <c r="H235" s="108">
        <v>0</v>
      </c>
      <c r="I235" s="108">
        <f>78843-J235</f>
        <v>69497</v>
      </c>
      <c r="J235" s="108">
        <v>9346</v>
      </c>
      <c r="K235" s="108">
        <v>385308</v>
      </c>
      <c r="L235" s="108">
        <v>0</v>
      </c>
      <c r="N235" s="2">
        <f t="shared" si="207"/>
        <v>464151</v>
      </c>
      <c r="R235" s="2">
        <f t="shared" si="208"/>
        <v>528366</v>
      </c>
      <c r="T235" s="217">
        <v>40935</v>
      </c>
      <c r="U235" s="217">
        <v>56085</v>
      </c>
      <c r="V235" s="217">
        <v>1230</v>
      </c>
      <c r="W235" s="217">
        <f t="shared" si="212"/>
        <v>98250</v>
      </c>
      <c r="Y235" s="54">
        <f t="shared" si="209"/>
        <v>626616</v>
      </c>
      <c r="Z235" s="2">
        <f t="shared" si="213"/>
        <v>505086</v>
      </c>
    </row>
    <row r="236" spans="1:26" s="108" customFormat="1" ht="12.75" hidden="1" customHeight="1">
      <c r="A236" s="124" t="s">
        <v>186</v>
      </c>
      <c r="B236" s="131"/>
      <c r="G236" s="108">
        <v>64352</v>
      </c>
      <c r="H236" s="108">
        <v>0</v>
      </c>
      <c r="I236" s="108">
        <f>78977-J236</f>
        <v>69499</v>
      </c>
      <c r="J236" s="108">
        <v>9478</v>
      </c>
      <c r="K236" s="108">
        <v>386732</v>
      </c>
      <c r="L236" s="108">
        <v>0</v>
      </c>
      <c r="N236" s="2">
        <f t="shared" si="207"/>
        <v>465709</v>
      </c>
      <c r="R236" s="2">
        <f t="shared" si="208"/>
        <v>530061</v>
      </c>
      <c r="T236" s="217">
        <v>41149</v>
      </c>
      <c r="U236" s="217">
        <v>56599</v>
      </c>
      <c r="V236" s="217">
        <v>1269</v>
      </c>
      <c r="W236" s="217">
        <f t="shared" si="212"/>
        <v>99017</v>
      </c>
      <c r="Y236" s="54">
        <f t="shared" si="209"/>
        <v>629078</v>
      </c>
      <c r="Z236" s="2">
        <f t="shared" si="213"/>
        <v>506858</v>
      </c>
    </row>
    <row r="237" spans="1:26" s="108" customFormat="1" ht="12.75" hidden="1" customHeight="1">
      <c r="A237" s="124" t="s">
        <v>187</v>
      </c>
      <c r="B237" s="131"/>
      <c r="G237" s="108">
        <v>64526</v>
      </c>
      <c r="H237" s="108">
        <v>0</v>
      </c>
      <c r="I237" s="108">
        <f>79726-J237</f>
        <v>69914</v>
      </c>
      <c r="J237" s="108">
        <v>9812</v>
      </c>
      <c r="K237" s="108">
        <v>388234</v>
      </c>
      <c r="L237" s="108">
        <v>0</v>
      </c>
      <c r="N237" s="2">
        <f t="shared" si="207"/>
        <v>467960</v>
      </c>
      <c r="R237" s="2">
        <f t="shared" si="208"/>
        <v>532486</v>
      </c>
      <c r="T237" s="217">
        <v>41273</v>
      </c>
      <c r="U237" s="217">
        <v>56952</v>
      </c>
      <c r="V237" s="217">
        <v>1270</v>
      </c>
      <c r="W237" s="217">
        <f t="shared" si="212"/>
        <v>99495</v>
      </c>
      <c r="Y237" s="54">
        <f t="shared" si="209"/>
        <v>631981</v>
      </c>
      <c r="Z237" s="2">
        <f t="shared" si="213"/>
        <v>509233</v>
      </c>
    </row>
    <row r="238" spans="1:26" s="108" customFormat="1" ht="12.75" hidden="1" customHeight="1">
      <c r="A238" s="124"/>
      <c r="B238" s="131"/>
      <c r="N238" s="2"/>
      <c r="R238" s="2"/>
      <c r="T238" s="217"/>
      <c r="U238" s="217"/>
      <c r="V238" s="217"/>
      <c r="W238" s="217"/>
      <c r="Y238" s="54"/>
      <c r="Z238" s="2"/>
    </row>
    <row r="239" spans="1:26" s="108" customFormat="1" ht="12.75" hidden="1" customHeight="1">
      <c r="A239" s="131" t="s">
        <v>195</v>
      </c>
      <c r="B239" s="131"/>
      <c r="C239" s="108">
        <f t="shared" ref="C239:C250" si="214">G239-E239</f>
        <v>71693</v>
      </c>
      <c r="E239" s="108">
        <v>2775</v>
      </c>
      <c r="F239" s="108">
        <v>0</v>
      </c>
      <c r="G239" s="108">
        <f>259+3259+50474+20476</f>
        <v>74468</v>
      </c>
      <c r="H239" s="108">
        <v>0</v>
      </c>
      <c r="I239" s="108">
        <f>87176-J239</f>
        <v>76240</v>
      </c>
      <c r="J239" s="108">
        <v>10936</v>
      </c>
      <c r="K239" s="108">
        <v>415089</v>
      </c>
      <c r="L239" s="108">
        <v>0</v>
      </c>
      <c r="N239" s="2">
        <f t="shared" si="207"/>
        <v>502265</v>
      </c>
      <c r="R239" s="2">
        <f t="shared" si="208"/>
        <v>576733</v>
      </c>
      <c r="T239" s="217">
        <v>44283</v>
      </c>
      <c r="U239" s="217">
        <v>60174</v>
      </c>
      <c r="V239" s="217">
        <v>1348</v>
      </c>
      <c r="W239" s="217">
        <f t="shared" ref="W239:W250" si="215">SUM(T239:V239)</f>
        <v>105805</v>
      </c>
      <c r="Y239" s="54">
        <f t="shared" si="209"/>
        <v>682538</v>
      </c>
      <c r="Z239" s="2">
        <f t="shared" ref="Z239:Z250" si="216">N239+T239</f>
        <v>546548</v>
      </c>
    </row>
    <row r="240" spans="1:26" s="108" customFormat="1" ht="12.75" hidden="1" customHeight="1">
      <c r="A240" s="131" t="s">
        <v>196</v>
      </c>
      <c r="B240" s="131"/>
      <c r="C240" s="108">
        <f t="shared" si="214"/>
        <v>71727</v>
      </c>
      <c r="E240" s="108">
        <v>2867</v>
      </c>
      <c r="F240" s="108">
        <v>0</v>
      </c>
      <c r="G240" s="108">
        <f>261+3264+50694+20375</f>
        <v>74594</v>
      </c>
      <c r="H240" s="108">
        <v>0</v>
      </c>
      <c r="I240" s="108">
        <f>87031-J240</f>
        <v>76216</v>
      </c>
      <c r="J240" s="108">
        <v>10815</v>
      </c>
      <c r="K240" s="108">
        <v>414802</v>
      </c>
      <c r="L240" s="108">
        <v>0</v>
      </c>
      <c r="N240" s="2">
        <f t="shared" si="207"/>
        <v>501833</v>
      </c>
      <c r="R240" s="2">
        <f t="shared" si="208"/>
        <v>576427</v>
      </c>
      <c r="T240" s="217">
        <v>44130</v>
      </c>
      <c r="U240" s="217">
        <v>59845</v>
      </c>
      <c r="V240" s="217">
        <v>1350</v>
      </c>
      <c r="W240" s="217">
        <f t="shared" si="215"/>
        <v>105325</v>
      </c>
      <c r="Y240" s="54">
        <f t="shared" si="209"/>
        <v>681752</v>
      </c>
      <c r="Z240" s="2">
        <f t="shared" si="216"/>
        <v>545963</v>
      </c>
    </row>
    <row r="241" spans="1:26" s="108" customFormat="1" ht="12.75" hidden="1" customHeight="1">
      <c r="A241" s="131" t="s">
        <v>197</v>
      </c>
      <c r="B241" s="131"/>
      <c r="C241" s="108">
        <f t="shared" si="214"/>
        <v>71816</v>
      </c>
      <c r="E241" s="108">
        <v>2892</v>
      </c>
      <c r="F241" s="108">
        <v>0</v>
      </c>
      <c r="G241" s="108">
        <f>257+3254+50824+20373</f>
        <v>74708</v>
      </c>
      <c r="H241" s="108">
        <v>0</v>
      </c>
      <c r="I241" s="108">
        <f>87192-J241</f>
        <v>76354</v>
      </c>
      <c r="J241" s="108">
        <v>10838</v>
      </c>
      <c r="K241" s="108">
        <v>414390</v>
      </c>
      <c r="L241" s="108">
        <v>0</v>
      </c>
      <c r="N241" s="2">
        <f t="shared" si="207"/>
        <v>501582</v>
      </c>
      <c r="R241" s="2">
        <f t="shared" si="208"/>
        <v>576290</v>
      </c>
      <c r="T241" s="217">
        <v>44497</v>
      </c>
      <c r="U241" s="217">
        <v>58505</v>
      </c>
      <c r="V241" s="217">
        <v>1356</v>
      </c>
      <c r="W241" s="217">
        <f t="shared" si="215"/>
        <v>104358</v>
      </c>
      <c r="Y241" s="54">
        <f t="shared" si="209"/>
        <v>680648</v>
      </c>
      <c r="Z241" s="2">
        <f t="shared" si="216"/>
        <v>546079</v>
      </c>
    </row>
    <row r="242" spans="1:26" s="108" customFormat="1" ht="12.75" hidden="1" customHeight="1">
      <c r="A242" s="131" t="s">
        <v>198</v>
      </c>
      <c r="B242" s="131"/>
      <c r="C242" s="108">
        <f t="shared" si="214"/>
        <v>72394</v>
      </c>
      <c r="E242" s="108">
        <v>2892</v>
      </c>
      <c r="F242" s="108">
        <v>0</v>
      </c>
      <c r="G242" s="108">
        <f>272+3300+51269+20445</f>
        <v>75286</v>
      </c>
      <c r="H242" s="108">
        <v>0</v>
      </c>
      <c r="I242" s="108">
        <v>88357</v>
      </c>
      <c r="K242" s="108">
        <v>416177</v>
      </c>
      <c r="L242" s="108">
        <v>0</v>
      </c>
      <c r="N242" s="2">
        <f t="shared" si="207"/>
        <v>504534</v>
      </c>
      <c r="R242" s="2">
        <f t="shared" si="208"/>
        <v>579820</v>
      </c>
      <c r="T242" s="217">
        <v>44758</v>
      </c>
      <c r="U242" s="217">
        <v>58538</v>
      </c>
      <c r="V242" s="217">
        <v>1343</v>
      </c>
      <c r="W242" s="217">
        <f t="shared" si="215"/>
        <v>104639</v>
      </c>
      <c r="Y242" s="54">
        <f t="shared" si="209"/>
        <v>684459</v>
      </c>
      <c r="Z242" s="2">
        <f t="shared" si="216"/>
        <v>549292</v>
      </c>
    </row>
    <row r="243" spans="1:26" s="108" customFormat="1" ht="12.75" hidden="1" customHeight="1">
      <c r="A243" s="131" t="s">
        <v>199</v>
      </c>
      <c r="B243" s="131"/>
      <c r="C243" s="108">
        <f t="shared" si="214"/>
        <v>72354</v>
      </c>
      <c r="E243" s="108">
        <v>3090</v>
      </c>
      <c r="F243" s="108">
        <v>0</v>
      </c>
      <c r="G243" s="108">
        <f>285+3291+51450+20418</f>
        <v>75444</v>
      </c>
      <c r="H243" s="108">
        <v>0</v>
      </c>
      <c r="I243" s="108">
        <f>88445-J243</f>
        <v>77758</v>
      </c>
      <c r="J243" s="108">
        <v>10687</v>
      </c>
      <c r="K243" s="108">
        <v>417421</v>
      </c>
      <c r="L243" s="108">
        <v>0</v>
      </c>
      <c r="N243" s="2">
        <f t="shared" si="207"/>
        <v>505866</v>
      </c>
      <c r="R243" s="2">
        <f t="shared" si="208"/>
        <v>581310</v>
      </c>
      <c r="T243" s="217">
        <v>45015</v>
      </c>
      <c r="U243" s="217">
        <v>59330</v>
      </c>
      <c r="V243" s="217">
        <v>1365</v>
      </c>
      <c r="W243" s="217">
        <f t="shared" si="215"/>
        <v>105710</v>
      </c>
      <c r="Y243" s="54">
        <f t="shared" si="209"/>
        <v>687020</v>
      </c>
      <c r="Z243" s="2">
        <f t="shared" si="216"/>
        <v>550881</v>
      </c>
    </row>
    <row r="244" spans="1:26" s="108" customFormat="1" ht="12.75" hidden="1" customHeight="1">
      <c r="A244" s="131" t="s">
        <v>200</v>
      </c>
      <c r="B244" s="131"/>
      <c r="C244" s="108">
        <f t="shared" si="214"/>
        <v>72832</v>
      </c>
      <c r="E244" s="108">
        <v>3205</v>
      </c>
      <c r="F244" s="108">
        <v>0</v>
      </c>
      <c r="G244" s="108">
        <f>283+3369+51821+20564</f>
        <v>76037</v>
      </c>
      <c r="H244" s="108">
        <v>0</v>
      </c>
      <c r="I244" s="108">
        <f>89549-J244</f>
        <v>78707</v>
      </c>
      <c r="J244" s="108">
        <v>10842</v>
      </c>
      <c r="K244" s="108">
        <v>420936</v>
      </c>
      <c r="L244" s="108">
        <v>0</v>
      </c>
      <c r="N244" s="2">
        <f t="shared" si="207"/>
        <v>510485</v>
      </c>
      <c r="R244" s="2">
        <f t="shared" si="208"/>
        <v>586522</v>
      </c>
      <c r="T244" s="217">
        <v>45842</v>
      </c>
      <c r="U244" s="217">
        <v>59913</v>
      </c>
      <c r="V244" s="217">
        <v>1337</v>
      </c>
      <c r="W244" s="217">
        <f t="shared" si="215"/>
        <v>107092</v>
      </c>
      <c r="Y244" s="54">
        <f t="shared" si="209"/>
        <v>693614</v>
      </c>
      <c r="Z244" s="2">
        <f t="shared" si="216"/>
        <v>556327</v>
      </c>
    </row>
    <row r="245" spans="1:26" s="108" customFormat="1" ht="12.75" hidden="1" customHeight="1">
      <c r="A245" s="132" t="s">
        <v>201</v>
      </c>
      <c r="B245" s="131"/>
      <c r="C245" s="108">
        <f t="shared" si="214"/>
        <v>73382</v>
      </c>
      <c r="E245" s="108">
        <v>3280</v>
      </c>
      <c r="F245" s="108">
        <v>0</v>
      </c>
      <c r="G245" s="108">
        <f>298+3481+52217+20666</f>
        <v>76662</v>
      </c>
      <c r="H245" s="108">
        <v>0</v>
      </c>
      <c r="I245" s="108">
        <f>89825-J245</f>
        <v>79149</v>
      </c>
      <c r="J245" s="108">
        <v>10676</v>
      </c>
      <c r="K245" s="108">
        <v>421707</v>
      </c>
      <c r="L245" s="108">
        <v>0</v>
      </c>
      <c r="N245" s="2">
        <f t="shared" si="207"/>
        <v>511532</v>
      </c>
      <c r="R245" s="2">
        <f t="shared" si="208"/>
        <v>588194</v>
      </c>
      <c r="T245" s="217">
        <v>46370</v>
      </c>
      <c r="U245" s="217">
        <v>60076</v>
      </c>
      <c r="V245" s="217">
        <v>1345</v>
      </c>
      <c r="W245" s="217">
        <f t="shared" si="215"/>
        <v>107791</v>
      </c>
      <c r="Y245" s="54">
        <f t="shared" si="209"/>
        <v>695985</v>
      </c>
      <c r="Z245" s="2">
        <f t="shared" si="216"/>
        <v>557902</v>
      </c>
    </row>
    <row r="246" spans="1:26" s="108" customFormat="1" ht="12.75" hidden="1" customHeight="1">
      <c r="A246" s="132" t="s">
        <v>205</v>
      </c>
      <c r="B246" s="131"/>
      <c r="C246" s="108">
        <f t="shared" si="214"/>
        <v>73751</v>
      </c>
      <c r="E246" s="108">
        <v>3305</v>
      </c>
      <c r="F246" s="108">
        <v>0</v>
      </c>
      <c r="G246" s="108">
        <f>305+3528+52504+20719</f>
        <v>77056</v>
      </c>
      <c r="H246" s="108">
        <v>0</v>
      </c>
      <c r="I246" s="108">
        <f>90307-J246</f>
        <v>79662</v>
      </c>
      <c r="J246" s="108">
        <v>10645</v>
      </c>
      <c r="K246" s="108">
        <v>423212</v>
      </c>
      <c r="L246" s="108">
        <v>0</v>
      </c>
      <c r="N246" s="2">
        <f t="shared" si="207"/>
        <v>513519</v>
      </c>
      <c r="R246" s="2">
        <f t="shared" si="208"/>
        <v>590575</v>
      </c>
      <c r="T246" s="217">
        <v>46607</v>
      </c>
      <c r="U246" s="217">
        <v>60132</v>
      </c>
      <c r="V246" s="217">
        <v>1321</v>
      </c>
      <c r="W246" s="217">
        <f t="shared" si="215"/>
        <v>108060</v>
      </c>
      <c r="Y246" s="54">
        <f t="shared" si="209"/>
        <v>698635</v>
      </c>
      <c r="Z246" s="2">
        <f t="shared" si="216"/>
        <v>560126</v>
      </c>
    </row>
    <row r="247" spans="1:26" s="108" customFormat="1" ht="12.75" hidden="1" customHeight="1">
      <c r="A247" s="131" t="s">
        <v>206</v>
      </c>
      <c r="B247" s="131"/>
      <c r="C247" s="108">
        <f t="shared" si="214"/>
        <v>73637</v>
      </c>
      <c r="E247" s="108">
        <v>3361</v>
      </c>
      <c r="F247" s="108">
        <v>0</v>
      </c>
      <c r="G247" s="108">
        <f>306+3461+52506+20725</f>
        <v>76998</v>
      </c>
      <c r="H247" s="108">
        <v>0</v>
      </c>
      <c r="I247" s="108">
        <f>90030-J247</f>
        <v>79587</v>
      </c>
      <c r="J247" s="108">
        <v>10443</v>
      </c>
      <c r="K247" s="108">
        <v>422544</v>
      </c>
      <c r="L247" s="108">
        <v>0</v>
      </c>
      <c r="N247" s="2">
        <f t="shared" si="207"/>
        <v>512574</v>
      </c>
      <c r="R247" s="2">
        <f t="shared" si="208"/>
        <v>589572</v>
      </c>
      <c r="T247" s="217">
        <v>46168</v>
      </c>
      <c r="U247" s="217">
        <v>59718</v>
      </c>
      <c r="V247" s="217">
        <v>1373</v>
      </c>
      <c r="W247" s="217">
        <f t="shared" si="215"/>
        <v>107259</v>
      </c>
      <c r="Y247" s="54">
        <f t="shared" si="209"/>
        <v>696831</v>
      </c>
      <c r="Z247" s="2">
        <f t="shared" si="216"/>
        <v>558742</v>
      </c>
    </row>
    <row r="248" spans="1:26" s="108" customFormat="1" ht="12.75" hidden="1" customHeight="1">
      <c r="A248" s="131" t="s">
        <v>202</v>
      </c>
      <c r="B248" s="131"/>
      <c r="C248" s="108">
        <f t="shared" si="214"/>
        <v>73656</v>
      </c>
      <c r="E248" s="108">
        <v>3411</v>
      </c>
      <c r="F248" s="108">
        <v>0</v>
      </c>
      <c r="G248" s="108">
        <f>309+3545+52569+20644</f>
        <v>77067</v>
      </c>
      <c r="H248" s="108">
        <v>0</v>
      </c>
      <c r="I248" s="108">
        <f>90448-J248</f>
        <v>79803</v>
      </c>
      <c r="J248" s="108">
        <v>10645</v>
      </c>
      <c r="K248" s="108">
        <v>422197</v>
      </c>
      <c r="L248" s="108">
        <v>0</v>
      </c>
      <c r="N248" s="2">
        <f t="shared" si="207"/>
        <v>512645</v>
      </c>
      <c r="R248" s="2">
        <f t="shared" si="208"/>
        <v>589712</v>
      </c>
      <c r="T248" s="217">
        <v>45678</v>
      </c>
      <c r="U248" s="217">
        <v>59587</v>
      </c>
      <c r="V248" s="217">
        <v>1408</v>
      </c>
      <c r="W248" s="217">
        <f t="shared" si="215"/>
        <v>106673</v>
      </c>
      <c r="Y248" s="54">
        <f t="shared" si="209"/>
        <v>696385</v>
      </c>
      <c r="Z248" s="2">
        <f t="shared" si="216"/>
        <v>558323</v>
      </c>
    </row>
    <row r="249" spans="1:26" s="108" customFormat="1" ht="12.75" hidden="1" customHeight="1">
      <c r="A249" s="131" t="s">
        <v>203</v>
      </c>
      <c r="B249" s="131"/>
      <c r="C249" s="108">
        <f t="shared" si="214"/>
        <v>73236</v>
      </c>
      <c r="E249" s="108">
        <v>3465</v>
      </c>
      <c r="F249" s="108">
        <v>0</v>
      </c>
      <c r="G249" s="108">
        <f>313+3564+52367+20457</f>
        <v>76701</v>
      </c>
      <c r="H249" s="108">
        <v>0</v>
      </c>
      <c r="I249" s="108">
        <v>90510</v>
      </c>
      <c r="K249" s="108">
        <v>422063</v>
      </c>
      <c r="L249" s="108">
        <v>0</v>
      </c>
      <c r="N249" s="2">
        <f t="shared" si="207"/>
        <v>512573</v>
      </c>
      <c r="R249" s="2">
        <f t="shared" si="208"/>
        <v>589274</v>
      </c>
      <c r="T249" s="217">
        <v>45439</v>
      </c>
      <c r="U249" s="217">
        <v>59326</v>
      </c>
      <c r="V249" s="217">
        <v>1424</v>
      </c>
      <c r="W249" s="217">
        <f t="shared" si="215"/>
        <v>106189</v>
      </c>
      <c r="Y249" s="54">
        <f t="shared" si="209"/>
        <v>695463</v>
      </c>
      <c r="Z249" s="2">
        <f t="shared" si="216"/>
        <v>558012</v>
      </c>
    </row>
    <row r="250" spans="1:26" s="108" customFormat="1" ht="12.75" hidden="1" customHeight="1">
      <c r="A250" s="131" t="s">
        <v>204</v>
      </c>
      <c r="B250" s="131"/>
      <c r="C250" s="108">
        <f t="shared" si="214"/>
        <v>73451</v>
      </c>
      <c r="E250" s="108">
        <v>3517</v>
      </c>
      <c r="F250" s="108">
        <v>0</v>
      </c>
      <c r="G250" s="108">
        <f>319+3603+52548+20498</f>
        <v>76968</v>
      </c>
      <c r="H250" s="108">
        <v>0</v>
      </c>
      <c r="I250" s="108">
        <f>90847-J250</f>
        <v>79742</v>
      </c>
      <c r="J250" s="108">
        <v>11105</v>
      </c>
      <c r="K250" s="108">
        <v>422297</v>
      </c>
      <c r="L250" s="108">
        <v>0</v>
      </c>
      <c r="N250" s="2">
        <f t="shared" si="207"/>
        <v>513144</v>
      </c>
      <c r="R250" s="2">
        <f t="shared" si="208"/>
        <v>590112</v>
      </c>
      <c r="T250" s="217">
        <v>45355</v>
      </c>
      <c r="U250" s="217">
        <v>60101</v>
      </c>
      <c r="V250" s="217">
        <v>1470</v>
      </c>
      <c r="W250" s="217">
        <f t="shared" si="215"/>
        <v>106926</v>
      </c>
      <c r="Y250" s="54">
        <f t="shared" si="209"/>
        <v>697038</v>
      </c>
      <c r="Z250" s="2">
        <f t="shared" si="216"/>
        <v>558499</v>
      </c>
    </row>
    <row r="251" spans="1:26" s="108" customFormat="1" ht="12.75" hidden="1" customHeight="1">
      <c r="A251" s="131"/>
      <c r="B251" s="131"/>
      <c r="N251" s="2"/>
      <c r="R251" s="2"/>
      <c r="T251" s="217"/>
      <c r="U251" s="217"/>
      <c r="V251" s="217"/>
      <c r="W251" s="217"/>
      <c r="Y251" s="54"/>
      <c r="Z251" s="2"/>
    </row>
    <row r="252" spans="1:26" s="108" customFormat="1" ht="12.75" hidden="1" customHeight="1">
      <c r="A252" s="131" t="s">
        <v>222</v>
      </c>
      <c r="B252" s="131"/>
      <c r="C252" s="108">
        <f t="shared" ref="C252:C263" si="217">G252-E252</f>
        <v>73037</v>
      </c>
      <c r="E252" s="108">
        <v>3544</v>
      </c>
      <c r="F252" s="108">
        <v>0</v>
      </c>
      <c r="G252" s="108">
        <f>312+3575+52343+20351</f>
        <v>76581</v>
      </c>
      <c r="H252" s="108">
        <v>0</v>
      </c>
      <c r="I252" s="108">
        <f>91001-J252</f>
        <v>79601</v>
      </c>
      <c r="J252" s="108">
        <v>11400</v>
      </c>
      <c r="K252" s="108">
        <v>421513</v>
      </c>
      <c r="L252" s="108">
        <v>0</v>
      </c>
      <c r="N252" s="2">
        <f t="shared" si="207"/>
        <v>512514</v>
      </c>
      <c r="R252" s="2">
        <f t="shared" si="208"/>
        <v>589095</v>
      </c>
      <c r="T252" s="217">
        <v>45340</v>
      </c>
      <c r="U252" s="217">
        <v>60150</v>
      </c>
      <c r="V252" s="217">
        <v>1423</v>
      </c>
      <c r="W252" s="217">
        <f t="shared" ref="W252:W263" si="218">SUM(T252:V252)</f>
        <v>106913</v>
      </c>
      <c r="Y252" s="54">
        <f t="shared" si="209"/>
        <v>696008</v>
      </c>
      <c r="Z252" s="2">
        <f t="shared" ref="Z252:Z263" si="219">N252+T252</f>
        <v>557854</v>
      </c>
    </row>
    <row r="253" spans="1:26" s="108" customFormat="1" ht="12.75" hidden="1" customHeight="1">
      <c r="A253" s="124" t="s">
        <v>223</v>
      </c>
      <c r="B253" s="131"/>
      <c r="C253" s="108">
        <f t="shared" si="217"/>
        <v>73304</v>
      </c>
      <c r="E253" s="108">
        <v>3583</v>
      </c>
      <c r="F253" s="108">
        <v>0</v>
      </c>
      <c r="G253" s="108">
        <f>313+3566+52667+20341</f>
        <v>76887</v>
      </c>
      <c r="H253" s="108">
        <v>0</v>
      </c>
      <c r="I253" s="108">
        <f>90676-J253</f>
        <v>79241</v>
      </c>
      <c r="J253" s="108">
        <v>11435</v>
      </c>
      <c r="K253" s="108">
        <v>419008</v>
      </c>
      <c r="L253" s="108">
        <v>0</v>
      </c>
      <c r="N253" s="2">
        <f t="shared" si="207"/>
        <v>509684</v>
      </c>
      <c r="R253" s="2">
        <f t="shared" si="208"/>
        <v>586571</v>
      </c>
      <c r="T253" s="217">
        <v>45055</v>
      </c>
      <c r="U253" s="217">
        <v>59454</v>
      </c>
      <c r="V253" s="217">
        <v>1413</v>
      </c>
      <c r="W253" s="217">
        <f t="shared" si="218"/>
        <v>105922</v>
      </c>
      <c r="Y253" s="54">
        <f t="shared" si="209"/>
        <v>692493</v>
      </c>
      <c r="Z253" s="2">
        <f t="shared" si="219"/>
        <v>554739</v>
      </c>
    </row>
    <row r="254" spans="1:26" s="108" customFormat="1" ht="12.75" hidden="1" customHeight="1">
      <c r="A254" s="131" t="s">
        <v>224</v>
      </c>
      <c r="B254" s="131"/>
      <c r="C254" s="108">
        <f t="shared" si="217"/>
        <v>73332</v>
      </c>
      <c r="E254" s="108">
        <v>3625</v>
      </c>
      <c r="F254" s="108">
        <v>0</v>
      </c>
      <c r="G254" s="108">
        <f>314+3525+52809+20309</f>
        <v>76957</v>
      </c>
      <c r="H254" s="108">
        <v>0</v>
      </c>
      <c r="I254" s="108">
        <f>90475-J254</f>
        <v>78927</v>
      </c>
      <c r="J254" s="108">
        <v>11548</v>
      </c>
      <c r="K254" s="108">
        <v>417710</v>
      </c>
      <c r="L254" s="108">
        <v>0</v>
      </c>
      <c r="N254" s="2">
        <f t="shared" si="207"/>
        <v>508185</v>
      </c>
      <c r="R254" s="2">
        <f t="shared" si="208"/>
        <v>585142</v>
      </c>
      <c r="T254" s="217">
        <v>44861</v>
      </c>
      <c r="U254" s="217">
        <v>59296</v>
      </c>
      <c r="V254" s="217">
        <v>1384</v>
      </c>
      <c r="W254" s="217">
        <f t="shared" si="218"/>
        <v>105541</v>
      </c>
      <c r="Y254" s="54">
        <f t="shared" si="209"/>
        <v>690683</v>
      </c>
      <c r="Z254" s="2">
        <f t="shared" si="219"/>
        <v>553046</v>
      </c>
    </row>
    <row r="255" spans="1:26" s="108" customFormat="1" ht="12.75" hidden="1" customHeight="1">
      <c r="A255" s="124" t="s">
        <v>225</v>
      </c>
      <c r="B255" s="131"/>
      <c r="C255" s="108">
        <f t="shared" si="217"/>
        <v>73501</v>
      </c>
      <c r="E255" s="108">
        <v>3683</v>
      </c>
      <c r="F255" s="108">
        <v>0</v>
      </c>
      <c r="G255" s="108">
        <f>325+3591+52922+20346</f>
        <v>77184</v>
      </c>
      <c r="H255" s="108">
        <v>0</v>
      </c>
      <c r="I255" s="108">
        <f>90574-J255</f>
        <v>79180</v>
      </c>
      <c r="J255" s="108">
        <v>11394</v>
      </c>
      <c r="K255" s="108">
        <v>416880</v>
      </c>
      <c r="L255" s="108">
        <v>0</v>
      </c>
      <c r="N255" s="2">
        <f t="shared" si="207"/>
        <v>507454</v>
      </c>
      <c r="R255" s="2">
        <f t="shared" si="208"/>
        <v>584638</v>
      </c>
      <c r="T255" s="217">
        <v>45009</v>
      </c>
      <c r="U255" s="217">
        <v>59410</v>
      </c>
      <c r="V255" s="217">
        <v>1400</v>
      </c>
      <c r="W255" s="217">
        <f t="shared" si="218"/>
        <v>105819</v>
      </c>
      <c r="Y255" s="54">
        <f t="shared" si="209"/>
        <v>690457</v>
      </c>
      <c r="Z255" s="2">
        <f t="shared" si="219"/>
        <v>552463</v>
      </c>
    </row>
    <row r="256" spans="1:26" s="108" customFormat="1" ht="12.75" hidden="1" customHeight="1">
      <c r="A256" s="124" t="s">
        <v>227</v>
      </c>
      <c r="B256" s="131"/>
      <c r="C256" s="108">
        <f t="shared" si="217"/>
        <v>73748</v>
      </c>
      <c r="E256" s="108">
        <v>3585</v>
      </c>
      <c r="F256" s="108">
        <v>0</v>
      </c>
      <c r="G256" s="108">
        <f>(331+3578+53052+20372)</f>
        <v>77333</v>
      </c>
      <c r="H256" s="108">
        <v>0</v>
      </c>
      <c r="I256" s="108">
        <f>91058-J256</f>
        <v>79756</v>
      </c>
      <c r="J256" s="108">
        <v>11302</v>
      </c>
      <c r="K256" s="108">
        <v>422871</v>
      </c>
      <c r="L256" s="108">
        <v>0</v>
      </c>
      <c r="N256" s="2">
        <f t="shared" si="207"/>
        <v>513929</v>
      </c>
      <c r="R256" s="2">
        <f t="shared" si="208"/>
        <v>591262</v>
      </c>
      <c r="T256" s="217">
        <v>45819</v>
      </c>
      <c r="U256" s="217">
        <v>59547</v>
      </c>
      <c r="V256" s="217">
        <v>1364</v>
      </c>
      <c r="W256" s="217">
        <f t="shared" si="218"/>
        <v>106730</v>
      </c>
      <c r="Y256" s="54">
        <f t="shared" si="209"/>
        <v>697992</v>
      </c>
      <c r="Z256" s="2">
        <f t="shared" si="219"/>
        <v>559748</v>
      </c>
    </row>
    <row r="257" spans="1:26" s="108" customFormat="1" ht="12.75" hidden="1" customHeight="1">
      <c r="A257" s="140" t="s">
        <v>232</v>
      </c>
      <c r="B257" s="131"/>
      <c r="C257" s="108">
        <f t="shared" si="217"/>
        <v>74185</v>
      </c>
      <c r="E257" s="108">
        <v>3694</v>
      </c>
      <c r="F257" s="108">
        <v>0</v>
      </c>
      <c r="G257" s="108">
        <f>(330+3626+53447+20476)</f>
        <v>77879</v>
      </c>
      <c r="H257" s="108">
        <v>0</v>
      </c>
      <c r="I257" s="108">
        <f>91503-J257</f>
        <v>80351</v>
      </c>
      <c r="J257" s="108">
        <v>11152</v>
      </c>
      <c r="K257" s="108">
        <v>424705</v>
      </c>
      <c r="L257" s="108">
        <v>0</v>
      </c>
      <c r="N257" s="2">
        <f t="shared" si="207"/>
        <v>516208</v>
      </c>
      <c r="R257" s="2">
        <f t="shared" si="208"/>
        <v>594087</v>
      </c>
      <c r="T257" s="217">
        <v>46448</v>
      </c>
      <c r="U257" s="217">
        <v>59506</v>
      </c>
      <c r="V257" s="217">
        <v>1317</v>
      </c>
      <c r="W257" s="217">
        <f t="shared" si="218"/>
        <v>107271</v>
      </c>
      <c r="Y257" s="54">
        <f t="shared" si="209"/>
        <v>701358</v>
      </c>
      <c r="Z257" s="2">
        <f t="shared" si="219"/>
        <v>562656</v>
      </c>
    </row>
    <row r="258" spans="1:26" s="108" customFormat="1" ht="12.75" hidden="1" customHeight="1">
      <c r="A258" s="124" t="s">
        <v>233</v>
      </c>
      <c r="B258" s="131"/>
      <c r="C258" s="108">
        <f t="shared" si="217"/>
        <v>74475</v>
      </c>
      <c r="E258" s="108">
        <v>3767</v>
      </c>
      <c r="F258" s="108">
        <v>0</v>
      </c>
      <c r="G258" s="108">
        <f>334+3763+53645+20500</f>
        <v>78242</v>
      </c>
      <c r="H258" s="108">
        <v>0</v>
      </c>
      <c r="I258" s="108">
        <f>90219-J258</f>
        <v>79502</v>
      </c>
      <c r="J258" s="108">
        <v>10717</v>
      </c>
      <c r="K258" s="108">
        <v>422386</v>
      </c>
      <c r="L258" s="108">
        <v>0</v>
      </c>
      <c r="N258" s="2">
        <f t="shared" si="207"/>
        <v>512605</v>
      </c>
      <c r="R258" s="2">
        <f t="shared" si="208"/>
        <v>590847</v>
      </c>
      <c r="T258" s="217">
        <v>46777</v>
      </c>
      <c r="U258" s="217">
        <v>61170</v>
      </c>
      <c r="V258" s="217">
        <v>1264</v>
      </c>
      <c r="W258" s="217">
        <f t="shared" si="218"/>
        <v>109211</v>
      </c>
      <c r="Y258" s="54">
        <f t="shared" si="209"/>
        <v>700058</v>
      </c>
      <c r="Z258" s="2">
        <f t="shared" si="219"/>
        <v>559382</v>
      </c>
    </row>
    <row r="259" spans="1:26" s="108" customFormat="1" ht="12.75" hidden="1" customHeight="1">
      <c r="A259" s="124" t="s">
        <v>243</v>
      </c>
      <c r="B259" s="131"/>
      <c r="C259" s="108">
        <f t="shared" si="217"/>
        <v>74228</v>
      </c>
      <c r="E259" s="108">
        <v>3829</v>
      </c>
      <c r="F259" s="108">
        <v>0</v>
      </c>
      <c r="G259" s="108">
        <f>335+3712+53599+20411</f>
        <v>78057</v>
      </c>
      <c r="H259" s="108">
        <v>0</v>
      </c>
      <c r="I259" s="108">
        <f>89580-J259</f>
        <v>79053</v>
      </c>
      <c r="J259" s="108">
        <v>10527</v>
      </c>
      <c r="K259" s="108">
        <v>421469</v>
      </c>
      <c r="L259" s="108">
        <v>0</v>
      </c>
      <c r="N259" s="2">
        <f t="shared" si="207"/>
        <v>511049</v>
      </c>
      <c r="R259" s="2">
        <f t="shared" si="208"/>
        <v>589106</v>
      </c>
      <c r="T259" s="217">
        <v>46819</v>
      </c>
      <c r="U259" s="217">
        <v>61247</v>
      </c>
      <c r="V259" s="217">
        <v>1175</v>
      </c>
      <c r="W259" s="217">
        <f t="shared" si="218"/>
        <v>109241</v>
      </c>
      <c r="Y259" s="54">
        <f t="shared" si="209"/>
        <v>698347</v>
      </c>
      <c r="Z259" s="2">
        <f t="shared" si="219"/>
        <v>557868</v>
      </c>
    </row>
    <row r="260" spans="1:26" s="108" customFormat="1" ht="12.75" hidden="1" customHeight="1">
      <c r="A260" s="124" t="s">
        <v>244</v>
      </c>
      <c r="B260" s="131"/>
      <c r="C260" s="108">
        <f t="shared" si="217"/>
        <v>74148</v>
      </c>
      <c r="E260" s="108">
        <v>3869</v>
      </c>
      <c r="F260" s="108">
        <v>0</v>
      </c>
      <c r="G260" s="108">
        <f>345+3708+53662+20302</f>
        <v>78017</v>
      </c>
      <c r="H260" s="108">
        <v>0</v>
      </c>
      <c r="I260" s="108">
        <f>89385-J260</f>
        <v>79025</v>
      </c>
      <c r="J260" s="108">
        <v>10360</v>
      </c>
      <c r="K260" s="108">
        <v>422084</v>
      </c>
      <c r="L260" s="108">
        <v>0</v>
      </c>
      <c r="N260" s="2">
        <f t="shared" si="207"/>
        <v>511469</v>
      </c>
      <c r="R260" s="2">
        <f t="shared" si="208"/>
        <v>589486</v>
      </c>
      <c r="T260" s="217">
        <v>46675</v>
      </c>
      <c r="U260" s="217">
        <v>58910</v>
      </c>
      <c r="V260" s="217">
        <v>978</v>
      </c>
      <c r="W260" s="217">
        <f t="shared" si="218"/>
        <v>106563</v>
      </c>
      <c r="Y260" s="54">
        <f t="shared" si="209"/>
        <v>696049</v>
      </c>
      <c r="Z260" s="2">
        <f t="shared" si="219"/>
        <v>558144</v>
      </c>
    </row>
    <row r="261" spans="1:26" s="108" customFormat="1" ht="12.75" hidden="1" customHeight="1">
      <c r="A261" s="124" t="s">
        <v>245</v>
      </c>
      <c r="B261" s="131"/>
      <c r="C261" s="108">
        <f t="shared" si="217"/>
        <v>73491</v>
      </c>
      <c r="E261" s="108">
        <v>3919</v>
      </c>
      <c r="F261" s="108">
        <v>0</v>
      </c>
      <c r="G261" s="108">
        <f>336+3691+53341+20042</f>
        <v>77410</v>
      </c>
      <c r="H261" s="108">
        <v>0</v>
      </c>
      <c r="I261" s="108">
        <f>89264-J261</f>
        <v>78779</v>
      </c>
      <c r="J261" s="108">
        <v>10485</v>
      </c>
      <c r="K261" s="108">
        <v>419897</v>
      </c>
      <c r="L261" s="108">
        <v>0</v>
      </c>
      <c r="N261" s="2">
        <f t="shared" si="207"/>
        <v>509161</v>
      </c>
      <c r="R261" s="2">
        <f t="shared" si="208"/>
        <v>586571</v>
      </c>
      <c r="T261" s="217">
        <v>46364</v>
      </c>
      <c r="U261" s="217">
        <v>57749</v>
      </c>
      <c r="V261" s="217">
        <v>781</v>
      </c>
      <c r="W261" s="217">
        <f t="shared" si="218"/>
        <v>104894</v>
      </c>
      <c r="Y261" s="54">
        <f t="shared" si="209"/>
        <v>691465</v>
      </c>
      <c r="Z261" s="2">
        <f t="shared" si="219"/>
        <v>555525</v>
      </c>
    </row>
    <row r="262" spans="1:26" s="108" customFormat="1" ht="12.75" hidden="1" customHeight="1">
      <c r="A262" s="124" t="s">
        <v>349</v>
      </c>
      <c r="B262" s="131"/>
      <c r="C262" s="108">
        <f t="shared" si="217"/>
        <v>73322</v>
      </c>
      <c r="E262" s="108">
        <v>4008</v>
      </c>
      <c r="F262" s="108">
        <v>0</v>
      </c>
      <c r="G262" s="108">
        <f>350+3745+53268+19967</f>
        <v>77330</v>
      </c>
      <c r="H262" s="108">
        <v>0</v>
      </c>
      <c r="I262" s="108">
        <f>90164-J262</f>
        <v>79298</v>
      </c>
      <c r="J262" s="108">
        <v>10866</v>
      </c>
      <c r="K262" s="108">
        <v>424396</v>
      </c>
      <c r="L262" s="108">
        <v>0</v>
      </c>
      <c r="N262" s="2">
        <f t="shared" si="207"/>
        <v>514560</v>
      </c>
      <c r="R262" s="2">
        <f t="shared" si="208"/>
        <v>591890</v>
      </c>
      <c r="T262" s="217">
        <v>46263</v>
      </c>
      <c r="U262" s="217">
        <v>60512</v>
      </c>
      <c r="V262" s="217">
        <v>613</v>
      </c>
      <c r="W262" s="217">
        <f t="shared" si="218"/>
        <v>107388</v>
      </c>
      <c r="Y262" s="54">
        <f t="shared" si="209"/>
        <v>699278</v>
      </c>
      <c r="Z262" s="2">
        <f t="shared" si="219"/>
        <v>560823</v>
      </c>
    </row>
    <row r="263" spans="1:26" s="108" customFormat="1" ht="12.75" hidden="1" customHeight="1">
      <c r="A263" s="124" t="s">
        <v>350</v>
      </c>
      <c r="B263" s="131"/>
      <c r="C263" s="108">
        <f t="shared" si="217"/>
        <v>73087</v>
      </c>
      <c r="E263" s="108">
        <v>4502</v>
      </c>
      <c r="F263" s="108">
        <v>0</v>
      </c>
      <c r="G263" s="108">
        <f>357+3864+53515+19853</f>
        <v>77589</v>
      </c>
      <c r="H263" s="108">
        <v>0</v>
      </c>
      <c r="I263" s="108">
        <f>91990-J263</f>
        <v>80463</v>
      </c>
      <c r="J263" s="108">
        <v>11527</v>
      </c>
      <c r="K263" s="108">
        <v>428766</v>
      </c>
      <c r="L263" s="108">
        <v>0</v>
      </c>
      <c r="N263" s="2">
        <f t="shared" si="207"/>
        <v>520756</v>
      </c>
      <c r="R263" s="2">
        <f t="shared" si="208"/>
        <v>598345</v>
      </c>
      <c r="T263" s="217">
        <v>46672</v>
      </c>
      <c r="U263" s="217">
        <v>61590</v>
      </c>
      <c r="V263" s="217">
        <v>433</v>
      </c>
      <c r="W263" s="217">
        <f t="shared" si="218"/>
        <v>108695</v>
      </c>
      <c r="Y263" s="54">
        <f t="shared" si="209"/>
        <v>707040</v>
      </c>
      <c r="Z263" s="2">
        <f t="shared" si="219"/>
        <v>567428</v>
      </c>
    </row>
    <row r="264" spans="1:26" s="108" customFormat="1" ht="12.75" hidden="1" customHeight="1">
      <c r="A264" s="124"/>
      <c r="B264" s="131"/>
      <c r="N264" s="2"/>
      <c r="R264" s="2"/>
      <c r="T264" s="217"/>
      <c r="U264" s="217"/>
      <c r="V264" s="217"/>
      <c r="W264" s="217"/>
      <c r="Y264" s="54"/>
      <c r="Z264" s="2"/>
    </row>
    <row r="265" spans="1:26" s="108" customFormat="1" ht="12.75" hidden="1" customHeight="1">
      <c r="A265" s="124" t="s">
        <v>352</v>
      </c>
      <c r="B265" s="131"/>
      <c r="C265" s="108">
        <f t="shared" ref="C265:C276" si="220">G265-E265</f>
        <v>72769</v>
      </c>
      <c r="E265" s="108">
        <v>4569</v>
      </c>
      <c r="F265" s="108">
        <v>0</v>
      </c>
      <c r="G265" s="108">
        <f>384+4046+53327+19581</f>
        <v>77338</v>
      </c>
      <c r="H265" s="108">
        <v>0</v>
      </c>
      <c r="I265" s="174">
        <f>92572-J265</f>
        <v>80825</v>
      </c>
      <c r="J265" s="108">
        <v>11747</v>
      </c>
      <c r="K265" s="108">
        <v>428269</v>
      </c>
      <c r="L265" s="174">
        <v>0</v>
      </c>
      <c r="M265" s="174"/>
      <c r="N265" s="2">
        <f t="shared" si="207"/>
        <v>520841</v>
      </c>
      <c r="R265" s="2">
        <f t="shared" si="208"/>
        <v>598179</v>
      </c>
      <c r="T265" s="217">
        <v>46541</v>
      </c>
      <c r="U265" s="217">
        <v>61800</v>
      </c>
      <c r="V265" s="217">
        <v>271</v>
      </c>
      <c r="W265" s="217">
        <f t="shared" ref="W265:W276" si="221">SUM(T265:V265)</f>
        <v>108612</v>
      </c>
      <c r="Y265" s="54">
        <f t="shared" si="209"/>
        <v>706791</v>
      </c>
      <c r="Z265" s="2">
        <f t="shared" ref="Z265:Z276" si="222">N265+T265</f>
        <v>567382</v>
      </c>
    </row>
    <row r="266" spans="1:26" s="108" customFormat="1" ht="12.75" hidden="1" customHeight="1">
      <c r="A266" s="124" t="s">
        <v>354</v>
      </c>
      <c r="B266" s="131"/>
      <c r="C266" s="108">
        <f t="shared" si="220"/>
        <v>72869</v>
      </c>
      <c r="E266" s="108">
        <v>4619</v>
      </c>
      <c r="F266" s="108">
        <v>0</v>
      </c>
      <c r="G266" s="108">
        <f>399+4107+53507+19475</f>
        <v>77488</v>
      </c>
      <c r="H266" s="108">
        <v>0</v>
      </c>
      <c r="I266" s="174">
        <f>93211-J266</f>
        <v>81154</v>
      </c>
      <c r="J266" s="108">
        <v>12057</v>
      </c>
      <c r="K266" s="108">
        <v>427519</v>
      </c>
      <c r="L266" s="174">
        <v>0</v>
      </c>
      <c r="M266" s="174"/>
      <c r="N266" s="2">
        <f t="shared" si="207"/>
        <v>520730</v>
      </c>
      <c r="R266" s="2">
        <f t="shared" si="208"/>
        <v>598218</v>
      </c>
      <c r="T266" s="217">
        <v>46045</v>
      </c>
      <c r="U266" s="217">
        <v>61694</v>
      </c>
      <c r="V266" s="217">
        <v>156</v>
      </c>
      <c r="W266" s="217">
        <f t="shared" si="221"/>
        <v>107895</v>
      </c>
      <c r="Y266" s="54">
        <f t="shared" si="209"/>
        <v>706113</v>
      </c>
      <c r="Z266" s="2">
        <f t="shared" si="222"/>
        <v>566775</v>
      </c>
    </row>
    <row r="267" spans="1:26" s="108" customFormat="1" ht="12.75" hidden="1" customHeight="1">
      <c r="A267" s="124" t="s">
        <v>355</v>
      </c>
      <c r="B267" s="131"/>
      <c r="C267" s="108">
        <f t="shared" si="220"/>
        <v>74273</v>
      </c>
      <c r="E267" s="108">
        <v>4680</v>
      </c>
      <c r="F267" s="108">
        <v>0</v>
      </c>
      <c r="G267" s="108">
        <f>474+4557+54371+19551</f>
        <v>78953</v>
      </c>
      <c r="H267" s="108">
        <v>0</v>
      </c>
      <c r="I267" s="174">
        <f>99331-J267</f>
        <v>85030</v>
      </c>
      <c r="J267" s="108">
        <v>14301</v>
      </c>
      <c r="K267" s="108">
        <v>435340</v>
      </c>
      <c r="L267" s="174">
        <v>0</v>
      </c>
      <c r="M267" s="174"/>
      <c r="N267" s="2">
        <f t="shared" si="207"/>
        <v>534671</v>
      </c>
      <c r="R267" s="2">
        <f t="shared" si="208"/>
        <v>613624</v>
      </c>
      <c r="T267" s="217">
        <v>45761</v>
      </c>
      <c r="U267" s="217">
        <v>61289</v>
      </c>
      <c r="V267" s="217">
        <v>77</v>
      </c>
      <c r="W267" s="217">
        <f t="shared" si="221"/>
        <v>107127</v>
      </c>
      <c r="Y267" s="54">
        <f t="shared" si="209"/>
        <v>720751</v>
      </c>
      <c r="Z267" s="2">
        <f t="shared" si="222"/>
        <v>580432</v>
      </c>
    </row>
    <row r="268" spans="1:26" s="108" customFormat="1" ht="12.75" hidden="1" customHeight="1">
      <c r="A268" s="124" t="s">
        <v>356</v>
      </c>
      <c r="B268" s="131"/>
      <c r="C268" s="108">
        <f t="shared" si="220"/>
        <v>74525</v>
      </c>
      <c r="E268" s="108">
        <v>4818</v>
      </c>
      <c r="F268" s="108">
        <v>0</v>
      </c>
      <c r="G268" s="108">
        <f>487+4613+54724+19519</f>
        <v>79343</v>
      </c>
      <c r="H268" s="108">
        <v>0</v>
      </c>
      <c r="I268" s="174">
        <f>100410-J268</f>
        <v>86230</v>
      </c>
      <c r="J268" s="108">
        <v>14180</v>
      </c>
      <c r="K268" s="108">
        <v>439202</v>
      </c>
      <c r="L268" s="174">
        <v>0</v>
      </c>
      <c r="M268" s="174"/>
      <c r="N268" s="2">
        <f t="shared" si="207"/>
        <v>539612</v>
      </c>
      <c r="R268" s="2">
        <f t="shared" si="208"/>
        <v>618955</v>
      </c>
      <c r="T268" s="217">
        <v>45648</v>
      </c>
      <c r="U268" s="217">
        <v>60882</v>
      </c>
      <c r="V268" s="217">
        <v>22</v>
      </c>
      <c r="W268" s="217">
        <f t="shared" si="221"/>
        <v>106552</v>
      </c>
      <c r="Y268" s="54">
        <f t="shared" si="209"/>
        <v>725507</v>
      </c>
      <c r="Z268" s="2">
        <f t="shared" si="222"/>
        <v>585260</v>
      </c>
    </row>
    <row r="269" spans="1:26" s="108" customFormat="1" ht="12.75" hidden="1" customHeight="1">
      <c r="A269" s="124" t="s">
        <v>357</v>
      </c>
      <c r="B269" s="131"/>
      <c r="C269" s="108">
        <f t="shared" si="220"/>
        <v>74517</v>
      </c>
      <c r="E269" s="108">
        <v>4887</v>
      </c>
      <c r="F269" s="108">
        <v>0</v>
      </c>
      <c r="G269" s="108">
        <f>522+4632+54776+19474</f>
        <v>79404</v>
      </c>
      <c r="H269" s="108">
        <v>0</v>
      </c>
      <c r="I269" s="174">
        <f>101097-J269</f>
        <v>87147</v>
      </c>
      <c r="J269" s="108">
        <v>13950</v>
      </c>
      <c r="K269" s="108">
        <v>442955</v>
      </c>
      <c r="L269" s="174">
        <v>0</v>
      </c>
      <c r="M269" s="174"/>
      <c r="N269" s="2">
        <f t="shared" si="207"/>
        <v>544052</v>
      </c>
      <c r="R269" s="2">
        <f t="shared" si="208"/>
        <v>623456</v>
      </c>
      <c r="T269" s="217">
        <v>45058</v>
      </c>
      <c r="U269" s="217">
        <v>60263</v>
      </c>
      <c r="V269" s="217">
        <v>7</v>
      </c>
      <c r="W269" s="217">
        <f t="shared" si="221"/>
        <v>105328</v>
      </c>
      <c r="Y269" s="54">
        <f t="shared" si="209"/>
        <v>728784</v>
      </c>
      <c r="Z269" s="2">
        <f t="shared" si="222"/>
        <v>589110</v>
      </c>
    </row>
    <row r="270" spans="1:26" s="108" customFormat="1" ht="12.75" hidden="1" customHeight="1">
      <c r="A270" s="124" t="s">
        <v>358</v>
      </c>
      <c r="B270" s="131"/>
      <c r="C270" s="108">
        <f t="shared" si="220"/>
        <v>74692</v>
      </c>
      <c r="E270" s="108">
        <v>7629</v>
      </c>
      <c r="F270" s="108">
        <v>0</v>
      </c>
      <c r="G270" s="108">
        <f>536+5653+56227+19905</f>
        <v>82321</v>
      </c>
      <c r="H270" s="108">
        <v>0</v>
      </c>
      <c r="I270" s="174">
        <f>102098-J270</f>
        <v>88272</v>
      </c>
      <c r="J270" s="108">
        <v>13826</v>
      </c>
      <c r="K270" s="108">
        <v>445104</v>
      </c>
      <c r="L270" s="174">
        <v>0</v>
      </c>
      <c r="M270" s="174"/>
      <c r="N270" s="2">
        <f t="shared" si="207"/>
        <v>547202</v>
      </c>
      <c r="R270" s="2">
        <f t="shared" si="208"/>
        <v>629523</v>
      </c>
      <c r="T270" s="217">
        <v>44497</v>
      </c>
      <c r="U270" s="217">
        <v>59743</v>
      </c>
      <c r="V270" s="217">
        <v>3</v>
      </c>
      <c r="W270" s="217">
        <f t="shared" si="221"/>
        <v>104243</v>
      </c>
      <c r="Y270" s="54">
        <f t="shared" si="209"/>
        <v>733766</v>
      </c>
      <c r="Z270" s="2">
        <f t="shared" si="222"/>
        <v>591699</v>
      </c>
    </row>
    <row r="271" spans="1:26" s="108" customFormat="1" ht="12.75" hidden="1" customHeight="1">
      <c r="A271" s="124" t="s">
        <v>359</v>
      </c>
      <c r="B271" s="131"/>
      <c r="C271" s="108">
        <f t="shared" si="220"/>
        <v>74678</v>
      </c>
      <c r="E271" s="108">
        <v>7682</v>
      </c>
      <c r="F271" s="108">
        <v>0</v>
      </c>
      <c r="G271" s="108">
        <f>548+5667+56285+19860</f>
        <v>82360</v>
      </c>
      <c r="H271" s="108">
        <v>0</v>
      </c>
      <c r="I271" s="174">
        <f>102113-J271</f>
        <v>88403</v>
      </c>
      <c r="J271" s="108">
        <v>13710</v>
      </c>
      <c r="K271" s="108">
        <v>444623</v>
      </c>
      <c r="L271" s="174">
        <v>0</v>
      </c>
      <c r="M271" s="174"/>
      <c r="N271" s="2">
        <f t="shared" si="207"/>
        <v>546736</v>
      </c>
      <c r="R271" s="2">
        <f t="shared" si="208"/>
        <v>629096</v>
      </c>
      <c r="T271" s="217">
        <v>43841</v>
      </c>
      <c r="U271" s="217">
        <v>59410</v>
      </c>
      <c r="V271" s="217">
        <v>113</v>
      </c>
      <c r="W271" s="217">
        <f t="shared" si="221"/>
        <v>103364</v>
      </c>
      <c r="Y271" s="54">
        <f t="shared" si="209"/>
        <v>732460</v>
      </c>
      <c r="Z271" s="2">
        <f t="shared" si="222"/>
        <v>590577</v>
      </c>
    </row>
    <row r="272" spans="1:26" s="108" customFormat="1" ht="12.75" hidden="1" customHeight="1">
      <c r="A272" s="124" t="s">
        <v>362</v>
      </c>
      <c r="B272" s="131"/>
      <c r="C272" s="108">
        <f t="shared" si="220"/>
        <v>74708</v>
      </c>
      <c r="E272" s="108">
        <v>7703</v>
      </c>
      <c r="F272" s="108">
        <v>0</v>
      </c>
      <c r="G272" s="108">
        <f>561+5689+56381+19780</f>
        <v>82411</v>
      </c>
      <c r="H272" s="108">
        <v>0</v>
      </c>
      <c r="I272" s="108">
        <f>102272-J272</f>
        <v>88612</v>
      </c>
      <c r="J272" s="108">
        <v>13660</v>
      </c>
      <c r="K272" s="108">
        <v>446159</v>
      </c>
      <c r="L272" s="174">
        <v>0</v>
      </c>
      <c r="M272" s="174"/>
      <c r="N272" s="2">
        <f t="shared" si="207"/>
        <v>548431</v>
      </c>
      <c r="R272" s="2">
        <f t="shared" si="208"/>
        <v>630842</v>
      </c>
      <c r="T272" s="217">
        <v>43819</v>
      </c>
      <c r="U272" s="217">
        <v>59046</v>
      </c>
      <c r="V272" s="217">
        <v>223</v>
      </c>
      <c r="W272" s="217">
        <f t="shared" si="221"/>
        <v>103088</v>
      </c>
      <c r="Y272" s="54">
        <f t="shared" si="209"/>
        <v>733930</v>
      </c>
      <c r="Z272" s="2">
        <f t="shared" si="222"/>
        <v>592250</v>
      </c>
    </row>
    <row r="273" spans="1:26" s="108" customFormat="1" ht="12.75" hidden="1" customHeight="1">
      <c r="A273" s="124" t="s">
        <v>363</v>
      </c>
      <c r="B273" s="131"/>
      <c r="C273" s="108">
        <f t="shared" si="220"/>
        <v>75041</v>
      </c>
      <c r="E273" s="108">
        <v>7833</v>
      </c>
      <c r="F273" s="108">
        <v>0</v>
      </c>
      <c r="G273" s="108">
        <f>590+5736+56750+19798</f>
        <v>82874</v>
      </c>
      <c r="H273" s="108">
        <v>0</v>
      </c>
      <c r="I273" s="108">
        <f>103796-J273</f>
        <v>89893</v>
      </c>
      <c r="J273" s="108">
        <v>13903</v>
      </c>
      <c r="K273" s="108">
        <v>450610</v>
      </c>
      <c r="L273" s="174">
        <v>0</v>
      </c>
      <c r="M273" s="174"/>
      <c r="N273" s="2">
        <f t="shared" si="207"/>
        <v>554406</v>
      </c>
      <c r="R273" s="2">
        <f t="shared" si="208"/>
        <v>637280</v>
      </c>
      <c r="T273" s="217">
        <v>44176</v>
      </c>
      <c r="U273" s="217">
        <v>58239</v>
      </c>
      <c r="V273" s="217">
        <v>368</v>
      </c>
      <c r="W273" s="217">
        <f t="shared" si="221"/>
        <v>102783</v>
      </c>
      <c r="Y273" s="54">
        <f t="shared" si="209"/>
        <v>740063</v>
      </c>
      <c r="Z273" s="2">
        <f t="shared" si="222"/>
        <v>598582</v>
      </c>
    </row>
    <row r="274" spans="1:26" s="108" customFormat="1" ht="12.75" hidden="1" customHeight="1">
      <c r="A274" s="124" t="s">
        <v>364</v>
      </c>
      <c r="B274" s="131"/>
      <c r="C274" s="108">
        <f t="shared" si="220"/>
        <v>75102</v>
      </c>
      <c r="E274" s="108">
        <v>7907</v>
      </c>
      <c r="F274" s="108">
        <v>0</v>
      </c>
      <c r="G274" s="108">
        <f>623+5764+56902+19720</f>
        <v>83009</v>
      </c>
      <c r="H274" s="108">
        <v>0</v>
      </c>
      <c r="I274" s="108">
        <f>105302-J274</f>
        <v>91379</v>
      </c>
      <c r="J274" s="108">
        <v>13923</v>
      </c>
      <c r="K274" s="108">
        <v>454778</v>
      </c>
      <c r="L274" s="108">
        <v>0</v>
      </c>
      <c r="N274" s="2">
        <f t="shared" ref="N274:N333" si="223">SUM(H274:M274)</f>
        <v>560080</v>
      </c>
      <c r="R274" s="2">
        <f t="shared" ref="R274:R324" si="224">G274+N274+Q274</f>
        <v>643089</v>
      </c>
      <c r="T274" s="217">
        <v>44608</v>
      </c>
      <c r="U274" s="217">
        <v>56976</v>
      </c>
      <c r="V274" s="217">
        <v>515</v>
      </c>
      <c r="W274" s="217">
        <f t="shared" si="221"/>
        <v>102099</v>
      </c>
      <c r="Y274" s="54">
        <f t="shared" ref="Y274:Y323" si="225">W274+R274</f>
        <v>745188</v>
      </c>
      <c r="Z274" s="2">
        <f t="shared" si="222"/>
        <v>604688</v>
      </c>
    </row>
    <row r="275" spans="1:26" s="108" customFormat="1" ht="12.75" hidden="1" customHeight="1">
      <c r="A275" s="124" t="s">
        <v>367</v>
      </c>
      <c r="B275" s="131"/>
      <c r="C275" s="108">
        <f t="shared" si="220"/>
        <v>75120</v>
      </c>
      <c r="E275" s="108">
        <v>8010</v>
      </c>
      <c r="F275" s="108">
        <v>0</v>
      </c>
      <c r="G275" s="108">
        <f>634+5789+57047+19660</f>
        <v>83130</v>
      </c>
      <c r="H275" s="108">
        <v>0</v>
      </c>
      <c r="I275" s="108">
        <f>106270-J275</f>
        <v>91993</v>
      </c>
      <c r="J275" s="108">
        <v>14277</v>
      </c>
      <c r="K275" s="108">
        <v>458287</v>
      </c>
      <c r="L275" s="108">
        <v>0</v>
      </c>
      <c r="N275" s="2">
        <f t="shared" si="223"/>
        <v>564557</v>
      </c>
      <c r="R275" s="2">
        <f t="shared" si="224"/>
        <v>647687</v>
      </c>
      <c r="T275" s="217">
        <v>45205</v>
      </c>
      <c r="U275" s="217">
        <v>54631</v>
      </c>
      <c r="V275" s="217">
        <v>638</v>
      </c>
      <c r="W275" s="217">
        <f t="shared" si="221"/>
        <v>100474</v>
      </c>
      <c r="Y275" s="54">
        <f t="shared" si="225"/>
        <v>748161</v>
      </c>
      <c r="Z275" s="2">
        <f t="shared" si="222"/>
        <v>609762</v>
      </c>
    </row>
    <row r="276" spans="1:26" s="108" customFormat="1" ht="12.75" hidden="1" customHeight="1">
      <c r="A276" s="124" t="s">
        <v>368</v>
      </c>
      <c r="B276" s="131"/>
      <c r="C276" s="108">
        <f t="shared" si="220"/>
        <v>75064</v>
      </c>
      <c r="E276" s="108">
        <v>8117</v>
      </c>
      <c r="F276" s="108">
        <v>0</v>
      </c>
      <c r="G276" s="108">
        <f>627+5806+57058+19690</f>
        <v>83181</v>
      </c>
      <c r="H276" s="108">
        <v>0</v>
      </c>
      <c r="I276" s="108">
        <f>106864-J276</f>
        <v>92645</v>
      </c>
      <c r="J276" s="108">
        <v>14219</v>
      </c>
      <c r="K276" s="108">
        <v>462324</v>
      </c>
      <c r="L276" s="108">
        <v>0</v>
      </c>
      <c r="N276" s="2">
        <f t="shared" si="223"/>
        <v>569188</v>
      </c>
      <c r="R276" s="2">
        <f t="shared" si="224"/>
        <v>652369</v>
      </c>
      <c r="T276" s="217">
        <v>46036</v>
      </c>
      <c r="U276" s="217">
        <v>54149</v>
      </c>
      <c r="V276" s="217">
        <v>713</v>
      </c>
      <c r="W276" s="217">
        <f t="shared" si="221"/>
        <v>100898</v>
      </c>
      <c r="Y276" s="54">
        <f t="shared" si="225"/>
        <v>753267</v>
      </c>
      <c r="Z276" s="2">
        <f t="shared" si="222"/>
        <v>615224</v>
      </c>
    </row>
    <row r="277" spans="1:26" s="108" customFormat="1" ht="12.75" hidden="1" customHeight="1">
      <c r="A277" s="124"/>
      <c r="B277" s="131"/>
      <c r="N277" s="2"/>
      <c r="R277" s="2"/>
      <c r="T277" s="217"/>
      <c r="U277" s="217"/>
      <c r="V277" s="217"/>
      <c r="W277" s="217"/>
      <c r="Y277" s="54"/>
      <c r="Z277" s="2"/>
    </row>
    <row r="278" spans="1:26" s="108" customFormat="1" ht="12.75" hidden="1" customHeight="1">
      <c r="A278" s="124" t="s">
        <v>369</v>
      </c>
      <c r="B278" s="131"/>
      <c r="C278" s="108">
        <f t="shared" ref="C278:C304" si="226">G278-E278</f>
        <v>74905</v>
      </c>
      <c r="E278" s="108">
        <v>8216</v>
      </c>
      <c r="F278" s="108">
        <v>0</v>
      </c>
      <c r="G278" s="108">
        <f>633+5825+57071+19592</f>
        <v>83121</v>
      </c>
      <c r="H278" s="108">
        <v>0</v>
      </c>
      <c r="I278" s="108">
        <f>107069-J278</f>
        <v>92767</v>
      </c>
      <c r="J278" s="108">
        <v>14302</v>
      </c>
      <c r="K278" s="108">
        <v>461570</v>
      </c>
      <c r="L278" s="108">
        <v>0</v>
      </c>
      <c r="N278" s="2">
        <f t="shared" si="223"/>
        <v>568639</v>
      </c>
      <c r="R278" s="2">
        <f t="shared" si="224"/>
        <v>651760</v>
      </c>
      <c r="T278" s="217">
        <v>46386</v>
      </c>
      <c r="U278" s="217">
        <v>54490</v>
      </c>
      <c r="V278" s="217">
        <v>780</v>
      </c>
      <c r="W278" s="217">
        <f t="shared" ref="W278:W310" si="227">SUM(T278:V278)</f>
        <v>101656</v>
      </c>
      <c r="Y278" s="54">
        <f t="shared" si="225"/>
        <v>753416</v>
      </c>
      <c r="Z278" s="2">
        <f t="shared" ref="Z278:Z289" si="228">N278+T278</f>
        <v>615025</v>
      </c>
    </row>
    <row r="279" spans="1:26" s="108" customFormat="1" ht="12.75" hidden="1" customHeight="1">
      <c r="A279" s="124" t="s">
        <v>371</v>
      </c>
      <c r="B279" s="131"/>
      <c r="C279" s="108">
        <f t="shared" si="226"/>
        <v>74346</v>
      </c>
      <c r="E279" s="108">
        <v>8301</v>
      </c>
      <c r="F279" s="108">
        <v>0</v>
      </c>
      <c r="G279" s="108">
        <f>657+5802+56797+19391</f>
        <v>82647</v>
      </c>
      <c r="H279" s="108">
        <v>0</v>
      </c>
      <c r="I279" s="108">
        <f>106048-J279</f>
        <v>91773</v>
      </c>
      <c r="J279" s="108">
        <v>14275</v>
      </c>
      <c r="K279" s="108">
        <v>457087</v>
      </c>
      <c r="L279" s="108">
        <v>0</v>
      </c>
      <c r="N279" s="2">
        <f t="shared" si="223"/>
        <v>563135</v>
      </c>
      <c r="R279" s="2">
        <f t="shared" si="224"/>
        <v>645782</v>
      </c>
      <c r="T279" s="217">
        <v>46285</v>
      </c>
      <c r="U279" s="217">
        <v>54649</v>
      </c>
      <c r="V279" s="217">
        <v>836</v>
      </c>
      <c r="W279" s="217">
        <f t="shared" si="227"/>
        <v>101770</v>
      </c>
      <c r="Y279" s="54">
        <f t="shared" si="225"/>
        <v>747552</v>
      </c>
      <c r="Z279" s="2">
        <f t="shared" si="228"/>
        <v>609420</v>
      </c>
    </row>
    <row r="280" spans="1:26" s="108" customFormat="1" ht="12.75" hidden="1" customHeight="1">
      <c r="A280" s="124" t="s">
        <v>372</v>
      </c>
      <c r="B280" s="131"/>
      <c r="C280" s="108">
        <f t="shared" si="226"/>
        <v>96713</v>
      </c>
      <c r="E280" s="108">
        <f>8412+2525</f>
        <v>10937</v>
      </c>
      <c r="F280" s="108">
        <v>0</v>
      </c>
      <c r="G280" s="108">
        <f>686+5919+57050+19409+(27427-316-2525)</f>
        <v>107650</v>
      </c>
      <c r="H280" s="108">
        <v>0</v>
      </c>
      <c r="I280" s="108">
        <f>106449+316-J280</f>
        <v>92288</v>
      </c>
      <c r="J280" s="108">
        <v>14477</v>
      </c>
      <c r="K280" s="108">
        <v>457149</v>
      </c>
      <c r="L280" s="108">
        <v>0</v>
      </c>
      <c r="N280" s="2">
        <f t="shared" si="223"/>
        <v>563914</v>
      </c>
      <c r="R280" s="2">
        <f t="shared" si="224"/>
        <v>671564</v>
      </c>
      <c r="T280" s="217">
        <v>46519</v>
      </c>
      <c r="U280" s="217">
        <v>54821</v>
      </c>
      <c r="V280" s="217">
        <v>917</v>
      </c>
      <c r="W280" s="217">
        <f t="shared" si="227"/>
        <v>102257</v>
      </c>
      <c r="Y280" s="54">
        <f t="shared" si="225"/>
        <v>773821</v>
      </c>
      <c r="Z280" s="2">
        <f t="shared" si="228"/>
        <v>610433</v>
      </c>
    </row>
    <row r="281" spans="1:26" s="108" customFormat="1" ht="12.75" hidden="1" customHeight="1">
      <c r="A281" s="124" t="s">
        <v>373</v>
      </c>
      <c r="B281" s="131"/>
      <c r="C281" s="108">
        <f t="shared" si="226"/>
        <v>96420</v>
      </c>
      <c r="E281" s="108">
        <f>8531+2531</f>
        <v>11062</v>
      </c>
      <c r="F281" s="108">
        <v>0</v>
      </c>
      <c r="G281" s="108">
        <f>685+5941+57177+19419+(27108-317-2531)</f>
        <v>107482</v>
      </c>
      <c r="H281" s="108">
        <v>0</v>
      </c>
      <c r="I281" s="108">
        <f>106420+317-J281</f>
        <v>92487</v>
      </c>
      <c r="J281" s="108">
        <v>14250</v>
      </c>
      <c r="K281" s="108">
        <v>456560</v>
      </c>
      <c r="L281" s="108">
        <v>0</v>
      </c>
      <c r="N281" s="2">
        <f t="shared" si="223"/>
        <v>563297</v>
      </c>
      <c r="R281" s="2">
        <f t="shared" si="224"/>
        <v>670779</v>
      </c>
      <c r="T281" s="217">
        <v>46619</v>
      </c>
      <c r="U281" s="217">
        <v>54754</v>
      </c>
      <c r="V281" s="217">
        <v>934</v>
      </c>
      <c r="W281" s="217">
        <f t="shared" si="227"/>
        <v>102307</v>
      </c>
      <c r="Y281" s="54">
        <f t="shared" si="225"/>
        <v>773086</v>
      </c>
      <c r="Z281" s="2">
        <f t="shared" si="228"/>
        <v>609916</v>
      </c>
    </row>
    <row r="282" spans="1:26" s="108" customFormat="1" ht="12.75" hidden="1" customHeight="1">
      <c r="A282" s="124" t="s">
        <v>374</v>
      </c>
      <c r="B282" s="131"/>
      <c r="C282" s="108">
        <f t="shared" si="226"/>
        <v>96306</v>
      </c>
      <c r="E282" s="108">
        <f>8671+2507</f>
        <v>11178</v>
      </c>
      <c r="F282" s="108">
        <v>0</v>
      </c>
      <c r="G282" s="108">
        <f>695+5975+57401+19512+(26711-303-2507)</f>
        <v>107484</v>
      </c>
      <c r="H282" s="108">
        <v>0</v>
      </c>
      <c r="I282" s="108">
        <f>106555+303-J282</f>
        <v>93007</v>
      </c>
      <c r="J282" s="108">
        <v>13851</v>
      </c>
      <c r="K282" s="108">
        <v>455585</v>
      </c>
      <c r="L282" s="108">
        <v>0</v>
      </c>
      <c r="N282" s="2">
        <f t="shared" si="223"/>
        <v>562443</v>
      </c>
      <c r="R282" s="2">
        <f t="shared" si="224"/>
        <v>669927</v>
      </c>
      <c r="T282" s="217">
        <v>46693</v>
      </c>
      <c r="U282" s="217">
        <v>54514</v>
      </c>
      <c r="V282" s="217">
        <v>910</v>
      </c>
      <c r="W282" s="217">
        <f t="shared" si="227"/>
        <v>102117</v>
      </c>
      <c r="Y282" s="54">
        <f t="shared" si="225"/>
        <v>772044</v>
      </c>
      <c r="Z282" s="2">
        <f t="shared" si="228"/>
        <v>609136</v>
      </c>
    </row>
    <row r="283" spans="1:26" s="108" customFormat="1" ht="12.75" hidden="1" customHeight="1">
      <c r="A283" s="124" t="s">
        <v>375</v>
      </c>
      <c r="B283" s="131"/>
      <c r="C283" s="108">
        <f t="shared" si="226"/>
        <v>97109</v>
      </c>
      <c r="E283" s="108">
        <f>8820+2506</f>
        <v>11326</v>
      </c>
      <c r="F283" s="108">
        <v>0</v>
      </c>
      <c r="G283" s="108">
        <f>748+6026+57782+19674+(27033-322-2506)</f>
        <v>108435</v>
      </c>
      <c r="H283" s="108">
        <v>0</v>
      </c>
      <c r="I283" s="108">
        <f>107547+322-J283</f>
        <v>93891</v>
      </c>
      <c r="J283" s="108">
        <v>13978</v>
      </c>
      <c r="K283" s="108">
        <v>455075</v>
      </c>
      <c r="L283" s="108">
        <v>0</v>
      </c>
      <c r="N283" s="2">
        <f t="shared" si="223"/>
        <v>562944</v>
      </c>
      <c r="R283" s="2">
        <f t="shared" si="224"/>
        <v>671379</v>
      </c>
      <c r="T283" s="217">
        <v>46861</v>
      </c>
      <c r="U283" s="217">
        <v>54378</v>
      </c>
      <c r="V283" s="217">
        <v>921</v>
      </c>
      <c r="W283" s="217">
        <f t="shared" si="227"/>
        <v>102160</v>
      </c>
      <c r="Y283" s="54">
        <f t="shared" si="225"/>
        <v>773539</v>
      </c>
      <c r="Z283" s="2">
        <f t="shared" si="228"/>
        <v>609805</v>
      </c>
    </row>
    <row r="284" spans="1:26" s="108" customFormat="1" ht="12.75" hidden="1" customHeight="1">
      <c r="A284" s="124" t="s">
        <v>376</v>
      </c>
      <c r="B284" s="131"/>
      <c r="C284" s="108">
        <f t="shared" si="226"/>
        <v>97129</v>
      </c>
      <c r="E284" s="108">
        <f>9003+2557</f>
        <v>11560</v>
      </c>
      <c r="F284" s="108">
        <v>0</v>
      </c>
      <c r="G284" s="108">
        <f>742+6045+58058+19754+(26949-302-2557)</f>
        <v>108689</v>
      </c>
      <c r="H284" s="108">
        <v>0</v>
      </c>
      <c r="I284" s="108">
        <f>108165+302-J284</f>
        <v>94465</v>
      </c>
      <c r="J284" s="108">
        <v>14002</v>
      </c>
      <c r="K284" s="108">
        <v>454387</v>
      </c>
      <c r="L284" s="108">
        <v>0</v>
      </c>
      <c r="N284" s="2">
        <f t="shared" si="223"/>
        <v>562854</v>
      </c>
      <c r="R284" s="2">
        <f t="shared" si="224"/>
        <v>671543</v>
      </c>
      <c r="T284" s="217">
        <v>47164</v>
      </c>
      <c r="U284" s="217">
        <v>54374</v>
      </c>
      <c r="V284" s="217">
        <v>925</v>
      </c>
      <c r="W284" s="217">
        <f t="shared" si="227"/>
        <v>102463</v>
      </c>
      <c r="Y284" s="54">
        <f t="shared" si="225"/>
        <v>774006</v>
      </c>
      <c r="Z284" s="2">
        <f t="shared" si="228"/>
        <v>610018</v>
      </c>
    </row>
    <row r="285" spans="1:26" s="108" customFormat="1" ht="12.75" hidden="1" customHeight="1">
      <c r="A285" s="124" t="s">
        <v>378</v>
      </c>
      <c r="B285" s="131"/>
      <c r="C285" s="108">
        <f t="shared" si="226"/>
        <v>97554</v>
      </c>
      <c r="E285" s="108">
        <f>9082+2603</f>
        <v>11685</v>
      </c>
      <c r="F285" s="108">
        <v>0</v>
      </c>
      <c r="G285" s="108">
        <f>767+6028+58201+19716+(27448-318-2603)</f>
        <v>109239</v>
      </c>
      <c r="H285" s="108">
        <v>0</v>
      </c>
      <c r="I285" s="108">
        <f>107271+318-J285</f>
        <v>93955</v>
      </c>
      <c r="J285" s="108">
        <v>13634</v>
      </c>
      <c r="K285" s="108">
        <v>452152</v>
      </c>
      <c r="L285" s="108">
        <v>0</v>
      </c>
      <c r="N285" s="2">
        <f t="shared" si="223"/>
        <v>559741</v>
      </c>
      <c r="R285" s="2">
        <f t="shared" si="224"/>
        <v>668980</v>
      </c>
      <c r="T285" s="217">
        <v>47237</v>
      </c>
      <c r="U285" s="217">
        <v>54260</v>
      </c>
      <c r="V285" s="217">
        <v>886</v>
      </c>
      <c r="W285" s="217">
        <f t="shared" si="227"/>
        <v>102383</v>
      </c>
      <c r="Y285" s="54">
        <f t="shared" si="225"/>
        <v>771363</v>
      </c>
      <c r="Z285" s="2">
        <f t="shared" si="228"/>
        <v>606978</v>
      </c>
    </row>
    <row r="286" spans="1:26" s="108" customFormat="1" ht="12.75" hidden="1" customHeight="1">
      <c r="A286" s="124" t="s">
        <v>379</v>
      </c>
      <c r="B286" s="131"/>
      <c r="C286" s="108">
        <f t="shared" si="226"/>
        <v>97628</v>
      </c>
      <c r="E286" s="108">
        <f>9181+2754</f>
        <v>11935</v>
      </c>
      <c r="F286" s="108">
        <v>0</v>
      </c>
      <c r="G286" s="108">
        <f>824+6126+58405+19838+(27452-328-2754)</f>
        <v>109563</v>
      </c>
      <c r="H286" s="108">
        <v>0</v>
      </c>
      <c r="I286" s="108">
        <f>107815+328-J286</f>
        <v>94473</v>
      </c>
      <c r="J286" s="108">
        <v>13670</v>
      </c>
      <c r="K286" s="108">
        <v>454915</v>
      </c>
      <c r="L286" s="108">
        <v>0</v>
      </c>
      <c r="N286" s="2">
        <f t="shared" si="223"/>
        <v>563058</v>
      </c>
      <c r="R286" s="2">
        <f t="shared" si="224"/>
        <v>672621</v>
      </c>
      <c r="T286" s="217">
        <v>47608</v>
      </c>
      <c r="U286" s="217">
        <v>54836</v>
      </c>
      <c r="V286" s="217">
        <v>912</v>
      </c>
      <c r="W286" s="217">
        <f t="shared" si="227"/>
        <v>103356</v>
      </c>
      <c r="Y286" s="54">
        <f t="shared" si="225"/>
        <v>775977</v>
      </c>
      <c r="Z286" s="2">
        <f t="shared" si="228"/>
        <v>610666</v>
      </c>
    </row>
    <row r="287" spans="1:26" s="108" customFormat="1" ht="12.75" hidden="1" customHeight="1">
      <c r="A287" s="124" t="s">
        <v>380</v>
      </c>
      <c r="B287" s="131"/>
      <c r="C287" s="108">
        <f t="shared" si="226"/>
        <v>97511</v>
      </c>
      <c r="E287" s="108">
        <f>9296+2756</f>
        <v>12052</v>
      </c>
      <c r="F287" s="108">
        <v>0</v>
      </c>
      <c r="G287" s="108">
        <f>808+6167+58565+19933+(27160-314-2756)</f>
        <v>109563</v>
      </c>
      <c r="H287" s="108">
        <v>0</v>
      </c>
      <c r="I287" s="108">
        <f>107946+314-J287</f>
        <v>94255</v>
      </c>
      <c r="J287" s="108">
        <v>14005</v>
      </c>
      <c r="K287" s="108">
        <v>456358</v>
      </c>
      <c r="L287" s="108">
        <v>0</v>
      </c>
      <c r="N287" s="2">
        <f t="shared" si="223"/>
        <v>564618</v>
      </c>
      <c r="R287" s="2">
        <f t="shared" si="224"/>
        <v>674181</v>
      </c>
      <c r="T287" s="217">
        <v>48044</v>
      </c>
      <c r="U287" s="217">
        <v>55459</v>
      </c>
      <c r="V287" s="217">
        <v>946</v>
      </c>
      <c r="W287" s="217">
        <f t="shared" si="227"/>
        <v>104449</v>
      </c>
      <c r="Y287" s="54">
        <f t="shared" si="225"/>
        <v>778630</v>
      </c>
      <c r="Z287" s="2">
        <f t="shared" si="228"/>
        <v>612662</v>
      </c>
    </row>
    <row r="288" spans="1:26" s="108" customFormat="1" ht="12.75" hidden="1" customHeight="1">
      <c r="A288" s="124" t="s">
        <v>381</v>
      </c>
      <c r="B288" s="131"/>
      <c r="C288" s="108">
        <f t="shared" si="226"/>
        <v>97026</v>
      </c>
      <c r="E288" s="108">
        <f>9357+2794</f>
        <v>12151</v>
      </c>
      <c r="F288" s="108">
        <v>0</v>
      </c>
      <c r="G288" s="108">
        <f>813+6186+58487+19882+(26909-306-2794)</f>
        <v>109177</v>
      </c>
      <c r="H288" s="108">
        <v>0</v>
      </c>
      <c r="I288" s="108">
        <f>108026+306-J288</f>
        <v>94161</v>
      </c>
      <c r="J288" s="108">
        <v>14171</v>
      </c>
      <c r="K288" s="108">
        <v>458304</v>
      </c>
      <c r="L288" s="108">
        <v>0</v>
      </c>
      <c r="N288" s="2">
        <f t="shared" si="223"/>
        <v>566636</v>
      </c>
      <c r="R288" s="2">
        <f t="shared" si="224"/>
        <v>675813</v>
      </c>
      <c r="T288" s="217">
        <v>48490</v>
      </c>
      <c r="U288" s="217">
        <v>56189</v>
      </c>
      <c r="V288" s="217">
        <v>930</v>
      </c>
      <c r="W288" s="217">
        <f t="shared" si="227"/>
        <v>105609</v>
      </c>
      <c r="Y288" s="54">
        <f t="shared" si="225"/>
        <v>781422</v>
      </c>
      <c r="Z288" s="2">
        <f t="shared" si="228"/>
        <v>615126</v>
      </c>
    </row>
    <row r="289" spans="1:26" s="108" customFormat="1" ht="12.75" hidden="1" customHeight="1">
      <c r="A289" s="124" t="s">
        <v>385</v>
      </c>
      <c r="B289" s="131"/>
      <c r="C289" s="108">
        <f t="shared" si="226"/>
        <v>97229</v>
      </c>
      <c r="E289" s="108">
        <f>9481+2788</f>
        <v>12269</v>
      </c>
      <c r="F289" s="108">
        <v>0</v>
      </c>
      <c r="G289" s="108">
        <f>840+6237+58477+19878+(27167-313-2788)</f>
        <v>109498</v>
      </c>
      <c r="H289" s="108">
        <v>0</v>
      </c>
      <c r="I289" s="174">
        <f>107740+313-J289</f>
        <v>93915</v>
      </c>
      <c r="J289" s="108">
        <v>14138</v>
      </c>
      <c r="K289" s="108">
        <v>460434</v>
      </c>
      <c r="L289" s="108">
        <v>0</v>
      </c>
      <c r="N289" s="2">
        <f t="shared" si="223"/>
        <v>568487</v>
      </c>
      <c r="R289" s="2">
        <f t="shared" si="224"/>
        <v>677985</v>
      </c>
      <c r="T289" s="217">
        <v>48976</v>
      </c>
      <c r="U289" s="217">
        <v>56976</v>
      </c>
      <c r="V289" s="217">
        <v>964</v>
      </c>
      <c r="W289" s="217">
        <f t="shared" si="227"/>
        <v>106916</v>
      </c>
      <c r="Y289" s="54">
        <f t="shared" si="225"/>
        <v>784901</v>
      </c>
      <c r="Z289" s="2">
        <f t="shared" si="228"/>
        <v>617463</v>
      </c>
    </row>
    <row r="290" spans="1:26" s="108" customFormat="1" ht="12.75" hidden="1" customHeight="1">
      <c r="A290" s="124"/>
      <c r="B290" s="131"/>
      <c r="I290" s="174"/>
      <c r="N290" s="2"/>
      <c r="R290" s="2"/>
      <c r="T290" s="217"/>
      <c r="U290" s="217"/>
      <c r="V290" s="217"/>
      <c r="W290" s="217"/>
      <c r="Y290" s="54"/>
      <c r="Z290" s="2"/>
    </row>
    <row r="291" spans="1:26" s="108" customFormat="1" ht="12.75" hidden="1" customHeight="1">
      <c r="A291" s="124" t="s">
        <v>386</v>
      </c>
      <c r="B291" s="131"/>
      <c r="C291" s="108">
        <f t="shared" si="226"/>
        <v>97587</v>
      </c>
      <c r="E291" s="108">
        <f>9574+2854</f>
        <v>12428</v>
      </c>
      <c r="F291" s="108">
        <v>0</v>
      </c>
      <c r="G291" s="174">
        <f>851+6259+58663+19862+(27555-321-2854)</f>
        <v>110015</v>
      </c>
      <c r="H291" s="108">
        <v>0</v>
      </c>
      <c r="I291" s="174">
        <f>107501+321-J291</f>
        <v>93775</v>
      </c>
      <c r="J291" s="108">
        <v>14047</v>
      </c>
      <c r="K291" s="108">
        <v>459862</v>
      </c>
      <c r="L291" s="108">
        <v>0</v>
      </c>
      <c r="N291" s="2">
        <f t="shared" si="223"/>
        <v>567684</v>
      </c>
      <c r="R291" s="2">
        <f t="shared" si="224"/>
        <v>677699</v>
      </c>
      <c r="T291" s="217">
        <v>48819</v>
      </c>
      <c r="U291" s="217">
        <v>56849</v>
      </c>
      <c r="V291" s="217">
        <v>913</v>
      </c>
      <c r="W291" s="217">
        <f t="shared" si="227"/>
        <v>106581</v>
      </c>
      <c r="Y291" s="54">
        <f t="shared" si="225"/>
        <v>784280</v>
      </c>
      <c r="Z291" s="2">
        <f t="shared" ref="Z291" si="229">N291+T291</f>
        <v>616503</v>
      </c>
    </row>
    <row r="292" spans="1:26" s="108" customFormat="1" ht="12.75" hidden="1" customHeight="1">
      <c r="A292" s="124" t="s">
        <v>387</v>
      </c>
      <c r="B292" s="131"/>
      <c r="C292" s="108">
        <f t="shared" si="226"/>
        <v>96858</v>
      </c>
      <c r="E292" s="108">
        <f>9605+2978</f>
        <v>12583</v>
      </c>
      <c r="F292" s="108">
        <v>0</v>
      </c>
      <c r="G292" s="174">
        <f>852+6250+58423+19637+(27590-333-2978)</f>
        <v>109441</v>
      </c>
      <c r="H292" s="108">
        <v>0</v>
      </c>
      <c r="I292" s="174">
        <f>106802+333-J292</f>
        <v>93723</v>
      </c>
      <c r="J292" s="108">
        <v>13412</v>
      </c>
      <c r="K292" s="108">
        <v>455825</v>
      </c>
      <c r="L292" s="108">
        <v>0</v>
      </c>
      <c r="N292" s="2">
        <f t="shared" si="223"/>
        <v>562960</v>
      </c>
      <c r="R292" s="2">
        <f t="shared" si="224"/>
        <v>672401</v>
      </c>
      <c r="T292" s="217">
        <v>48525</v>
      </c>
      <c r="U292" s="217">
        <v>56507</v>
      </c>
      <c r="V292" s="217">
        <v>878</v>
      </c>
      <c r="W292" s="217">
        <f t="shared" si="227"/>
        <v>105910</v>
      </c>
      <c r="Y292" s="54">
        <f t="shared" si="225"/>
        <v>778311</v>
      </c>
      <c r="Z292" s="2">
        <f t="shared" ref="Z292:Z294" si="230">N292+T292</f>
        <v>611485</v>
      </c>
    </row>
    <row r="293" spans="1:26" s="108" customFormat="1" ht="12.75" hidden="1" customHeight="1">
      <c r="A293" s="124" t="s">
        <v>388</v>
      </c>
      <c r="B293" s="131"/>
      <c r="C293" s="108">
        <f t="shared" si="226"/>
        <v>96266</v>
      </c>
      <c r="E293" s="108">
        <f>9669+2988</f>
        <v>12657</v>
      </c>
      <c r="F293" s="108">
        <v>0</v>
      </c>
      <c r="G293" s="108">
        <f>873+6299+57915+19555+(27619-350-2988)</f>
        <v>108923</v>
      </c>
      <c r="H293" s="108">
        <v>0</v>
      </c>
      <c r="I293" s="108">
        <f>107775+350-J293</f>
        <v>94827</v>
      </c>
      <c r="J293" s="108">
        <v>13298</v>
      </c>
      <c r="K293" s="108">
        <v>456188</v>
      </c>
      <c r="L293" s="108">
        <v>0</v>
      </c>
      <c r="N293" s="2">
        <f t="shared" si="223"/>
        <v>564313</v>
      </c>
      <c r="R293" s="2">
        <f t="shared" si="224"/>
        <v>673236</v>
      </c>
      <c r="T293" s="217">
        <v>48624</v>
      </c>
      <c r="U293" s="217">
        <v>56856</v>
      </c>
      <c r="V293" s="217">
        <v>879</v>
      </c>
      <c r="W293" s="217">
        <f t="shared" si="227"/>
        <v>106359</v>
      </c>
      <c r="Y293" s="54">
        <f t="shared" si="225"/>
        <v>779595</v>
      </c>
      <c r="Z293" s="2">
        <f t="shared" si="230"/>
        <v>612937</v>
      </c>
    </row>
    <row r="294" spans="1:26" s="108" customFormat="1" ht="12.75" hidden="1" customHeight="1">
      <c r="A294" s="124" t="s">
        <v>389</v>
      </c>
      <c r="B294" s="131"/>
      <c r="C294" s="108">
        <f t="shared" si="226"/>
        <v>97735</v>
      </c>
      <c r="E294" s="108">
        <f>9761+3042</f>
        <v>12803</v>
      </c>
      <c r="F294" s="108">
        <v>0</v>
      </c>
      <c r="G294" s="108">
        <f>898+6289+58039+19486+(29238-370-3042)</f>
        <v>110538</v>
      </c>
      <c r="H294" s="108">
        <v>0</v>
      </c>
      <c r="I294" s="108">
        <f>107894+370-J294</f>
        <v>95245</v>
      </c>
      <c r="J294" s="108">
        <v>13019</v>
      </c>
      <c r="K294" s="108">
        <v>456364</v>
      </c>
      <c r="L294" s="108">
        <v>0</v>
      </c>
      <c r="N294" s="2">
        <f t="shared" si="223"/>
        <v>564628</v>
      </c>
      <c r="R294" s="2">
        <f t="shared" si="224"/>
        <v>675166</v>
      </c>
      <c r="T294" s="217">
        <v>48566</v>
      </c>
      <c r="U294" s="217">
        <v>56846</v>
      </c>
      <c r="V294" s="217">
        <v>842</v>
      </c>
      <c r="W294" s="217">
        <f t="shared" si="227"/>
        <v>106254</v>
      </c>
      <c r="Y294" s="54">
        <f t="shared" si="225"/>
        <v>781420</v>
      </c>
      <c r="Z294" s="2">
        <f t="shared" si="230"/>
        <v>613194</v>
      </c>
    </row>
    <row r="295" spans="1:26" s="108" customFormat="1" ht="12.75" hidden="1" customHeight="1">
      <c r="A295" s="124" t="s">
        <v>390</v>
      </c>
      <c r="B295" s="131"/>
      <c r="C295" s="108">
        <f t="shared" si="226"/>
        <v>97137</v>
      </c>
      <c r="E295" s="108">
        <f>9853+3511</f>
        <v>13364</v>
      </c>
      <c r="F295" s="108">
        <v>0</v>
      </c>
      <c r="G295" s="108">
        <f>922+6322+58294+19528+(29314-368-3511)</f>
        <v>110501</v>
      </c>
      <c r="H295" s="108">
        <v>0</v>
      </c>
      <c r="I295" s="108">
        <f>109023+368-J295</f>
        <v>96606</v>
      </c>
      <c r="J295" s="108">
        <v>12785</v>
      </c>
      <c r="K295" s="108">
        <v>459325</v>
      </c>
      <c r="L295" s="108">
        <v>0</v>
      </c>
      <c r="N295" s="2">
        <f t="shared" si="223"/>
        <v>568716</v>
      </c>
      <c r="R295" s="2">
        <f t="shared" si="224"/>
        <v>679217</v>
      </c>
      <c r="T295" s="217">
        <v>49118</v>
      </c>
      <c r="U295" s="217">
        <v>57462</v>
      </c>
      <c r="V295" s="217">
        <v>828</v>
      </c>
      <c r="W295" s="217">
        <f t="shared" si="227"/>
        <v>107408</v>
      </c>
      <c r="Y295" s="54">
        <f t="shared" si="225"/>
        <v>786625</v>
      </c>
      <c r="Z295" s="2">
        <f t="shared" ref="Z295:Z302" si="231">N295+T295</f>
        <v>617834</v>
      </c>
    </row>
    <row r="296" spans="1:26" s="108" customFormat="1" ht="12.75" hidden="1" customHeight="1">
      <c r="A296" s="124" t="s">
        <v>399</v>
      </c>
      <c r="B296" s="131"/>
      <c r="C296" s="108">
        <f t="shared" si="226"/>
        <v>97829</v>
      </c>
      <c r="E296" s="108">
        <f>9986+3458</f>
        <v>13444</v>
      </c>
      <c r="F296" s="108">
        <v>0</v>
      </c>
      <c r="G296" s="108">
        <f>964+6359+58705+19672+(29401-370-3458)</f>
        <v>111273</v>
      </c>
      <c r="H296" s="108">
        <v>0</v>
      </c>
      <c r="I296" s="108">
        <f>110390+370-J296</f>
        <v>98021</v>
      </c>
      <c r="J296" s="108">
        <v>12739</v>
      </c>
      <c r="K296" s="108">
        <v>462138</v>
      </c>
      <c r="L296" s="108">
        <v>0</v>
      </c>
      <c r="N296" s="2">
        <f t="shared" si="223"/>
        <v>572898</v>
      </c>
      <c r="R296" s="2">
        <f t="shared" si="224"/>
        <v>684171</v>
      </c>
      <c r="T296" s="217">
        <v>49600</v>
      </c>
      <c r="U296" s="217">
        <v>57877</v>
      </c>
      <c r="V296" s="217">
        <v>818</v>
      </c>
      <c r="W296" s="217">
        <f t="shared" si="227"/>
        <v>108295</v>
      </c>
      <c r="Y296" s="54">
        <f t="shared" si="225"/>
        <v>792466</v>
      </c>
      <c r="Z296" s="2">
        <f t="shared" si="231"/>
        <v>622498</v>
      </c>
    </row>
    <row r="297" spans="1:26" s="108" customFormat="1" ht="12.75" hidden="1" customHeight="1">
      <c r="A297" s="124" t="s">
        <v>400</v>
      </c>
      <c r="B297" s="131"/>
      <c r="C297" s="108">
        <f t="shared" si="226"/>
        <v>97722</v>
      </c>
      <c r="E297" s="108">
        <f>9984+3440</f>
        <v>13424</v>
      </c>
      <c r="F297" s="108">
        <v>0</v>
      </c>
      <c r="G297" s="108">
        <f>1006+6321+58866+19727+(29043-377-3440)</f>
        <v>111146</v>
      </c>
      <c r="H297" s="108">
        <v>0</v>
      </c>
      <c r="I297" s="108">
        <f>111078+377-J297</f>
        <v>98740</v>
      </c>
      <c r="J297" s="108">
        <v>12715</v>
      </c>
      <c r="K297" s="108">
        <v>462851</v>
      </c>
      <c r="L297" s="108">
        <v>0</v>
      </c>
      <c r="N297" s="2">
        <f t="shared" si="223"/>
        <v>574306</v>
      </c>
      <c r="R297" s="2">
        <f t="shared" si="224"/>
        <v>685452</v>
      </c>
      <c r="T297" s="217">
        <v>49523</v>
      </c>
      <c r="U297" s="217">
        <v>57709</v>
      </c>
      <c r="V297" s="217">
        <v>887</v>
      </c>
      <c r="W297" s="217">
        <f t="shared" si="227"/>
        <v>108119</v>
      </c>
      <c r="Y297" s="54">
        <f t="shared" si="225"/>
        <v>793571</v>
      </c>
      <c r="Z297" s="2">
        <f t="shared" si="231"/>
        <v>623829</v>
      </c>
    </row>
    <row r="298" spans="1:26" s="108" customFormat="1" ht="12.75" hidden="1" customHeight="1">
      <c r="A298" s="124" t="s">
        <v>401</v>
      </c>
      <c r="B298" s="131"/>
      <c r="C298" s="108">
        <f t="shared" si="226"/>
        <v>98431</v>
      </c>
      <c r="E298" s="108">
        <f>10163+3405</f>
        <v>13568</v>
      </c>
      <c r="F298" s="108">
        <v>0</v>
      </c>
      <c r="G298" s="108">
        <f>1016+6406+58981+19862+(29583-3405-444)</f>
        <v>111999</v>
      </c>
      <c r="H298" s="108">
        <v>0</v>
      </c>
      <c r="I298" s="108">
        <f>112485+444-J298</f>
        <v>100211</v>
      </c>
      <c r="J298" s="108">
        <v>12718</v>
      </c>
      <c r="K298" s="108">
        <v>464435</v>
      </c>
      <c r="L298" s="108">
        <v>0</v>
      </c>
      <c r="N298" s="2">
        <f t="shared" si="223"/>
        <v>577364</v>
      </c>
      <c r="R298" s="2">
        <f t="shared" si="224"/>
        <v>689363</v>
      </c>
      <c r="T298" s="217">
        <v>49667</v>
      </c>
      <c r="U298" s="217">
        <v>57620</v>
      </c>
      <c r="V298" s="217">
        <v>926</v>
      </c>
      <c r="W298" s="217">
        <f t="shared" si="227"/>
        <v>108213</v>
      </c>
      <c r="Y298" s="54">
        <f t="shared" si="225"/>
        <v>797576</v>
      </c>
      <c r="Z298" s="2">
        <f t="shared" si="231"/>
        <v>627031</v>
      </c>
    </row>
    <row r="299" spans="1:26" s="108" customFormat="1" ht="12.75" hidden="1" customHeight="1">
      <c r="A299" s="124" t="s">
        <v>402</v>
      </c>
      <c r="B299" s="131"/>
      <c r="C299" s="108">
        <f t="shared" si="226"/>
        <v>97686</v>
      </c>
      <c r="E299" s="108">
        <f>10244+3567</f>
        <v>13811</v>
      </c>
      <c r="F299" s="108">
        <v>0</v>
      </c>
      <c r="G299" s="108">
        <f>1013+6513+58941+19965+(29072-3567-440)</f>
        <v>111497</v>
      </c>
      <c r="H299" s="108">
        <v>0</v>
      </c>
      <c r="I299" s="108">
        <f>114631+440-J299</f>
        <v>102183</v>
      </c>
      <c r="J299" s="108">
        <v>12888</v>
      </c>
      <c r="K299" s="108">
        <v>465820</v>
      </c>
      <c r="L299" s="108">
        <v>0</v>
      </c>
      <c r="N299" s="2">
        <f t="shared" si="223"/>
        <v>580891</v>
      </c>
      <c r="R299" s="2">
        <f t="shared" si="224"/>
        <v>692388</v>
      </c>
      <c r="T299" s="217">
        <v>50104</v>
      </c>
      <c r="U299" s="217">
        <v>57827</v>
      </c>
      <c r="V299" s="217">
        <v>966</v>
      </c>
      <c r="W299" s="217">
        <f t="shared" si="227"/>
        <v>108897</v>
      </c>
      <c r="Y299" s="54">
        <f t="shared" si="225"/>
        <v>801285</v>
      </c>
      <c r="Z299" s="2">
        <f t="shared" si="231"/>
        <v>630995</v>
      </c>
    </row>
    <row r="300" spans="1:26" s="108" customFormat="1" ht="12.75" hidden="1" customHeight="1">
      <c r="A300" s="124" t="s">
        <v>403</v>
      </c>
      <c r="B300" s="131"/>
      <c r="C300" s="108">
        <f t="shared" si="226"/>
        <v>97513</v>
      </c>
      <c r="E300" s="108">
        <f>10370+3471</f>
        <v>13841</v>
      </c>
      <c r="F300" s="108">
        <v>0</v>
      </c>
      <c r="G300" s="108">
        <f>997+6619+58895+20070+(28669-425-3471)</f>
        <v>111354</v>
      </c>
      <c r="H300" s="108">
        <v>0</v>
      </c>
      <c r="I300" s="108">
        <f>115631+425-J300</f>
        <v>103221</v>
      </c>
      <c r="J300" s="108">
        <v>12835</v>
      </c>
      <c r="K300" s="108">
        <v>466883</v>
      </c>
      <c r="L300" s="108">
        <v>0</v>
      </c>
      <c r="N300" s="2">
        <f t="shared" si="223"/>
        <v>582939</v>
      </c>
      <c r="R300" s="2">
        <f t="shared" si="224"/>
        <v>694293</v>
      </c>
      <c r="T300" s="217">
        <v>50646</v>
      </c>
      <c r="U300" s="217">
        <v>58497</v>
      </c>
      <c r="V300" s="217">
        <v>969</v>
      </c>
      <c r="W300" s="217">
        <f t="shared" si="227"/>
        <v>110112</v>
      </c>
      <c r="Y300" s="54">
        <f t="shared" si="225"/>
        <v>804405</v>
      </c>
      <c r="Z300" s="2">
        <f t="shared" si="231"/>
        <v>633585</v>
      </c>
    </row>
    <row r="301" spans="1:26" s="108" customFormat="1" ht="12.75" hidden="1" customHeight="1">
      <c r="A301" s="124" t="s">
        <v>404</v>
      </c>
      <c r="B301" s="131"/>
      <c r="C301" s="108">
        <f t="shared" si="226"/>
        <v>97655</v>
      </c>
      <c r="E301" s="108">
        <f>10433+3407</f>
        <v>13840</v>
      </c>
      <c r="F301" s="108">
        <v>0</v>
      </c>
      <c r="G301" s="108">
        <f>1025+6714+58954+20108+(28510-409-3407)</f>
        <v>111495</v>
      </c>
      <c r="H301" s="108">
        <v>0</v>
      </c>
      <c r="I301" s="108">
        <f>116963+409-J301</f>
        <v>104126</v>
      </c>
      <c r="J301" s="108">
        <v>13246</v>
      </c>
      <c r="K301" s="108">
        <v>466393</v>
      </c>
      <c r="L301" s="108">
        <v>0</v>
      </c>
      <c r="N301" s="2">
        <f t="shared" si="223"/>
        <v>583765</v>
      </c>
      <c r="R301" s="2">
        <f t="shared" si="224"/>
        <v>695260</v>
      </c>
      <c r="T301" s="217">
        <v>51332</v>
      </c>
      <c r="U301" s="217">
        <v>59307</v>
      </c>
      <c r="V301" s="217">
        <v>986</v>
      </c>
      <c r="W301" s="217">
        <f t="shared" si="227"/>
        <v>111625</v>
      </c>
      <c r="Y301" s="54">
        <f t="shared" si="225"/>
        <v>806885</v>
      </c>
      <c r="Z301" s="2">
        <f t="shared" si="231"/>
        <v>635097</v>
      </c>
    </row>
    <row r="302" spans="1:26" s="108" customFormat="1" ht="12.75" hidden="1" customHeight="1">
      <c r="A302" s="124" t="s">
        <v>407</v>
      </c>
      <c r="B302" s="131"/>
      <c r="C302" s="108">
        <f t="shared" si="226"/>
        <v>96645</v>
      </c>
      <c r="E302" s="108">
        <f>10551+3440</f>
        <v>13991</v>
      </c>
      <c r="F302" s="108">
        <v>0</v>
      </c>
      <c r="G302" s="108">
        <f>1011+6767+59102+20239+(27348-391-3440)</f>
        <v>110636</v>
      </c>
      <c r="H302" s="108">
        <v>0</v>
      </c>
      <c r="I302" s="108">
        <f>118419+391-J302</f>
        <v>105376</v>
      </c>
      <c r="J302" s="108">
        <v>13434</v>
      </c>
      <c r="K302" s="108">
        <v>465754</v>
      </c>
      <c r="L302" s="108">
        <v>0</v>
      </c>
      <c r="N302" s="2">
        <f t="shared" si="223"/>
        <v>584564</v>
      </c>
      <c r="R302" s="2">
        <f t="shared" si="224"/>
        <v>695200</v>
      </c>
      <c r="T302" s="217">
        <v>52060</v>
      </c>
      <c r="U302" s="217">
        <v>59621</v>
      </c>
      <c r="V302" s="217">
        <v>983</v>
      </c>
      <c r="W302" s="217">
        <f t="shared" si="227"/>
        <v>112664</v>
      </c>
      <c r="Y302" s="54">
        <f t="shared" si="225"/>
        <v>807864</v>
      </c>
      <c r="Z302" s="2">
        <f t="shared" si="231"/>
        <v>636624</v>
      </c>
    </row>
    <row r="303" spans="1:26" s="108" customFormat="1" ht="12.75" hidden="1" customHeight="1">
      <c r="A303" s="124"/>
      <c r="B303" s="131"/>
      <c r="N303" s="2"/>
      <c r="R303" s="2"/>
      <c r="T303" s="217"/>
      <c r="U303" s="217"/>
      <c r="V303" s="217"/>
      <c r="W303" s="217"/>
      <c r="Y303" s="54"/>
      <c r="Z303" s="2"/>
    </row>
    <row r="304" spans="1:26" s="108" customFormat="1" ht="12.75" hidden="1" customHeight="1">
      <c r="A304" s="124" t="s">
        <v>409</v>
      </c>
      <c r="B304" s="131"/>
      <c r="C304" s="108">
        <f t="shared" si="226"/>
        <v>96169</v>
      </c>
      <c r="E304" s="108">
        <f>8409+3245</f>
        <v>11654</v>
      </c>
      <c r="F304" s="108">
        <v>0</v>
      </c>
      <c r="G304" s="108">
        <f>1007+6394+57867+19814+(26348-362-3245)</f>
        <v>107823</v>
      </c>
      <c r="H304" s="108">
        <v>0</v>
      </c>
      <c r="I304" s="108">
        <f>119162+362-J304</f>
        <v>106028</v>
      </c>
      <c r="J304" s="108">
        <v>13496</v>
      </c>
      <c r="K304" s="108">
        <v>464981</v>
      </c>
      <c r="L304" s="108">
        <v>0</v>
      </c>
      <c r="M304" s="108">
        <v>0</v>
      </c>
      <c r="N304" s="2">
        <f t="shared" si="223"/>
        <v>584505</v>
      </c>
      <c r="R304" s="2">
        <f t="shared" si="224"/>
        <v>692328</v>
      </c>
      <c r="T304" s="217">
        <v>53174</v>
      </c>
      <c r="U304" s="217">
        <v>60463</v>
      </c>
      <c r="V304" s="217">
        <v>990</v>
      </c>
      <c r="W304" s="217">
        <f t="shared" si="227"/>
        <v>114627</v>
      </c>
      <c r="Y304" s="54">
        <f t="shared" si="225"/>
        <v>806955</v>
      </c>
      <c r="Z304" s="2">
        <f t="shared" ref="Z304" si="232">N304+T304</f>
        <v>637679</v>
      </c>
    </row>
    <row r="305" spans="1:26" s="108" customFormat="1" ht="12.75" hidden="1" customHeight="1">
      <c r="A305" s="124" t="s">
        <v>411</v>
      </c>
      <c r="B305" s="131"/>
      <c r="C305" s="108">
        <f t="shared" ref="C305:C313" si="233">G305-D305-E305</f>
        <v>103766</v>
      </c>
      <c r="D305" s="108">
        <v>2284</v>
      </c>
      <c r="E305" s="108">
        <f>8465+3123+7830</f>
        <v>19418</v>
      </c>
      <c r="F305" s="108">
        <v>0</v>
      </c>
      <c r="G305" s="108">
        <f>1040+6316+58163+19908+25591+18649-335-3123-526-211-4</f>
        <v>125468</v>
      </c>
      <c r="H305" s="108">
        <v>0</v>
      </c>
      <c r="I305" s="108">
        <f>120153+526+335-J305</f>
        <v>107441</v>
      </c>
      <c r="J305" s="108">
        <v>13573</v>
      </c>
      <c r="K305" s="108">
        <f>465949+211</f>
        <v>466160</v>
      </c>
      <c r="L305" s="108">
        <v>0</v>
      </c>
      <c r="M305" s="108">
        <v>0</v>
      </c>
      <c r="N305" s="2">
        <f t="shared" si="223"/>
        <v>587174</v>
      </c>
      <c r="R305" s="2">
        <f t="shared" si="224"/>
        <v>712642</v>
      </c>
      <c r="T305" s="217">
        <f>54347+4</f>
        <v>54351</v>
      </c>
      <c r="U305" s="217">
        <v>61498</v>
      </c>
      <c r="V305" s="217">
        <v>1001</v>
      </c>
      <c r="W305" s="217">
        <f t="shared" si="227"/>
        <v>116850</v>
      </c>
      <c r="Y305" s="54">
        <f t="shared" si="225"/>
        <v>829492</v>
      </c>
      <c r="Z305" s="2">
        <f t="shared" ref="Z305" si="234">N305+T305</f>
        <v>641525</v>
      </c>
    </row>
    <row r="306" spans="1:26" s="108" customFormat="1" ht="12.75" hidden="1" customHeight="1">
      <c r="A306" s="124" t="s">
        <v>413</v>
      </c>
      <c r="B306" s="131"/>
      <c r="C306" s="108">
        <f t="shared" si="233"/>
        <v>113131</v>
      </c>
      <c r="D306" s="108">
        <v>5081</v>
      </c>
      <c r="E306" s="108">
        <f>5648+3029+17628</f>
        <v>26305</v>
      </c>
      <c r="F306" s="108">
        <v>0</v>
      </c>
      <c r="G306" s="108">
        <f>1027+5916+56701+19552+24789+41215-314-3029-899-428-13</f>
        <v>144517</v>
      </c>
      <c r="H306" s="108">
        <v>0</v>
      </c>
      <c r="I306" s="108">
        <f>121070+899+314-J306</f>
        <v>108381</v>
      </c>
      <c r="J306" s="108">
        <v>13902</v>
      </c>
      <c r="K306" s="108">
        <f>467738+428</f>
        <v>468166</v>
      </c>
      <c r="L306" s="108">
        <v>0</v>
      </c>
      <c r="M306" s="108">
        <v>0</v>
      </c>
      <c r="N306" s="2">
        <f t="shared" si="223"/>
        <v>590449</v>
      </c>
      <c r="R306" s="2">
        <f t="shared" si="224"/>
        <v>734966</v>
      </c>
      <c r="T306" s="217">
        <f>55568+13</f>
        <v>55581</v>
      </c>
      <c r="U306" s="217">
        <v>62526</v>
      </c>
      <c r="V306" s="217">
        <v>994</v>
      </c>
      <c r="W306" s="217">
        <f t="shared" si="227"/>
        <v>119101</v>
      </c>
      <c r="Y306" s="54">
        <f t="shared" si="225"/>
        <v>854067</v>
      </c>
      <c r="Z306" s="2">
        <f t="shared" ref="Z306" si="235">N306+T306</f>
        <v>646030</v>
      </c>
    </row>
    <row r="307" spans="1:26" s="108" customFormat="1" ht="12.75" hidden="1" customHeight="1">
      <c r="A307" s="124" t="s">
        <v>414</v>
      </c>
      <c r="B307" s="131"/>
      <c r="C307" s="108">
        <f t="shared" si="233"/>
        <v>121056</v>
      </c>
      <c r="D307" s="108">
        <v>7518</v>
      </c>
      <c r="E307" s="108">
        <f>4071+2929+23997</f>
        <v>30997</v>
      </c>
      <c r="F307" s="108">
        <v>0</v>
      </c>
      <c r="G307" s="108">
        <f>1045+5540+55964+19236+24012+58685-296-2929-1145-522-19</f>
        <v>159571</v>
      </c>
      <c r="H307" s="108">
        <v>0</v>
      </c>
      <c r="I307" s="108">
        <f>121466+296+1145-J307</f>
        <v>109105</v>
      </c>
      <c r="J307" s="108">
        <v>13802</v>
      </c>
      <c r="K307" s="108">
        <f>469641+522</f>
        <v>470163</v>
      </c>
      <c r="L307" s="108">
        <v>0</v>
      </c>
      <c r="M307" s="108">
        <v>0</v>
      </c>
      <c r="N307" s="2">
        <f t="shared" si="223"/>
        <v>593070</v>
      </c>
      <c r="R307" s="2">
        <f t="shared" si="224"/>
        <v>752641</v>
      </c>
      <c r="T307" s="217">
        <f>56317+19</f>
        <v>56336</v>
      </c>
      <c r="U307" s="217">
        <v>63474</v>
      </c>
      <c r="V307" s="217">
        <v>958</v>
      </c>
      <c r="W307" s="217">
        <f t="shared" si="227"/>
        <v>120768</v>
      </c>
      <c r="Y307" s="54">
        <f t="shared" si="225"/>
        <v>873409</v>
      </c>
      <c r="Z307" s="2">
        <f>N307+T307</f>
        <v>649406</v>
      </c>
    </row>
    <row r="308" spans="1:26" s="108" customFormat="1" ht="12.75" hidden="1" customHeight="1">
      <c r="A308" s="124" t="s">
        <v>415</v>
      </c>
      <c r="B308" s="131"/>
      <c r="C308" s="108">
        <f t="shared" si="233"/>
        <v>134163</v>
      </c>
      <c r="D308" s="108">
        <v>11091</v>
      </c>
      <c r="E308" s="108">
        <f>2541+2836+30399</f>
        <v>35776</v>
      </c>
      <c r="F308" s="108">
        <v>0</v>
      </c>
      <c r="G308" s="108">
        <f>1052+5260+55563+19078+23300+81964-277-2836-1448-611-15</f>
        <v>181030</v>
      </c>
      <c r="H308" s="108">
        <v>0</v>
      </c>
      <c r="I308" s="108">
        <f>116780+277+1448-J308</f>
        <v>105149</v>
      </c>
      <c r="J308" s="108">
        <v>13356</v>
      </c>
      <c r="K308" s="108">
        <f>471730+611</f>
        <v>472341</v>
      </c>
      <c r="L308" s="108">
        <v>0</v>
      </c>
      <c r="M308" s="108">
        <v>0</v>
      </c>
      <c r="N308" s="2">
        <f t="shared" si="223"/>
        <v>590846</v>
      </c>
      <c r="R308" s="2">
        <f t="shared" si="224"/>
        <v>771876</v>
      </c>
      <c r="T308" s="217">
        <f>57424+15</f>
        <v>57439</v>
      </c>
      <c r="U308" s="217">
        <v>65243</v>
      </c>
      <c r="V308" s="217">
        <v>931</v>
      </c>
      <c r="W308" s="217">
        <f t="shared" si="227"/>
        <v>123613</v>
      </c>
      <c r="Y308" s="54">
        <f t="shared" si="225"/>
        <v>895489</v>
      </c>
      <c r="Z308" s="2">
        <f t="shared" ref="Z308:Z317" si="236">N308+T308</f>
        <v>648285</v>
      </c>
    </row>
    <row r="309" spans="1:26" s="108" customFormat="1" ht="12.75" hidden="1" customHeight="1">
      <c r="A309" s="124" t="s">
        <v>416</v>
      </c>
      <c r="B309" s="131"/>
      <c r="C309" s="108">
        <f t="shared" si="233"/>
        <v>148832</v>
      </c>
      <c r="D309" s="108">
        <v>13543</v>
      </c>
      <c r="E309" s="108">
        <f>2777+40451</f>
        <v>43228</v>
      </c>
      <c r="F309" s="108">
        <v>0</v>
      </c>
      <c r="G309" s="108">
        <f>1039+4529+54829+18657+22586+109644-251-2777-1766-856-31</f>
        <v>205603</v>
      </c>
      <c r="H309" s="108">
        <v>0</v>
      </c>
      <c r="I309" s="108">
        <f>117043+251+1766-J309</f>
        <v>105800</v>
      </c>
      <c r="J309" s="108">
        <v>13260</v>
      </c>
      <c r="K309" s="108">
        <f>473631+856</f>
        <v>474487</v>
      </c>
      <c r="L309" s="108">
        <v>0</v>
      </c>
      <c r="M309" s="108">
        <v>0</v>
      </c>
      <c r="N309" s="2">
        <f t="shared" si="223"/>
        <v>593547</v>
      </c>
      <c r="R309" s="2">
        <f t="shared" si="224"/>
        <v>799150</v>
      </c>
      <c r="T309" s="217">
        <f>58488+31</f>
        <v>58519</v>
      </c>
      <c r="U309" s="217">
        <v>66138</v>
      </c>
      <c r="V309" s="217">
        <v>963</v>
      </c>
      <c r="W309" s="217">
        <f t="shared" si="227"/>
        <v>125620</v>
      </c>
      <c r="Y309" s="54">
        <f t="shared" si="225"/>
        <v>924770</v>
      </c>
      <c r="Z309" s="2">
        <f t="shared" si="236"/>
        <v>652066</v>
      </c>
    </row>
    <row r="310" spans="1:26" s="108" customFormat="1" ht="12.75" hidden="1" customHeight="1">
      <c r="A310" s="124" t="s">
        <v>417</v>
      </c>
      <c r="B310" s="131"/>
      <c r="C310" s="174">
        <f t="shared" si="233"/>
        <v>150683</v>
      </c>
      <c r="D310" s="108">
        <v>14816</v>
      </c>
      <c r="E310" s="108">
        <f>42290</f>
        <v>42290</v>
      </c>
      <c r="F310" s="108">
        <v>0</v>
      </c>
      <c r="G310" s="108">
        <f>210675-1979-872-35</f>
        <v>207789</v>
      </c>
      <c r="H310" s="174">
        <v>0</v>
      </c>
      <c r="I310" s="108">
        <f>117053+1979-J310</f>
        <v>105910</v>
      </c>
      <c r="J310" s="108">
        <v>13122</v>
      </c>
      <c r="K310" s="108">
        <f>472553+872</f>
        <v>473425</v>
      </c>
      <c r="L310" s="108">
        <v>0</v>
      </c>
      <c r="M310" s="108">
        <v>0</v>
      </c>
      <c r="N310" s="2">
        <f t="shared" si="223"/>
        <v>592457</v>
      </c>
      <c r="R310" s="2">
        <f t="shared" si="224"/>
        <v>800246</v>
      </c>
      <c r="T310" s="217">
        <f>59056+35</f>
        <v>59091</v>
      </c>
      <c r="U310" s="217">
        <v>66734</v>
      </c>
      <c r="V310" s="217">
        <v>989</v>
      </c>
      <c r="W310" s="217">
        <f t="shared" si="227"/>
        <v>126814</v>
      </c>
      <c r="Y310" s="54">
        <f t="shared" si="225"/>
        <v>927060</v>
      </c>
      <c r="Z310" s="2">
        <f t="shared" si="236"/>
        <v>651548</v>
      </c>
    </row>
    <row r="311" spans="1:26" s="108" customFormat="1" ht="12.75" hidden="1" customHeight="1">
      <c r="A311" s="124" t="s">
        <v>418</v>
      </c>
      <c r="B311" s="131"/>
      <c r="C311" s="174">
        <f t="shared" si="233"/>
        <v>150851</v>
      </c>
      <c r="D311" s="108">
        <v>14017</v>
      </c>
      <c r="E311" s="108">
        <v>41631</v>
      </c>
      <c r="F311" s="108">
        <v>0</v>
      </c>
      <c r="G311" s="108">
        <f>209375-1956-882-38</f>
        <v>206499</v>
      </c>
      <c r="H311" s="174">
        <v>0</v>
      </c>
      <c r="I311" s="108">
        <f>117015+1956-J311</f>
        <v>106022</v>
      </c>
      <c r="J311" s="108">
        <v>12949</v>
      </c>
      <c r="K311" s="108">
        <f>472615+882</f>
        <v>473497</v>
      </c>
      <c r="L311" s="108">
        <v>0</v>
      </c>
      <c r="M311" s="108">
        <v>0</v>
      </c>
      <c r="N311" s="2">
        <f t="shared" si="223"/>
        <v>592468</v>
      </c>
      <c r="R311" s="2">
        <f t="shared" si="224"/>
        <v>798967</v>
      </c>
      <c r="T311" s="217">
        <f>59678+38</f>
        <v>59716</v>
      </c>
      <c r="U311" s="217">
        <v>67231</v>
      </c>
      <c r="V311" s="217">
        <v>1033</v>
      </c>
      <c r="W311" s="217">
        <f t="shared" ref="W311" si="237">SUM(T311:V311)</f>
        <v>127980</v>
      </c>
      <c r="Y311" s="54">
        <f t="shared" si="225"/>
        <v>926947</v>
      </c>
      <c r="Z311" s="2">
        <f t="shared" si="236"/>
        <v>652184</v>
      </c>
    </row>
    <row r="312" spans="1:26" s="108" customFormat="1" ht="12.75" hidden="1" customHeight="1">
      <c r="A312" s="124" t="s">
        <v>419</v>
      </c>
      <c r="B312" s="131"/>
      <c r="C312" s="174">
        <f t="shared" si="233"/>
        <v>152622</v>
      </c>
      <c r="D312" s="108">
        <v>13612</v>
      </c>
      <c r="E312" s="108">
        <v>41036</v>
      </c>
      <c r="F312" s="108">
        <v>0</v>
      </c>
      <c r="G312" s="108">
        <f>210128-1931-894-33</f>
        <v>207270</v>
      </c>
      <c r="H312" s="174">
        <v>0</v>
      </c>
      <c r="I312" s="108">
        <f>117604+1931-J312</f>
        <v>106345</v>
      </c>
      <c r="J312" s="108">
        <v>13190</v>
      </c>
      <c r="K312" s="108">
        <f>474348+894</f>
        <v>475242</v>
      </c>
      <c r="L312" s="108">
        <v>0</v>
      </c>
      <c r="M312" s="108">
        <v>0</v>
      </c>
      <c r="N312" s="2">
        <f t="shared" si="223"/>
        <v>594777</v>
      </c>
      <c r="R312" s="2">
        <f t="shared" si="224"/>
        <v>802047</v>
      </c>
      <c r="T312" s="217">
        <f>59977+33</f>
        <v>60010</v>
      </c>
      <c r="U312" s="217">
        <v>67583</v>
      </c>
      <c r="V312" s="217">
        <v>1050</v>
      </c>
      <c r="W312" s="217">
        <f t="shared" ref="W312:W317" si="238">SUM(T312:V312)</f>
        <v>128643</v>
      </c>
      <c r="Y312" s="54">
        <f t="shared" si="225"/>
        <v>930690</v>
      </c>
      <c r="Z312" s="2">
        <f t="shared" si="236"/>
        <v>654787</v>
      </c>
    </row>
    <row r="313" spans="1:26" s="108" customFormat="1" ht="12.75" hidden="1" customHeight="1">
      <c r="A313" s="124" t="s">
        <v>420</v>
      </c>
      <c r="B313" s="131"/>
      <c r="C313" s="174">
        <f t="shared" si="233"/>
        <v>152909</v>
      </c>
      <c r="D313" s="108">
        <v>13238</v>
      </c>
      <c r="E313" s="108">
        <v>42015</v>
      </c>
      <c r="F313" s="108">
        <v>0</v>
      </c>
      <c r="G313" s="174">
        <f>211008-1922-888-36</f>
        <v>208162</v>
      </c>
      <c r="H313" s="174">
        <v>0</v>
      </c>
      <c r="I313" s="108">
        <f>117556+1922-J313</f>
        <v>106404</v>
      </c>
      <c r="J313" s="108">
        <v>13074</v>
      </c>
      <c r="K313" s="108">
        <f>476284+888</f>
        <v>477172</v>
      </c>
      <c r="L313" s="108">
        <v>0</v>
      </c>
      <c r="M313" s="108">
        <v>0</v>
      </c>
      <c r="N313" s="2">
        <f t="shared" si="223"/>
        <v>596650</v>
      </c>
      <c r="R313" s="2">
        <f t="shared" si="224"/>
        <v>804812</v>
      </c>
      <c r="T313" s="217">
        <f>60389+36</f>
        <v>60425</v>
      </c>
      <c r="U313" s="217">
        <v>67712</v>
      </c>
      <c r="V313" s="217">
        <v>1025</v>
      </c>
      <c r="W313" s="217">
        <f t="shared" si="238"/>
        <v>129162</v>
      </c>
      <c r="Y313" s="54">
        <f t="shared" si="225"/>
        <v>933974</v>
      </c>
      <c r="Z313" s="2">
        <f t="shared" si="236"/>
        <v>657075</v>
      </c>
    </row>
    <row r="314" spans="1:26" s="108" customFormat="1" ht="12.75" hidden="1" customHeight="1">
      <c r="A314" s="124" t="s">
        <v>421</v>
      </c>
      <c r="B314" s="131"/>
      <c r="C314" s="174">
        <f>IF((G314-D314-E314)&gt;C134,C134,G314-D314-E314)</f>
        <v>154412</v>
      </c>
      <c r="D314" s="108">
        <v>12957</v>
      </c>
      <c r="E314" s="108">
        <v>40170</v>
      </c>
      <c r="F314" s="108">
        <v>0</v>
      </c>
      <c r="G314" s="174">
        <f>211917-1941-863-38</f>
        <v>209075</v>
      </c>
      <c r="H314" s="174">
        <v>0</v>
      </c>
      <c r="I314" s="108">
        <f>117984+1941-J314</f>
        <v>106721</v>
      </c>
      <c r="J314" s="108">
        <v>13204</v>
      </c>
      <c r="K314" s="108">
        <f>479532+863</f>
        <v>480395</v>
      </c>
      <c r="L314" s="108">
        <v>0</v>
      </c>
      <c r="M314" s="108">
        <v>0</v>
      </c>
      <c r="N314" s="2">
        <f t="shared" si="223"/>
        <v>600320</v>
      </c>
      <c r="R314" s="2">
        <f t="shared" si="224"/>
        <v>809395</v>
      </c>
      <c r="T314" s="217">
        <f>60752+38</f>
        <v>60790</v>
      </c>
      <c r="U314" s="217">
        <v>67901</v>
      </c>
      <c r="V314" s="217">
        <v>1016</v>
      </c>
      <c r="W314" s="217">
        <f t="shared" si="238"/>
        <v>129707</v>
      </c>
      <c r="Y314" s="54">
        <f t="shared" si="225"/>
        <v>939102</v>
      </c>
      <c r="Z314" s="2">
        <f t="shared" si="236"/>
        <v>661110</v>
      </c>
    </row>
    <row r="315" spans="1:26" s="108" customFormat="1" ht="12.75" hidden="1" customHeight="1">
      <c r="A315" s="124" t="s">
        <v>422</v>
      </c>
      <c r="B315" s="131"/>
      <c r="C315" s="174">
        <f>IF((G315-D315-E315)&gt;C135,C135,G315-D315-E315)</f>
        <v>154361</v>
      </c>
      <c r="D315" s="108">
        <v>12808</v>
      </c>
      <c r="E315" s="108">
        <v>39768</v>
      </c>
      <c r="F315" s="108">
        <v>0</v>
      </c>
      <c r="G315" s="174">
        <f>212634-1941-851-35</f>
        <v>209807</v>
      </c>
      <c r="H315" s="174">
        <v>0</v>
      </c>
      <c r="I315" s="108">
        <f>118238+1941-J315</f>
        <v>106734</v>
      </c>
      <c r="J315" s="108">
        <v>13445</v>
      </c>
      <c r="K315" s="108">
        <f>481690+851</f>
        <v>482541</v>
      </c>
      <c r="L315" s="108">
        <v>0</v>
      </c>
      <c r="M315" s="108">
        <v>0</v>
      </c>
      <c r="N315" s="2">
        <f t="shared" si="223"/>
        <v>602720</v>
      </c>
      <c r="R315" s="2">
        <f t="shared" si="224"/>
        <v>812527</v>
      </c>
      <c r="T315" s="217">
        <f>61110+35</f>
        <v>61145</v>
      </c>
      <c r="U315" s="217">
        <v>68384</v>
      </c>
      <c r="V315" s="217">
        <v>1016</v>
      </c>
      <c r="W315" s="217">
        <f t="shared" si="238"/>
        <v>130545</v>
      </c>
      <c r="Y315" s="54">
        <f t="shared" si="225"/>
        <v>943072</v>
      </c>
      <c r="Z315" s="2">
        <f t="shared" si="236"/>
        <v>663865</v>
      </c>
    </row>
    <row r="316" spans="1:26" s="108" customFormat="1" ht="12.75" hidden="1" customHeight="1">
      <c r="A316" s="124"/>
      <c r="B316" s="131"/>
      <c r="C316" s="174"/>
      <c r="G316" s="174"/>
      <c r="H316" s="174"/>
      <c r="N316" s="2"/>
      <c r="R316" s="2"/>
      <c r="T316" s="217"/>
      <c r="U316" s="217"/>
      <c r="V316" s="217"/>
      <c r="W316" s="217"/>
      <c r="Y316" s="54"/>
      <c r="Z316" s="2"/>
    </row>
    <row r="317" spans="1:26" s="108" customFormat="1" ht="12.75" hidden="1" customHeight="1">
      <c r="A317" s="124" t="s">
        <v>423</v>
      </c>
      <c r="B317" s="131"/>
      <c r="C317" s="174">
        <f t="shared" ref="C317:C328" si="239">IF((G317-D317-E317)&gt;C137,C137,G317-D317-E317)</f>
        <v>154204</v>
      </c>
      <c r="D317" s="108">
        <v>12581</v>
      </c>
      <c r="E317" s="108">
        <v>39226</v>
      </c>
      <c r="F317" s="108">
        <v>0</v>
      </c>
      <c r="G317" s="174">
        <f>212460-1958-873-33</f>
        <v>209596</v>
      </c>
      <c r="H317" s="174">
        <v>0</v>
      </c>
      <c r="I317" s="108">
        <f>117604+1958-J317</f>
        <v>106120</v>
      </c>
      <c r="J317" s="108">
        <v>13442</v>
      </c>
      <c r="K317" s="108">
        <f>481394+876</f>
        <v>482270</v>
      </c>
      <c r="L317" s="108">
        <v>0</v>
      </c>
      <c r="M317" s="108">
        <v>0</v>
      </c>
      <c r="N317" s="2">
        <f t="shared" si="223"/>
        <v>601832</v>
      </c>
      <c r="R317" s="2">
        <f t="shared" si="224"/>
        <v>811428</v>
      </c>
      <c r="T317" s="217">
        <f>60969+33</f>
        <v>61002</v>
      </c>
      <c r="U317" s="217">
        <v>68061</v>
      </c>
      <c r="V317" s="217">
        <v>992</v>
      </c>
      <c r="W317" s="217">
        <f t="shared" si="238"/>
        <v>130055</v>
      </c>
      <c r="Y317" s="54">
        <f t="shared" si="225"/>
        <v>941483</v>
      </c>
      <c r="Z317" s="2">
        <f t="shared" si="236"/>
        <v>662834</v>
      </c>
    </row>
    <row r="318" spans="1:26" s="108" customFormat="1" ht="12.75" hidden="1" customHeight="1">
      <c r="A318" s="124" t="s">
        <v>424</v>
      </c>
      <c r="B318" s="131"/>
      <c r="C318" s="174">
        <f t="shared" si="239"/>
        <v>150069</v>
      </c>
      <c r="D318" s="108">
        <v>19577</v>
      </c>
      <c r="E318" s="108">
        <v>40097</v>
      </c>
      <c r="F318" s="108">
        <v>0</v>
      </c>
      <c r="G318" s="174">
        <f>212601-(1958+868+32)</f>
        <v>209743</v>
      </c>
      <c r="H318" s="174">
        <v>0</v>
      </c>
      <c r="I318" s="108">
        <f>85246+34407+1958-J318</f>
        <v>107847</v>
      </c>
      <c r="J318" s="108">
        <v>13764</v>
      </c>
      <c r="K318" s="108">
        <f>369645+114856+868</f>
        <v>485369</v>
      </c>
      <c r="L318" s="108">
        <v>0</v>
      </c>
      <c r="M318" s="108">
        <v>0</v>
      </c>
      <c r="N318" s="2">
        <f t="shared" si="223"/>
        <v>606980</v>
      </c>
      <c r="R318" s="2">
        <f t="shared" si="224"/>
        <v>816723</v>
      </c>
      <c r="T318" s="217">
        <f>48947+12140+32</f>
        <v>61119</v>
      </c>
      <c r="U318" s="217">
        <f>55546+12263</f>
        <v>67809</v>
      </c>
      <c r="V318" s="217">
        <f>757+236</f>
        <v>993</v>
      </c>
      <c r="W318" s="217">
        <f t="shared" ref="W318:W326" si="240">SUM(T318:V318)</f>
        <v>129921</v>
      </c>
      <c r="Y318" s="54">
        <f t="shared" si="225"/>
        <v>946644</v>
      </c>
      <c r="Z318" s="2">
        <f t="shared" ref="Z318" si="241">N318+T318</f>
        <v>668099</v>
      </c>
    </row>
    <row r="319" spans="1:26" s="108" customFormat="1" ht="12.75" hidden="1" customHeight="1">
      <c r="A319" s="124" t="s">
        <v>432</v>
      </c>
      <c r="B319" s="131"/>
      <c r="C319" s="174">
        <f t="shared" si="239"/>
        <v>149378</v>
      </c>
      <c r="D319" s="108">
        <v>19789</v>
      </c>
      <c r="E319" s="108">
        <v>40410</v>
      </c>
      <c r="F319" s="108">
        <v>0</v>
      </c>
      <c r="G319" s="174">
        <f>212433-(1948+875+33)</f>
        <v>209577</v>
      </c>
      <c r="H319" s="174">
        <v>0</v>
      </c>
      <c r="I319" s="108">
        <f>53558+68627+1948-J319</f>
        <v>109917</v>
      </c>
      <c r="J319" s="108">
        <v>14216</v>
      </c>
      <c r="K319" s="108">
        <f>248664+240064+875</f>
        <v>489603</v>
      </c>
      <c r="L319" s="108">
        <v>0</v>
      </c>
      <c r="M319" s="108">
        <v>0</v>
      </c>
      <c r="N319" s="2">
        <f t="shared" si="223"/>
        <v>613736</v>
      </c>
      <c r="R319" s="2">
        <f t="shared" si="224"/>
        <v>823313</v>
      </c>
      <c r="T319" s="217">
        <f>35358+26064+33</f>
        <v>61455</v>
      </c>
      <c r="U319" s="217">
        <f>40774+27606</f>
        <v>68380</v>
      </c>
      <c r="V319" s="217">
        <f>552+469</f>
        <v>1021</v>
      </c>
      <c r="W319" s="217">
        <f t="shared" si="240"/>
        <v>130856</v>
      </c>
      <c r="Y319" s="54">
        <f t="shared" si="225"/>
        <v>954169</v>
      </c>
      <c r="Z319" s="2">
        <f t="shared" ref="Z319" si="242">N319+T319</f>
        <v>675191</v>
      </c>
    </row>
    <row r="320" spans="1:26" s="108" customFormat="1" ht="12.75" hidden="1" customHeight="1">
      <c r="A320" s="124" t="s">
        <v>433</v>
      </c>
      <c r="B320" s="131"/>
      <c r="C320" s="174">
        <f t="shared" si="239"/>
        <v>149606</v>
      </c>
      <c r="D320" s="108">
        <v>19957</v>
      </c>
      <c r="E320" s="108">
        <v>40141</v>
      </c>
      <c r="F320" s="108">
        <v>0</v>
      </c>
      <c r="G320" s="174">
        <f>212513-(1962+808+39)</f>
        <v>209704</v>
      </c>
      <c r="H320" s="174">
        <v>0</v>
      </c>
      <c r="I320" s="108">
        <f>(34225+89322+1962)-J320</f>
        <v>111397</v>
      </c>
      <c r="J320" s="108">
        <f>3788+10324</f>
        <v>14112</v>
      </c>
      <c r="K320" s="108">
        <f>132076+360915+808</f>
        <v>493799</v>
      </c>
      <c r="L320" s="108">
        <v>0</v>
      </c>
      <c r="M320" s="108">
        <v>0</v>
      </c>
      <c r="N320" s="2">
        <f t="shared" si="223"/>
        <v>619308</v>
      </c>
      <c r="R320" s="2">
        <f t="shared" si="224"/>
        <v>829012</v>
      </c>
      <c r="T320" s="217">
        <f>15305+46709+39</f>
        <v>62053</v>
      </c>
      <c r="U320" s="217">
        <f>16259+52619</f>
        <v>68878</v>
      </c>
      <c r="V320" s="217">
        <f>226+814</f>
        <v>1040</v>
      </c>
      <c r="W320" s="217">
        <f t="shared" si="240"/>
        <v>131971</v>
      </c>
      <c r="Y320" s="54">
        <f t="shared" si="225"/>
        <v>960983</v>
      </c>
      <c r="Z320" s="2">
        <f t="shared" ref="Z320" si="243">N320+T320</f>
        <v>681361</v>
      </c>
    </row>
    <row r="321" spans="1:26" s="108" customFormat="1" ht="12.75" hidden="1" customHeight="1">
      <c r="A321" s="124" t="s">
        <v>434</v>
      </c>
      <c r="B321" s="131"/>
      <c r="C321" s="174">
        <f t="shared" si="239"/>
        <v>149253</v>
      </c>
      <c r="D321" s="108">
        <v>20206</v>
      </c>
      <c r="E321" s="108">
        <v>40480</v>
      </c>
      <c r="F321" s="108">
        <v>0</v>
      </c>
      <c r="G321" s="174">
        <f>212737-(1933+821+44)</f>
        <v>209939</v>
      </c>
      <c r="H321" s="174">
        <v>0</v>
      </c>
      <c r="I321" s="108">
        <f>(20316+104734+1933)-J321</f>
        <v>112788</v>
      </c>
      <c r="J321" s="108">
        <f>2104+11998+93</f>
        <v>14195</v>
      </c>
      <c r="K321" s="108">
        <f>76673+420655+821</f>
        <v>498149</v>
      </c>
      <c r="L321" s="108">
        <v>0</v>
      </c>
      <c r="M321" s="108">
        <v>0</v>
      </c>
      <c r="N321" s="2">
        <f t="shared" si="223"/>
        <v>625132</v>
      </c>
      <c r="R321" s="2">
        <f t="shared" si="224"/>
        <v>835071</v>
      </c>
      <c r="T321" s="217">
        <f>8056+54673+44</f>
        <v>62773</v>
      </c>
      <c r="U321" s="217">
        <f>8511+60887</f>
        <v>69398</v>
      </c>
      <c r="V321" s="217">
        <f>104+938</f>
        <v>1042</v>
      </c>
      <c r="W321" s="217">
        <f t="shared" si="240"/>
        <v>133213</v>
      </c>
      <c r="Y321" s="54">
        <f t="shared" si="225"/>
        <v>968284</v>
      </c>
      <c r="Z321" s="2">
        <f t="shared" ref="Z321" si="244">N321+T321</f>
        <v>687905</v>
      </c>
    </row>
    <row r="322" spans="1:26" s="108" customFormat="1" ht="12.75" hidden="1" customHeight="1">
      <c r="A322" s="124" t="s">
        <v>435</v>
      </c>
      <c r="B322" s="131"/>
      <c r="C322" s="174">
        <f t="shared" si="239"/>
        <v>144416</v>
      </c>
      <c r="D322" s="108">
        <v>20594</v>
      </c>
      <c r="E322" s="108">
        <v>40883</v>
      </c>
      <c r="F322" s="108">
        <v>0</v>
      </c>
      <c r="G322" s="174">
        <f>208726-(2003+46+784)</f>
        <v>205893</v>
      </c>
      <c r="H322" s="174">
        <v>0</v>
      </c>
      <c r="I322" s="108">
        <f>(126579+2003)-J322</f>
        <v>114253</v>
      </c>
      <c r="J322" s="108">
        <f>105+14224</f>
        <v>14329</v>
      </c>
      <c r="K322" s="108">
        <f>500403+784</f>
        <v>501187</v>
      </c>
      <c r="L322" s="108">
        <v>0</v>
      </c>
      <c r="M322" s="108">
        <v>0</v>
      </c>
      <c r="N322" s="2">
        <f t="shared" si="223"/>
        <v>629769</v>
      </c>
      <c r="R322" s="2">
        <f t="shared" si="224"/>
        <v>835662</v>
      </c>
      <c r="T322" s="217">
        <f>46+63172</f>
        <v>63218</v>
      </c>
      <c r="U322" s="217">
        <f>69525</f>
        <v>69525</v>
      </c>
      <c r="V322" s="217">
        <v>1053</v>
      </c>
      <c r="W322" s="217">
        <f t="shared" si="240"/>
        <v>133796</v>
      </c>
      <c r="Y322" s="54">
        <f t="shared" si="225"/>
        <v>969458</v>
      </c>
      <c r="Z322" s="2">
        <f t="shared" ref="Z322:Z323" si="245">N322+T322</f>
        <v>692987</v>
      </c>
    </row>
    <row r="323" spans="1:26" s="108" customFormat="1" ht="12.75" hidden="1" customHeight="1">
      <c r="A323" s="124" t="s">
        <v>444</v>
      </c>
      <c r="B323" s="131"/>
      <c r="C323" s="174">
        <f t="shared" si="239"/>
        <v>151377</v>
      </c>
      <c r="D323" s="108">
        <v>20825</v>
      </c>
      <c r="E323" s="108">
        <v>41730</v>
      </c>
      <c r="F323" s="108">
        <v>0</v>
      </c>
      <c r="G323" s="174">
        <f>239147-(2173+51+831+22160)</f>
        <v>213932</v>
      </c>
      <c r="H323" s="174">
        <v>0</v>
      </c>
      <c r="I323" s="108">
        <f>(121478+2173)-J323</f>
        <v>109443</v>
      </c>
      <c r="J323" s="108">
        <f>14087+121</f>
        <v>14208</v>
      </c>
      <c r="K323" s="108">
        <f>501381+831</f>
        <v>502212</v>
      </c>
      <c r="L323" s="108">
        <v>0</v>
      </c>
      <c r="M323" s="108">
        <v>0</v>
      </c>
      <c r="N323" s="2">
        <f t="shared" si="223"/>
        <v>625863</v>
      </c>
      <c r="O323" s="108">
        <f>932+41231+444+28110</f>
        <v>70717</v>
      </c>
      <c r="P323" s="108">
        <f>20220+64792+564+20904</f>
        <v>106480</v>
      </c>
      <c r="Q323" s="108">
        <f t="shared" ref="Q323:Q333" si="246">SUM(O323:P323)</f>
        <v>177197</v>
      </c>
      <c r="R323" s="2">
        <f t="shared" si="224"/>
        <v>1016992</v>
      </c>
      <c r="T323" s="217">
        <f>64010+51</f>
        <v>64061</v>
      </c>
      <c r="U323" s="217">
        <f>70990</f>
        <v>70990</v>
      </c>
      <c r="V323" s="217">
        <v>1164</v>
      </c>
      <c r="W323" s="217">
        <f t="shared" si="240"/>
        <v>136215</v>
      </c>
      <c r="Y323" s="54">
        <f t="shared" si="225"/>
        <v>1153207</v>
      </c>
      <c r="Z323" s="2">
        <f t="shared" si="245"/>
        <v>689924</v>
      </c>
    </row>
    <row r="324" spans="1:26" s="108" customFormat="1" ht="12.75" hidden="1" customHeight="1">
      <c r="A324" s="124" t="s">
        <v>451</v>
      </c>
      <c r="B324" s="131"/>
      <c r="C324" s="174">
        <f t="shared" si="239"/>
        <v>150247</v>
      </c>
      <c r="D324" s="108">
        <v>21268</v>
      </c>
      <c r="E324" s="108">
        <v>41991</v>
      </c>
      <c r="F324" s="108">
        <v>0</v>
      </c>
      <c r="G324" s="174">
        <f>240415-(23860+2188+50+811)</f>
        <v>213506</v>
      </c>
      <c r="H324" s="174">
        <v>0</v>
      </c>
      <c r="I324" s="108">
        <f>119763+2188-J324</f>
        <v>107880</v>
      </c>
      <c r="J324" s="108">
        <f>13960+111</f>
        <v>14071</v>
      </c>
      <c r="K324" s="108">
        <f>503302+811</f>
        <v>504113</v>
      </c>
      <c r="L324" s="108">
        <v>0</v>
      </c>
      <c r="M324" s="108">
        <v>0</v>
      </c>
      <c r="N324" s="2">
        <f t="shared" si="223"/>
        <v>626064</v>
      </c>
      <c r="O324" s="108">
        <f>1112+46782+504+32428</f>
        <v>80826</v>
      </c>
      <c r="P324" s="108">
        <f>21408+81636+836+25874</f>
        <v>129754</v>
      </c>
      <c r="Q324" s="108">
        <f t="shared" si="246"/>
        <v>210580</v>
      </c>
      <c r="R324" s="2">
        <f t="shared" si="224"/>
        <v>1050150</v>
      </c>
      <c r="T324" s="217">
        <f>64733+50</f>
        <v>64783</v>
      </c>
      <c r="U324" s="217">
        <f>71450</f>
        <v>71450</v>
      </c>
      <c r="V324" s="217">
        <v>1189</v>
      </c>
      <c r="W324" s="217">
        <f t="shared" si="240"/>
        <v>137422</v>
      </c>
      <c r="Y324" s="54">
        <f t="shared" ref="Y324:Y325" si="247">W324+R324</f>
        <v>1187572</v>
      </c>
      <c r="Z324" s="2">
        <f t="shared" ref="Z324:Z325" si="248">N324+T324</f>
        <v>690847</v>
      </c>
    </row>
    <row r="325" spans="1:26" s="108" customFormat="1" ht="12.75" hidden="1" customHeight="1">
      <c r="A325" s="124" t="s">
        <v>452</v>
      </c>
      <c r="B325" s="131"/>
      <c r="C325" s="174">
        <f t="shared" si="239"/>
        <v>149303</v>
      </c>
      <c r="D325" s="108">
        <v>21575</v>
      </c>
      <c r="E325" s="108">
        <v>42256</v>
      </c>
      <c r="F325" s="108">
        <v>0</v>
      </c>
      <c r="G325" s="174">
        <f>240896-(24730+2186+49+797)</f>
        <v>213134</v>
      </c>
      <c r="H325" s="174">
        <v>0</v>
      </c>
      <c r="I325" s="108">
        <f>117744+2186-J325</f>
        <v>106117</v>
      </c>
      <c r="J325" s="108">
        <f>13688+125</f>
        <v>13813</v>
      </c>
      <c r="K325" s="108">
        <f>503377+797</f>
        <v>504174</v>
      </c>
      <c r="L325" s="108">
        <v>0</v>
      </c>
      <c r="M325" s="108">
        <v>0</v>
      </c>
      <c r="N325" s="2">
        <f t="shared" si="223"/>
        <v>624104</v>
      </c>
      <c r="O325" s="108">
        <f>1168+49861+540+34253</f>
        <v>85822</v>
      </c>
      <c r="P325" s="108">
        <f>21949+90926+1073+27367</f>
        <v>141315</v>
      </c>
      <c r="Q325" s="108">
        <f t="shared" si="246"/>
        <v>227137</v>
      </c>
      <c r="R325" s="2">
        <f t="shared" ref="R325:R326" si="249">G325+N325+Q325</f>
        <v>1064375</v>
      </c>
      <c r="T325" s="217">
        <f>49+64672</f>
        <v>64721</v>
      </c>
      <c r="U325" s="217">
        <f>71131</f>
        <v>71131</v>
      </c>
      <c r="V325" s="217">
        <v>1195</v>
      </c>
      <c r="W325" s="217">
        <f t="shared" si="240"/>
        <v>137047</v>
      </c>
      <c r="Y325" s="54">
        <f t="shared" si="247"/>
        <v>1201422</v>
      </c>
      <c r="Z325" s="2">
        <f t="shared" si="248"/>
        <v>688825</v>
      </c>
    </row>
    <row r="326" spans="1:26" s="108" customFormat="1" ht="12.75" hidden="1" customHeight="1">
      <c r="A326" s="124" t="s">
        <v>453</v>
      </c>
      <c r="B326" s="131"/>
      <c r="C326" s="174">
        <f t="shared" si="239"/>
        <v>148833</v>
      </c>
      <c r="D326" s="108">
        <v>21925</v>
      </c>
      <c r="E326" s="108">
        <v>42615</v>
      </c>
      <c r="F326" s="108">
        <v>0</v>
      </c>
      <c r="G326" s="174">
        <f>241565-(25157+2187+49+799)</f>
        <v>213373</v>
      </c>
      <c r="H326" s="174">
        <v>0</v>
      </c>
      <c r="I326" s="108">
        <f>116514+2187-J326</f>
        <v>105141</v>
      </c>
      <c r="J326" s="108">
        <f>13438+122</f>
        <v>13560</v>
      </c>
      <c r="K326" s="108">
        <f>504498+799</f>
        <v>505297</v>
      </c>
      <c r="L326" s="108">
        <v>0</v>
      </c>
      <c r="M326" s="108">
        <v>0</v>
      </c>
      <c r="N326" s="2">
        <f t="shared" si="223"/>
        <v>623998</v>
      </c>
      <c r="O326" s="108">
        <f>1163+52484+516+35815</f>
        <v>89978</v>
      </c>
      <c r="P326" s="108">
        <f>22251+102161+1227+28898</f>
        <v>154537</v>
      </c>
      <c r="Q326" s="108">
        <f t="shared" si="246"/>
        <v>244515</v>
      </c>
      <c r="R326" s="2">
        <f t="shared" si="249"/>
        <v>1081886</v>
      </c>
      <c r="T326" s="217">
        <f>64852+49</f>
        <v>64901</v>
      </c>
      <c r="U326" s="217">
        <v>70593</v>
      </c>
      <c r="V326" s="217">
        <v>1181</v>
      </c>
      <c r="W326" s="217">
        <f t="shared" si="240"/>
        <v>136675</v>
      </c>
      <c r="Y326" s="54">
        <f t="shared" ref="Y326" si="250">W326+R326</f>
        <v>1218561</v>
      </c>
      <c r="Z326" s="2">
        <f t="shared" ref="Z326" si="251">N326+T326</f>
        <v>688899</v>
      </c>
    </row>
    <row r="327" spans="1:26" s="108" customFormat="1" ht="12.75" hidden="1" customHeight="1">
      <c r="A327" s="124" t="s">
        <v>454</v>
      </c>
      <c r="B327" s="131"/>
      <c r="C327" s="174">
        <f t="shared" si="239"/>
        <v>148355</v>
      </c>
      <c r="D327" s="108">
        <v>22233</v>
      </c>
      <c r="E327" s="108">
        <v>42955</v>
      </c>
      <c r="F327" s="108">
        <v>0</v>
      </c>
      <c r="G327" s="174">
        <f>242423-(25866+2181+45+788)</f>
        <v>213543</v>
      </c>
      <c r="H327" s="174">
        <v>0</v>
      </c>
      <c r="I327" s="108">
        <f>115684+2181-J327</f>
        <v>104170</v>
      </c>
      <c r="J327" s="108">
        <v>13695</v>
      </c>
      <c r="K327" s="174">
        <f>507039+788</f>
        <v>507827</v>
      </c>
      <c r="L327" s="108">
        <v>0</v>
      </c>
      <c r="M327" s="108">
        <v>0</v>
      </c>
      <c r="N327" s="2">
        <f t="shared" si="223"/>
        <v>625692</v>
      </c>
      <c r="O327" s="108">
        <f>1186+55287+541+37539</f>
        <v>94553</v>
      </c>
      <c r="P327" s="108">
        <f>22713+112427+1426+30362</f>
        <v>166928</v>
      </c>
      <c r="Q327" s="108">
        <f t="shared" si="246"/>
        <v>261481</v>
      </c>
      <c r="R327" s="2">
        <f t="shared" ref="R327" si="252">G327+N327+Q327</f>
        <v>1100716</v>
      </c>
      <c r="T327" s="217">
        <f>65185+45</f>
        <v>65230</v>
      </c>
      <c r="U327" s="217">
        <f>70939</f>
        <v>70939</v>
      </c>
      <c r="V327" s="217">
        <v>1202</v>
      </c>
      <c r="W327" s="217">
        <f t="shared" ref="W327:W331" si="253">SUM(T327:V327)</f>
        <v>137371</v>
      </c>
      <c r="Y327" s="54">
        <f t="shared" ref="Y327:Y328" si="254">W327+R327</f>
        <v>1238087</v>
      </c>
      <c r="Z327" s="2">
        <f t="shared" ref="Z327:Z328" si="255">N327+T327</f>
        <v>690922</v>
      </c>
    </row>
    <row r="328" spans="1:26" s="108" customFormat="1" ht="12.75" hidden="1" customHeight="1">
      <c r="A328" s="124" t="s">
        <v>456</v>
      </c>
      <c r="B328" s="131"/>
      <c r="C328" s="174">
        <f t="shared" si="239"/>
        <v>147887</v>
      </c>
      <c r="D328" s="108">
        <v>22516</v>
      </c>
      <c r="E328" s="108">
        <v>43330</v>
      </c>
      <c r="F328" s="108">
        <v>0</v>
      </c>
      <c r="G328" s="174">
        <f>243429-(26681+2193+48+774)</f>
        <v>213733</v>
      </c>
      <c r="H328" s="174">
        <v>0</v>
      </c>
      <c r="I328" s="108">
        <f>114823+2193-J328</f>
        <v>103219</v>
      </c>
      <c r="J328" s="108">
        <f>13667+130</f>
        <v>13797</v>
      </c>
      <c r="K328" s="174">
        <f>508828+774</f>
        <v>509602</v>
      </c>
      <c r="L328" s="108">
        <v>0</v>
      </c>
      <c r="M328" s="108">
        <v>0</v>
      </c>
      <c r="N328" s="2">
        <f t="shared" si="223"/>
        <v>626618</v>
      </c>
      <c r="O328" s="108">
        <f>1259+57468+563+38692</f>
        <v>97982</v>
      </c>
      <c r="P328" s="108">
        <f>23249+119881+1610+31413</f>
        <v>176153</v>
      </c>
      <c r="Q328" s="108">
        <f t="shared" si="246"/>
        <v>274135</v>
      </c>
      <c r="R328" s="2">
        <f t="shared" ref="R328:R333" si="256">G328+N328+Q328</f>
        <v>1114486</v>
      </c>
      <c r="T328" s="217">
        <f>65543+48</f>
        <v>65591</v>
      </c>
      <c r="U328" s="217">
        <f>71019</f>
        <v>71019</v>
      </c>
      <c r="V328" s="217">
        <v>1256</v>
      </c>
      <c r="W328" s="217">
        <f t="shared" si="253"/>
        <v>137866</v>
      </c>
      <c r="Y328" s="54">
        <f t="shared" si="254"/>
        <v>1252352</v>
      </c>
      <c r="Z328" s="2">
        <f t="shared" si="255"/>
        <v>692209</v>
      </c>
    </row>
    <row r="329" spans="1:26" s="108" customFormat="1" ht="12.75" hidden="1" customHeight="1">
      <c r="A329" s="124"/>
      <c r="B329" s="131"/>
      <c r="C329" s="174"/>
      <c r="G329" s="174"/>
      <c r="H329" s="174"/>
      <c r="K329" s="174"/>
      <c r="N329" s="2"/>
      <c r="R329" s="2"/>
      <c r="T329" s="217"/>
      <c r="U329" s="217"/>
      <c r="V329" s="217"/>
      <c r="W329" s="217"/>
      <c r="Y329" s="54"/>
      <c r="Z329" s="2"/>
    </row>
    <row r="330" spans="1:26" s="108" customFormat="1" ht="12.75" hidden="1" customHeight="1">
      <c r="A330" s="124" t="s">
        <v>457</v>
      </c>
      <c r="B330" s="131"/>
      <c r="C330" s="174">
        <f t="shared" ref="C330:C341" si="257">IF((G330-D330-E330)&gt;C150,C150,G330-D330-E330)</f>
        <v>147214</v>
      </c>
      <c r="D330" s="108">
        <v>22801</v>
      </c>
      <c r="E330" s="108">
        <v>43623</v>
      </c>
      <c r="F330" s="108">
        <v>0</v>
      </c>
      <c r="G330" s="174">
        <f>244548-(27919+2176+52+763)</f>
        <v>213638</v>
      </c>
      <c r="H330" s="174">
        <v>0</v>
      </c>
      <c r="I330" s="108">
        <f>114294+2176-J330</f>
        <v>102779</v>
      </c>
      <c r="J330" s="108">
        <f>13565+126</f>
        <v>13691</v>
      </c>
      <c r="K330" s="174">
        <f>509258+763</f>
        <v>510021</v>
      </c>
      <c r="L330" s="108">
        <v>0</v>
      </c>
      <c r="M330" s="108">
        <v>0</v>
      </c>
      <c r="N330" s="2">
        <f t="shared" si="223"/>
        <v>626491</v>
      </c>
      <c r="O330" s="108">
        <f>1396+58367+693+39507</f>
        <v>99963</v>
      </c>
      <c r="P330" s="108">
        <f>23944+125462+1886+32314</f>
        <v>183606</v>
      </c>
      <c r="Q330" s="108">
        <f t="shared" si="246"/>
        <v>283569</v>
      </c>
      <c r="R330" s="2">
        <f t="shared" si="256"/>
        <v>1123698</v>
      </c>
      <c r="T330" s="217">
        <f>65816+52</f>
        <v>65868</v>
      </c>
      <c r="U330" s="217">
        <v>71366</v>
      </c>
      <c r="V330" s="217">
        <v>1314</v>
      </c>
      <c r="W330" s="217">
        <f t="shared" si="253"/>
        <v>138548</v>
      </c>
      <c r="Y330" s="54">
        <f t="shared" ref="Y330" si="258">W330+R330</f>
        <v>1262246</v>
      </c>
      <c r="Z330" s="2">
        <f t="shared" ref="Z330" si="259">N330+T330</f>
        <v>692359</v>
      </c>
    </row>
    <row r="331" spans="1:26" s="108" customFormat="1" ht="12.75" hidden="1" customHeight="1">
      <c r="A331" s="124" t="s">
        <v>458</v>
      </c>
      <c r="B331" s="131"/>
      <c r="C331" s="174">
        <f t="shared" si="257"/>
        <v>146238</v>
      </c>
      <c r="D331" s="108">
        <v>22891</v>
      </c>
      <c r="E331" s="108">
        <v>44043</v>
      </c>
      <c r="F331" s="108">
        <v>0</v>
      </c>
      <c r="G331" s="174">
        <f>244862-(28734+2156+52+748)</f>
        <v>213172</v>
      </c>
      <c r="H331" s="174">
        <v>0</v>
      </c>
      <c r="I331" s="174">
        <f>114027+2156-J331</f>
        <v>102700</v>
      </c>
      <c r="J331" s="108">
        <f>13370+113</f>
        <v>13483</v>
      </c>
      <c r="K331" s="174">
        <f>508438+748</f>
        <v>509186</v>
      </c>
      <c r="L331" s="108">
        <v>0</v>
      </c>
      <c r="M331" s="108">
        <v>0</v>
      </c>
      <c r="N331" s="2">
        <f t="shared" si="223"/>
        <v>625369</v>
      </c>
      <c r="O331" s="108">
        <f>1566+59081+753+40194</f>
        <v>101594</v>
      </c>
      <c r="P331" s="108">
        <f>24300+130932+2115+33173</f>
        <v>190520</v>
      </c>
      <c r="Q331" s="108">
        <f t="shared" si="246"/>
        <v>292114</v>
      </c>
      <c r="R331" s="2">
        <f t="shared" si="256"/>
        <v>1130655</v>
      </c>
      <c r="T331" s="217">
        <f>65854+52</f>
        <v>65906</v>
      </c>
      <c r="U331" s="217">
        <v>71794</v>
      </c>
      <c r="V331" s="217">
        <v>1317</v>
      </c>
      <c r="W331" s="217">
        <f t="shared" si="253"/>
        <v>139017</v>
      </c>
      <c r="Y331" s="54">
        <f t="shared" ref="Y331" si="260">W331+R331</f>
        <v>1269672</v>
      </c>
      <c r="Z331" s="2">
        <f t="shared" ref="Z331" si="261">N331+T331</f>
        <v>691275</v>
      </c>
    </row>
    <row r="332" spans="1:26" s="108" customFormat="1" ht="12.75" hidden="1" customHeight="1">
      <c r="A332" s="124" t="s">
        <v>459</v>
      </c>
      <c r="B332" s="131"/>
      <c r="C332" s="174">
        <f t="shared" si="257"/>
        <v>145651</v>
      </c>
      <c r="D332" s="108">
        <v>23116</v>
      </c>
      <c r="E332" s="108">
        <v>44541</v>
      </c>
      <c r="F332" s="108">
        <v>0</v>
      </c>
      <c r="G332" s="174">
        <f>242995-(26748+2141+49+749)</f>
        <v>213308</v>
      </c>
      <c r="H332" s="174">
        <v>0</v>
      </c>
      <c r="I332" s="174">
        <f>114260+2141-J332</f>
        <v>102808</v>
      </c>
      <c r="J332" s="108">
        <f>13479+114</f>
        <v>13593</v>
      </c>
      <c r="K332" s="174">
        <f>507575+749</f>
        <v>508324</v>
      </c>
      <c r="L332" s="108">
        <v>0</v>
      </c>
      <c r="M332" s="108">
        <v>0</v>
      </c>
      <c r="N332" s="2">
        <f t="shared" si="223"/>
        <v>624725</v>
      </c>
      <c r="O332" s="108">
        <f>1534+59690+713+40985</f>
        <v>102922</v>
      </c>
      <c r="P332" s="108">
        <f>22445+138825+2056+34348</f>
        <v>197674</v>
      </c>
      <c r="Q332" s="108">
        <f t="shared" si="246"/>
        <v>300596</v>
      </c>
      <c r="R332" s="2">
        <f t="shared" si="256"/>
        <v>1138629</v>
      </c>
      <c r="T332" s="217">
        <f>65825+49</f>
        <v>65874</v>
      </c>
      <c r="U332" s="217">
        <f>72626</f>
        <v>72626</v>
      </c>
      <c r="V332" s="217">
        <v>1335</v>
      </c>
      <c r="W332" s="217">
        <f t="shared" ref="W332:W337" si="262">SUM(T332:V332)</f>
        <v>139835</v>
      </c>
      <c r="Y332" s="54">
        <f t="shared" ref="Y332" si="263">W332+R332</f>
        <v>1278464</v>
      </c>
      <c r="Z332" s="2">
        <f t="shared" ref="Z332" si="264">N332+T332</f>
        <v>690599</v>
      </c>
    </row>
    <row r="333" spans="1:26" s="108" customFormat="1" ht="12.75" hidden="1" customHeight="1">
      <c r="A333" s="124" t="s">
        <v>460</v>
      </c>
      <c r="B333" s="131"/>
      <c r="C333" s="174">
        <f t="shared" si="257"/>
        <v>145675</v>
      </c>
      <c r="D333" s="108">
        <v>23200</v>
      </c>
      <c r="E333" s="108">
        <v>44883</v>
      </c>
      <c r="F333" s="108">
        <v>0</v>
      </c>
      <c r="G333" s="174">
        <f>243395-(26672+2171+51+743)</f>
        <v>213758</v>
      </c>
      <c r="H333" s="174">
        <v>0</v>
      </c>
      <c r="I333" s="174">
        <f>115265+2171-J333</f>
        <v>104084</v>
      </c>
      <c r="J333" s="108">
        <f>13240+112</f>
        <v>13352</v>
      </c>
      <c r="K333" s="174">
        <f>509549+743</f>
        <v>510292</v>
      </c>
      <c r="L333" s="108">
        <v>0</v>
      </c>
      <c r="M333" s="108">
        <v>0</v>
      </c>
      <c r="N333" s="2">
        <f t="shared" si="223"/>
        <v>627728</v>
      </c>
      <c r="O333" s="108">
        <f>1601+61103+729+41960</f>
        <v>105393</v>
      </c>
      <c r="P333" s="108">
        <f>22241+145299+2101+35029</f>
        <v>204670</v>
      </c>
      <c r="Q333" s="108">
        <f t="shared" si="246"/>
        <v>310063</v>
      </c>
      <c r="R333" s="2">
        <f t="shared" si="256"/>
        <v>1151549</v>
      </c>
      <c r="T333" s="217">
        <f>66379+51</f>
        <v>66430</v>
      </c>
      <c r="U333" s="217">
        <v>73483</v>
      </c>
      <c r="V333" s="217">
        <v>1375</v>
      </c>
      <c r="W333" s="217">
        <f t="shared" si="262"/>
        <v>141288</v>
      </c>
      <c r="Y333" s="54">
        <f t="shared" ref="Y333" si="265">W333+R333</f>
        <v>1292837</v>
      </c>
      <c r="Z333" s="2">
        <f t="shared" ref="Z333" si="266">N333+T333</f>
        <v>694158</v>
      </c>
    </row>
    <row r="334" spans="1:26" s="108" customFormat="1" ht="12.75" hidden="1" customHeight="1">
      <c r="A334" s="124" t="s">
        <v>461</v>
      </c>
      <c r="B334" s="131"/>
      <c r="C334" s="174">
        <f t="shared" si="257"/>
        <v>144508</v>
      </c>
      <c r="D334" s="108">
        <v>23520</v>
      </c>
      <c r="E334" s="108">
        <v>45410</v>
      </c>
      <c r="F334" s="108">
        <v>0</v>
      </c>
      <c r="G334" s="174">
        <f>243505-(27087+2182+49+749)</f>
        <v>213438</v>
      </c>
      <c r="H334" s="174">
        <v>0</v>
      </c>
      <c r="I334" s="174">
        <f>115349+2182-J334</f>
        <v>104543</v>
      </c>
      <c r="J334" s="108">
        <f>12886+102</f>
        <v>12988</v>
      </c>
      <c r="K334" s="174">
        <f>510167+749</f>
        <v>510916</v>
      </c>
      <c r="L334" s="108">
        <v>0</v>
      </c>
      <c r="M334" s="108">
        <v>0</v>
      </c>
      <c r="N334" s="2">
        <f t="shared" ref="N334:N356" si="267">SUM(H334:M334)</f>
        <v>628447</v>
      </c>
      <c r="O334" s="108">
        <f>1684+61498+730+42048</f>
        <v>105960</v>
      </c>
      <c r="P334" s="108">
        <f>22525+147312+2148+32616</f>
        <v>204601</v>
      </c>
      <c r="Q334" s="108">
        <f t="shared" ref="Q334:Q336" si="268">SUM(O334:P334)</f>
        <v>310561</v>
      </c>
      <c r="R334" s="2">
        <f t="shared" ref="R334:R340" si="269">G334+N334+Q334</f>
        <v>1152446</v>
      </c>
      <c r="T334" s="217">
        <f>66522+49</f>
        <v>66571</v>
      </c>
      <c r="U334" s="217">
        <f>73578</f>
        <v>73578</v>
      </c>
      <c r="V334" s="217">
        <v>1362</v>
      </c>
      <c r="W334" s="217">
        <f t="shared" si="262"/>
        <v>141511</v>
      </c>
      <c r="Y334" s="54">
        <f t="shared" ref="Y334" si="270">W334+R334</f>
        <v>1293957</v>
      </c>
      <c r="Z334" s="2">
        <f t="shared" ref="Z334:Z339" si="271">N334+T334</f>
        <v>695018</v>
      </c>
    </row>
    <row r="335" spans="1:26" s="108" customFormat="1" ht="12.75" hidden="1" customHeight="1">
      <c r="A335" s="124" t="s">
        <v>462</v>
      </c>
      <c r="B335" s="131"/>
      <c r="C335" s="174">
        <f t="shared" si="257"/>
        <v>143955</v>
      </c>
      <c r="D335" s="108">
        <v>23783</v>
      </c>
      <c r="E335" s="108">
        <v>45851</v>
      </c>
      <c r="F335" s="108">
        <v>0</v>
      </c>
      <c r="G335" s="174">
        <f>243987-(27406+2185+49+758)</f>
        <v>213589</v>
      </c>
      <c r="H335" s="174">
        <v>0</v>
      </c>
      <c r="I335" s="174">
        <f>115485+2185-J335</f>
        <v>104843</v>
      </c>
      <c r="J335" s="108">
        <f>12722+105</f>
        <v>12827</v>
      </c>
      <c r="K335" s="174">
        <f>512194+758</f>
        <v>512952</v>
      </c>
      <c r="L335" s="108">
        <v>0</v>
      </c>
      <c r="M335" s="108">
        <v>0</v>
      </c>
      <c r="N335" s="2">
        <f t="shared" si="267"/>
        <v>630622</v>
      </c>
      <c r="O335" s="108">
        <f>1692+62763+747+43581</f>
        <v>108783</v>
      </c>
      <c r="P335" s="108">
        <f>22710+152116+2257+34784</f>
        <v>211867</v>
      </c>
      <c r="Q335" s="108">
        <f t="shared" si="268"/>
        <v>320650</v>
      </c>
      <c r="R335" s="2">
        <f t="shared" si="269"/>
        <v>1164861</v>
      </c>
      <c r="T335" s="217">
        <f>69030+49</f>
        <v>69079</v>
      </c>
      <c r="U335" s="217">
        <v>73411</v>
      </c>
      <c r="V335" s="217">
        <v>1453</v>
      </c>
      <c r="W335" s="217">
        <f t="shared" si="262"/>
        <v>143943</v>
      </c>
      <c r="Y335" s="54">
        <f t="shared" ref="Y335:Y336" si="272">W335+R335</f>
        <v>1308804</v>
      </c>
      <c r="Z335" s="2">
        <f t="shared" si="271"/>
        <v>699701</v>
      </c>
    </row>
    <row r="336" spans="1:26" s="108" customFormat="1" ht="12.75" hidden="1" customHeight="1">
      <c r="A336" s="124" t="s">
        <v>463</v>
      </c>
      <c r="B336" s="131"/>
      <c r="C336" s="174">
        <f t="shared" si="257"/>
        <v>143391</v>
      </c>
      <c r="D336" s="108">
        <v>23980</v>
      </c>
      <c r="E336" s="108">
        <v>46313</v>
      </c>
      <c r="F336" s="108">
        <v>0</v>
      </c>
      <c r="G336" s="174">
        <f>245452-(28804+2163+50+751)</f>
        <v>213684</v>
      </c>
      <c r="H336" s="174">
        <v>0</v>
      </c>
      <c r="I336" s="174">
        <f>116103+2163-J336</f>
        <v>105631</v>
      </c>
      <c r="J336" s="108">
        <f>12532+103</f>
        <v>12635</v>
      </c>
      <c r="K336" s="174">
        <f>516914+751</f>
        <v>517665</v>
      </c>
      <c r="L336" s="108">
        <v>0</v>
      </c>
      <c r="M336" s="108">
        <v>0</v>
      </c>
      <c r="N336" s="2">
        <f t="shared" si="267"/>
        <v>635931</v>
      </c>
      <c r="O336" s="108">
        <f>1789+64936+824+46886</f>
        <v>114435</v>
      </c>
      <c r="P336" s="108">
        <f>23632+164869+2559+42381</f>
        <v>233441</v>
      </c>
      <c r="Q336" s="108">
        <f t="shared" si="268"/>
        <v>347876</v>
      </c>
      <c r="R336" s="2">
        <f t="shared" si="269"/>
        <v>1197491</v>
      </c>
      <c r="T336" s="217">
        <f>73696+50</f>
        <v>73746</v>
      </c>
      <c r="U336" s="217">
        <v>73710</v>
      </c>
      <c r="V336" s="217">
        <v>1623</v>
      </c>
      <c r="W336" s="217">
        <f t="shared" si="262"/>
        <v>149079</v>
      </c>
      <c r="Y336" s="54">
        <f t="shared" si="272"/>
        <v>1346570</v>
      </c>
      <c r="Z336" s="2">
        <f t="shared" si="271"/>
        <v>709677</v>
      </c>
    </row>
    <row r="337" spans="1:26" s="108" customFormat="1" ht="12.75" hidden="1" customHeight="1">
      <c r="A337" s="124" t="s">
        <v>464</v>
      </c>
      <c r="B337" s="131"/>
      <c r="C337" s="174">
        <f t="shared" si="257"/>
        <v>141731</v>
      </c>
      <c r="D337" s="108">
        <v>24141</v>
      </c>
      <c r="E337" s="108">
        <v>46589</v>
      </c>
      <c r="F337" s="108">
        <v>0</v>
      </c>
      <c r="G337" s="174">
        <f>244668-(29298+2118+49+742)</f>
        <v>212461</v>
      </c>
      <c r="H337" s="174">
        <v>0</v>
      </c>
      <c r="I337" s="174">
        <f>115603+2118-J337</f>
        <v>105219</v>
      </c>
      <c r="J337" s="108">
        <f>12403+99</f>
        <v>12502</v>
      </c>
      <c r="K337" s="174">
        <f>515789+742</f>
        <v>516531</v>
      </c>
      <c r="L337" s="108">
        <v>0</v>
      </c>
      <c r="M337" s="108">
        <v>0</v>
      </c>
      <c r="N337" s="2">
        <f t="shared" si="267"/>
        <v>634252</v>
      </c>
      <c r="O337" s="108">
        <f>1816+65446+870+47874</f>
        <v>116006</v>
      </c>
      <c r="P337" s="108">
        <f>23917+169177+2695+44094</f>
        <v>239883</v>
      </c>
      <c r="Q337" s="108">
        <f t="shared" ref="Q337" si="273">SUM(O337:P337)</f>
        <v>355889</v>
      </c>
      <c r="R337" s="2">
        <f t="shared" si="269"/>
        <v>1202602</v>
      </c>
      <c r="T337" s="217">
        <f>74413+49</f>
        <v>74462</v>
      </c>
      <c r="U337" s="217">
        <f>73929</f>
        <v>73929</v>
      </c>
      <c r="V337" s="217">
        <v>1581</v>
      </c>
      <c r="W337" s="217">
        <f t="shared" si="262"/>
        <v>149972</v>
      </c>
      <c r="Y337" s="54">
        <f t="shared" ref="Y337" si="274">W337+R337</f>
        <v>1352574</v>
      </c>
      <c r="Z337" s="2">
        <f t="shared" si="271"/>
        <v>708714</v>
      </c>
    </row>
    <row r="338" spans="1:26" s="108" customFormat="1" ht="12.75" hidden="1" customHeight="1">
      <c r="A338" s="124" t="s">
        <v>465</v>
      </c>
      <c r="B338" s="131"/>
      <c r="C338" s="174">
        <f t="shared" si="257"/>
        <v>141295</v>
      </c>
      <c r="D338" s="108">
        <v>24566</v>
      </c>
      <c r="E338" s="108">
        <v>46872</v>
      </c>
      <c r="F338" s="108">
        <v>0</v>
      </c>
      <c r="G338" s="174">
        <f>245272-(29622+2120+53+744)</f>
        <v>212733</v>
      </c>
      <c r="H338" s="174">
        <v>0</v>
      </c>
      <c r="I338" s="174">
        <f>116356+2120-J338</f>
        <v>105880</v>
      </c>
      <c r="J338" s="108">
        <f>12494+102</f>
        <v>12596</v>
      </c>
      <c r="K338" s="174">
        <f>517825+744</f>
        <v>518569</v>
      </c>
      <c r="L338" s="108">
        <v>0</v>
      </c>
      <c r="M338" s="108">
        <v>0</v>
      </c>
      <c r="N338" s="2">
        <f t="shared" si="267"/>
        <v>637045</v>
      </c>
      <c r="O338" s="108">
        <f>1811+65960+922+48197</f>
        <v>116890</v>
      </c>
      <c r="P338" s="108">
        <f>24111+174048+2778+44728</f>
        <v>245665</v>
      </c>
      <c r="Q338" s="108">
        <f t="shared" ref="Q338" si="275">SUM(O338:P338)</f>
        <v>362555</v>
      </c>
      <c r="R338" s="2">
        <f t="shared" si="269"/>
        <v>1212333</v>
      </c>
      <c r="T338" s="217">
        <f>74679+53</f>
        <v>74732</v>
      </c>
      <c r="U338" s="217">
        <v>74494</v>
      </c>
      <c r="V338" s="217">
        <v>1496</v>
      </c>
      <c r="W338" s="217">
        <f t="shared" ref="W338" si="276">SUM(T338:V338)</f>
        <v>150722</v>
      </c>
      <c r="Y338" s="54">
        <f t="shared" ref="Y338" si="277">W338+R338</f>
        <v>1363055</v>
      </c>
      <c r="Z338" s="2">
        <f t="shared" si="271"/>
        <v>711777</v>
      </c>
    </row>
    <row r="339" spans="1:26" s="108" customFormat="1" ht="12.75" hidden="1" customHeight="1">
      <c r="A339" s="124" t="s">
        <v>466</v>
      </c>
      <c r="B339" s="131"/>
      <c r="C339" s="174">
        <f t="shared" si="257"/>
        <v>141428</v>
      </c>
      <c r="D339" s="108">
        <v>24870</v>
      </c>
      <c r="E339" s="108">
        <v>47278</v>
      </c>
      <c r="F339" s="108">
        <v>0</v>
      </c>
      <c r="G339" s="174">
        <f>246909-(30377+2146+55+755)</f>
        <v>213576</v>
      </c>
      <c r="H339" s="174">
        <v>0</v>
      </c>
      <c r="I339" s="174">
        <f>117609+2146-J339</f>
        <v>106604</v>
      </c>
      <c r="J339" s="108">
        <f>13046+105</f>
        <v>13151</v>
      </c>
      <c r="K339" s="174">
        <f>520883+755</f>
        <v>521638</v>
      </c>
      <c r="L339" s="108">
        <v>0</v>
      </c>
      <c r="M339" s="108">
        <v>0</v>
      </c>
      <c r="N339" s="2">
        <f t="shared" si="267"/>
        <v>641393</v>
      </c>
      <c r="O339" s="108">
        <f>1861+66362+976+48347</f>
        <v>117546</v>
      </c>
      <c r="P339" s="108">
        <f>24604+178731+2936+45232</f>
        <v>251503</v>
      </c>
      <c r="Q339" s="108">
        <f t="shared" ref="Q339:Q340" si="278">SUM(O339:P339)</f>
        <v>369049</v>
      </c>
      <c r="R339" s="2">
        <f t="shared" si="269"/>
        <v>1224018</v>
      </c>
      <c r="T339" s="217">
        <f>75132+55</f>
        <v>75187</v>
      </c>
      <c r="U339" s="217">
        <v>75205</v>
      </c>
      <c r="V339" s="217">
        <v>1568</v>
      </c>
      <c r="W339" s="217">
        <f t="shared" ref="W339" si="279">SUM(T339:V339)</f>
        <v>151960</v>
      </c>
      <c r="Y339" s="54">
        <f t="shared" ref="Y339" si="280">W339+R339</f>
        <v>1375978</v>
      </c>
      <c r="Z339" s="2">
        <f t="shared" si="271"/>
        <v>716580</v>
      </c>
    </row>
    <row r="340" spans="1:26" s="108" customFormat="1" ht="12.75" hidden="1" customHeight="1">
      <c r="A340" s="124" t="s">
        <v>467</v>
      </c>
      <c r="B340" s="131"/>
      <c r="C340" s="174">
        <f t="shared" si="257"/>
        <v>145372</v>
      </c>
      <c r="D340" s="108">
        <v>25160</v>
      </c>
      <c r="E340" s="108">
        <v>47673</v>
      </c>
      <c r="F340" s="108">
        <v>0</v>
      </c>
      <c r="G340" s="174">
        <f>253294-(31947+2301+59+782)</f>
        <v>218205</v>
      </c>
      <c r="H340" s="174">
        <v>0</v>
      </c>
      <c r="I340" s="174">
        <f>125871+2301-J340</f>
        <v>113268</v>
      </c>
      <c r="J340" s="108">
        <f>14771+133</f>
        <v>14904</v>
      </c>
      <c r="K340" s="174">
        <f>539159+782</f>
        <v>539941</v>
      </c>
      <c r="L340" s="108">
        <v>0</v>
      </c>
      <c r="M340" s="108">
        <v>0</v>
      </c>
      <c r="N340" s="2">
        <f t="shared" si="267"/>
        <v>668113</v>
      </c>
      <c r="O340" s="108">
        <f>68419+1915+49993+1014</f>
        <v>121341</v>
      </c>
      <c r="P340" s="108">
        <f>192159+25865+47208+3153</f>
        <v>268385</v>
      </c>
      <c r="Q340" s="108">
        <f t="shared" si="278"/>
        <v>389726</v>
      </c>
      <c r="R340" s="2">
        <f t="shared" si="269"/>
        <v>1276044</v>
      </c>
      <c r="T340" s="217">
        <f>76387+59</f>
        <v>76446</v>
      </c>
      <c r="U340" s="217">
        <v>76274</v>
      </c>
      <c r="V340" s="217">
        <v>1692</v>
      </c>
      <c r="W340" s="217">
        <f t="shared" ref="W340:W341" si="281">SUM(T340:V340)</f>
        <v>154412</v>
      </c>
      <c r="Y340" s="54">
        <f t="shared" ref="Y340" si="282">W340+R340</f>
        <v>1430456</v>
      </c>
      <c r="Z340" s="2">
        <f t="shared" ref="Z340" si="283">N340+T340</f>
        <v>744559</v>
      </c>
    </row>
    <row r="341" spans="1:26" s="108" customFormat="1" ht="12.75" hidden="1" customHeight="1">
      <c r="A341" s="124" t="s">
        <v>468</v>
      </c>
      <c r="B341" s="131"/>
      <c r="C341" s="174">
        <f t="shared" si="257"/>
        <v>145851</v>
      </c>
      <c r="D341" s="108">
        <v>25431</v>
      </c>
      <c r="E341" s="108">
        <v>48106</v>
      </c>
      <c r="F341" s="108">
        <v>0</v>
      </c>
      <c r="G341" s="174">
        <f>255694-(33094+2367+61+784)</f>
        <v>219388</v>
      </c>
      <c r="H341" s="174">
        <v>0</v>
      </c>
      <c r="I341" s="174">
        <f>129843+2367-J341</f>
        <v>116230</v>
      </c>
      <c r="J341" s="108">
        <f>15847+133</f>
        <v>15980</v>
      </c>
      <c r="K341" s="174">
        <f>547375+784</f>
        <v>548159</v>
      </c>
      <c r="L341" s="108">
        <v>0</v>
      </c>
      <c r="M341" s="108">
        <v>0</v>
      </c>
      <c r="N341" s="2">
        <f t="shared" si="267"/>
        <v>680369</v>
      </c>
      <c r="O341" s="108">
        <f>69613+2015+50600+1057</f>
        <v>123285</v>
      </c>
      <c r="P341" s="108">
        <f>199038+26684+48084+3338</f>
        <v>277144</v>
      </c>
      <c r="Q341" s="108">
        <f t="shared" ref="Q341" si="284">SUM(O341:P341)</f>
        <v>400429</v>
      </c>
      <c r="R341" s="2">
        <f t="shared" ref="R341" si="285">G341+N341+Q341</f>
        <v>1300186</v>
      </c>
      <c r="T341" s="217">
        <f>77024+61</f>
        <v>77085</v>
      </c>
      <c r="U341" s="217">
        <v>76281</v>
      </c>
      <c r="V341" s="217">
        <v>1783</v>
      </c>
      <c r="W341" s="217">
        <f t="shared" si="281"/>
        <v>155149</v>
      </c>
      <c r="Y341" s="54">
        <f t="shared" ref="Y341" si="286">W341+R341</f>
        <v>1455335</v>
      </c>
      <c r="Z341" s="2">
        <f t="shared" ref="Z341" si="287">N341+T341</f>
        <v>757454</v>
      </c>
    </row>
    <row r="342" spans="1:26" s="108" customFormat="1" ht="12.75" hidden="1" customHeight="1">
      <c r="A342" s="124"/>
      <c r="B342" s="131"/>
      <c r="C342" s="174"/>
      <c r="G342" s="174"/>
      <c r="H342" s="174"/>
      <c r="I342" s="174"/>
      <c r="K342" s="174"/>
      <c r="N342" s="2"/>
      <c r="R342" s="2"/>
      <c r="T342" s="217"/>
      <c r="U342" s="217"/>
      <c r="V342" s="217"/>
      <c r="W342" s="217"/>
      <c r="Y342" s="54"/>
      <c r="Z342" s="2"/>
    </row>
    <row r="343" spans="1:26" s="108" customFormat="1" ht="12.75" hidden="1" customHeight="1">
      <c r="A343" s="124" t="s">
        <v>470</v>
      </c>
      <c r="B343" s="131"/>
      <c r="C343" s="174">
        <f t="shared" ref="C343:C353" si="288">IF((G343-D343-E343)&gt;C163,C163,G343-D343-E343)</f>
        <v>146190</v>
      </c>
      <c r="D343" s="108">
        <v>25608</v>
      </c>
      <c r="E343" s="108">
        <v>48474</v>
      </c>
      <c r="F343" s="108">
        <v>0</v>
      </c>
      <c r="G343" s="174">
        <f>257676-(34113+2441+61+789)</f>
        <v>220272</v>
      </c>
      <c r="H343" s="174">
        <v>0</v>
      </c>
      <c r="I343" s="174">
        <f>133002+2441-J343</f>
        <v>118550</v>
      </c>
      <c r="J343" s="108">
        <f>16745+148</f>
        <v>16893</v>
      </c>
      <c r="K343" s="174">
        <f>554670+789</f>
        <v>555459</v>
      </c>
      <c r="L343" s="108">
        <v>0</v>
      </c>
      <c r="M343" s="108">
        <v>0</v>
      </c>
      <c r="N343" s="2">
        <f t="shared" si="267"/>
        <v>690902</v>
      </c>
      <c r="O343" s="108">
        <f>70627+2088+51109+1089</f>
        <v>124913</v>
      </c>
      <c r="P343" s="108">
        <f>205516+27481+48847+3455</f>
        <v>285299</v>
      </c>
      <c r="Q343" s="108">
        <f t="shared" ref="Q343" si="289">SUM(O343:P343)</f>
        <v>410212</v>
      </c>
      <c r="R343" s="2">
        <f t="shared" ref="R343" si="290">G343+N343+Q343</f>
        <v>1321386</v>
      </c>
      <c r="T343" s="217">
        <f>77616+61</f>
        <v>77677</v>
      </c>
      <c r="U343" s="217">
        <v>76185</v>
      </c>
      <c r="V343" s="217">
        <v>1860</v>
      </c>
      <c r="W343" s="217">
        <f t="shared" ref="W343" si="291">SUM(T343:V343)</f>
        <v>155722</v>
      </c>
      <c r="Y343" s="54">
        <f t="shared" ref="Y343" si="292">W343+R343</f>
        <v>1477108</v>
      </c>
      <c r="Z343" s="2">
        <f t="shared" ref="Z343" si="293">N343+T343</f>
        <v>768579</v>
      </c>
    </row>
    <row r="344" spans="1:26" s="108" customFormat="1" ht="12.75" hidden="1" customHeight="1">
      <c r="A344" s="124" t="s">
        <v>471</v>
      </c>
      <c r="B344" s="131"/>
      <c r="C344" s="174">
        <f t="shared" si="288"/>
        <v>146555</v>
      </c>
      <c r="D344" s="108">
        <v>25795</v>
      </c>
      <c r="E344" s="108">
        <v>48700</v>
      </c>
      <c r="F344" s="108">
        <v>0</v>
      </c>
      <c r="G344" s="174">
        <f>260228-(35841+2500+61+776)</f>
        <v>221050</v>
      </c>
      <c r="H344" s="174">
        <v>0</v>
      </c>
      <c r="I344" s="174">
        <f>135422+2500-J344</f>
        <v>120561</v>
      </c>
      <c r="J344" s="108">
        <f>17207+154</f>
        <v>17361</v>
      </c>
      <c r="K344" s="174">
        <f>558047+776</f>
        <v>558823</v>
      </c>
      <c r="L344" s="108">
        <v>0</v>
      </c>
      <c r="M344" s="108">
        <v>0</v>
      </c>
      <c r="N344" s="2">
        <f t="shared" si="267"/>
        <v>696745</v>
      </c>
      <c r="O344" s="108">
        <f>2187+71309+1158+51467</f>
        <v>126121</v>
      </c>
      <c r="P344" s="108">
        <f>28816+212562+3680+49954</f>
        <v>295012</v>
      </c>
      <c r="Q344" s="108">
        <f t="shared" ref="Q344" si="294">SUM(O344:P344)</f>
        <v>421133</v>
      </c>
      <c r="R344" s="2">
        <f t="shared" ref="R344" si="295">G344+N344+Q344</f>
        <v>1338928</v>
      </c>
      <c r="T344" s="217">
        <f>77677+61</f>
        <v>77738</v>
      </c>
      <c r="U344" s="217">
        <v>76553</v>
      </c>
      <c r="V344" s="217">
        <v>1643</v>
      </c>
      <c r="W344" s="217">
        <f t="shared" ref="W344" si="296">SUM(T344:V344)</f>
        <v>155934</v>
      </c>
      <c r="Y344" s="54">
        <f t="shared" ref="Y344" si="297">W344+R344</f>
        <v>1494862</v>
      </c>
      <c r="Z344" s="2">
        <f t="shared" ref="Z344" si="298">N344+T344</f>
        <v>774483</v>
      </c>
    </row>
    <row r="345" spans="1:26" s="108" customFormat="1" ht="12.75" hidden="1" customHeight="1">
      <c r="A345" s="124" t="s">
        <v>474</v>
      </c>
      <c r="B345" s="131"/>
      <c r="C345" s="174">
        <f t="shared" si="288"/>
        <v>146504</v>
      </c>
      <c r="D345" s="108">
        <v>25981</v>
      </c>
      <c r="E345" s="108">
        <v>48987</v>
      </c>
      <c r="F345" s="108">
        <v>0</v>
      </c>
      <c r="G345" s="174">
        <f>261578-(36696+2566+57+787)</f>
        <v>221472</v>
      </c>
      <c r="H345" s="174">
        <v>0</v>
      </c>
      <c r="I345" s="174">
        <f>137316+2566-J345</f>
        <v>122502</v>
      </c>
      <c r="J345" s="108">
        <f>17221+159</f>
        <v>17380</v>
      </c>
      <c r="K345" s="174">
        <f>563705+787</f>
        <v>564492</v>
      </c>
      <c r="L345" s="108">
        <v>0</v>
      </c>
      <c r="M345" s="108">
        <v>0</v>
      </c>
      <c r="N345" s="2">
        <f t="shared" si="267"/>
        <v>704374</v>
      </c>
      <c r="O345" s="108">
        <f>2229+72291+1191+51922</f>
        <v>127633</v>
      </c>
      <c r="P345" s="108">
        <f>29500+219478+3776+50869</f>
        <v>303623</v>
      </c>
      <c r="Q345" s="108">
        <f t="shared" ref="Q345" si="299">SUM(O345:P345)</f>
        <v>431256</v>
      </c>
      <c r="R345" s="2">
        <f t="shared" ref="R345" si="300">G345+N345+Q345</f>
        <v>1357102</v>
      </c>
      <c r="T345" s="217">
        <f>77861+57</f>
        <v>77918</v>
      </c>
      <c r="U345" s="217">
        <v>76622</v>
      </c>
      <c r="V345" s="217">
        <v>1490</v>
      </c>
      <c r="W345" s="217">
        <f t="shared" ref="W345" si="301">SUM(T345:V345)</f>
        <v>156030</v>
      </c>
      <c r="Y345" s="54">
        <f t="shared" ref="Y345" si="302">W345+R345</f>
        <v>1513132</v>
      </c>
      <c r="Z345" s="2">
        <f t="shared" ref="Z345" si="303">N345+T345</f>
        <v>782292</v>
      </c>
    </row>
    <row r="346" spans="1:26" s="108" customFormat="1" ht="12.75" hidden="1" customHeight="1">
      <c r="A346" s="124" t="s">
        <v>475</v>
      </c>
      <c r="B346" s="131"/>
      <c r="C346" s="174">
        <f t="shared" si="288"/>
        <v>146676</v>
      </c>
      <c r="D346" s="108">
        <v>26166</v>
      </c>
      <c r="E346" s="108">
        <v>49230</v>
      </c>
      <c r="F346" s="108">
        <v>0</v>
      </c>
      <c r="G346" s="174">
        <f>263199-(37639+2636+60+792)</f>
        <v>222072</v>
      </c>
      <c r="H346" s="174">
        <v>0</v>
      </c>
      <c r="I346" s="174">
        <f>139962+2636-J346</f>
        <v>124787</v>
      </c>
      <c r="J346" s="108">
        <f>17643+168</f>
        <v>17811</v>
      </c>
      <c r="K346" s="174">
        <f>570387+792</f>
        <v>571179</v>
      </c>
      <c r="L346" s="108">
        <v>0</v>
      </c>
      <c r="M346" s="108">
        <v>0</v>
      </c>
      <c r="N346" s="2">
        <f t="shared" si="267"/>
        <v>713777</v>
      </c>
      <c r="O346" s="108">
        <f>2280+73314+1188+52408</f>
        <v>129190</v>
      </c>
      <c r="P346" s="108">
        <f>30245+227426+3926+51351</f>
        <v>312948</v>
      </c>
      <c r="Q346" s="108">
        <f t="shared" ref="Q346" si="304">SUM(O346:P346)</f>
        <v>442138</v>
      </c>
      <c r="R346" s="2">
        <f t="shared" ref="R346" si="305">G346+N346+Q346</f>
        <v>1377987</v>
      </c>
      <c r="T346" s="217">
        <f>77774+60</f>
        <v>77834</v>
      </c>
      <c r="U346" s="217">
        <v>76975</v>
      </c>
      <c r="V346" s="217">
        <v>1435</v>
      </c>
      <c r="W346" s="217">
        <f t="shared" ref="W346:W347" si="306">SUM(T346:V346)</f>
        <v>156244</v>
      </c>
      <c r="Y346" s="54">
        <f t="shared" ref="Y346" si="307">W346+R346</f>
        <v>1534231</v>
      </c>
      <c r="Z346" s="2">
        <f t="shared" ref="Z346" si="308">N346+T346</f>
        <v>791611</v>
      </c>
    </row>
    <row r="347" spans="1:26" s="108" customFormat="1" ht="12.75" hidden="1" customHeight="1">
      <c r="A347" s="124" t="s">
        <v>476</v>
      </c>
      <c r="B347" s="131"/>
      <c r="C347" s="174">
        <f t="shared" si="288"/>
        <v>146577</v>
      </c>
      <c r="D347" s="108">
        <v>26326</v>
      </c>
      <c r="E347" s="108">
        <v>49627</v>
      </c>
      <c r="F347" s="108">
        <v>0</v>
      </c>
      <c r="G347" s="174">
        <f>264739-(38625+2712+62+810)</f>
        <v>222530</v>
      </c>
      <c r="H347" s="174">
        <v>0</v>
      </c>
      <c r="I347" s="174">
        <f>141849+2712-J347</f>
        <v>126373</v>
      </c>
      <c r="J347" s="108">
        <f>18002+186</f>
        <v>18188</v>
      </c>
      <c r="K347" s="174">
        <f>575309+810</f>
        <v>576119</v>
      </c>
      <c r="L347" s="108">
        <v>0</v>
      </c>
      <c r="M347" s="108">
        <v>0</v>
      </c>
      <c r="N347" s="2">
        <f t="shared" si="267"/>
        <v>720680</v>
      </c>
      <c r="O347" s="108">
        <f>2352+74306+1216+52916</f>
        <v>130790</v>
      </c>
      <c r="P347" s="108">
        <f>31009+233874+4048+51444</f>
        <v>320375</v>
      </c>
      <c r="Q347" s="108">
        <f t="shared" ref="Q347:Q348" si="309">SUM(O347:P347)</f>
        <v>451165</v>
      </c>
      <c r="R347" s="2">
        <f t="shared" ref="R347:R348" si="310">G347+N347+Q347</f>
        <v>1394375</v>
      </c>
      <c r="T347" s="217">
        <f>77848+62</f>
        <v>77910</v>
      </c>
      <c r="U347" s="217">
        <v>77511</v>
      </c>
      <c r="V347" s="217">
        <v>1407</v>
      </c>
      <c r="W347" s="217">
        <f t="shared" si="306"/>
        <v>156828</v>
      </c>
      <c r="Y347" s="54">
        <f t="shared" ref="Y347" si="311">W347+R347</f>
        <v>1551203</v>
      </c>
      <c r="Z347" s="2">
        <f t="shared" ref="Z347" si="312">N347+T347</f>
        <v>798590</v>
      </c>
    </row>
    <row r="348" spans="1:26" s="108" customFormat="1" ht="12.75" hidden="1" customHeight="1">
      <c r="A348" s="124" t="s">
        <v>477</v>
      </c>
      <c r="B348" s="131"/>
      <c r="C348" s="174">
        <f t="shared" si="288"/>
        <v>146742</v>
      </c>
      <c r="D348" s="108">
        <v>26541</v>
      </c>
      <c r="E348" s="108">
        <v>50052</v>
      </c>
      <c r="F348" s="108">
        <v>0</v>
      </c>
      <c r="G348" s="174">
        <f>266492-(39494+2777+64+822)</f>
        <v>223335</v>
      </c>
      <c r="H348" s="174">
        <v>0</v>
      </c>
      <c r="I348" s="174">
        <f>144213+2777-J348</f>
        <v>128448</v>
      </c>
      <c r="J348" s="108">
        <f>18344+198</f>
        <v>18542</v>
      </c>
      <c r="K348" s="174">
        <f>581119+822</f>
        <v>581941</v>
      </c>
      <c r="L348" s="108">
        <v>0</v>
      </c>
      <c r="M348" s="108">
        <v>0</v>
      </c>
      <c r="N348" s="2">
        <f t="shared" si="267"/>
        <v>728931</v>
      </c>
      <c r="O348" s="108">
        <f>2367+75542+1247+53712</f>
        <v>132868</v>
      </c>
      <c r="P348" s="108">
        <f>31675+242371+4205+53504</f>
        <v>331755</v>
      </c>
      <c r="Q348" s="108">
        <f t="shared" si="309"/>
        <v>464623</v>
      </c>
      <c r="R348" s="2">
        <f t="shared" si="310"/>
        <v>1416889</v>
      </c>
      <c r="T348" s="217">
        <f>78459+64</f>
        <v>78523</v>
      </c>
      <c r="U348" s="217">
        <v>78398</v>
      </c>
      <c r="V348" s="217">
        <v>1459</v>
      </c>
      <c r="W348" s="217">
        <f t="shared" ref="W348:W349" si="313">SUM(T348:V348)</f>
        <v>158380</v>
      </c>
      <c r="Y348" s="54">
        <f t="shared" ref="Y348:Y349" si="314">W348+R348</f>
        <v>1575269</v>
      </c>
      <c r="Z348" s="2">
        <f t="shared" ref="Z348:Z349" si="315">N348+T348</f>
        <v>807454</v>
      </c>
    </row>
    <row r="349" spans="1:26" s="108" customFormat="1" ht="12.75" hidden="1" customHeight="1">
      <c r="A349" s="124" t="s">
        <v>478</v>
      </c>
      <c r="B349" s="131"/>
      <c r="C349" s="174">
        <f t="shared" si="288"/>
        <v>146478</v>
      </c>
      <c r="D349" s="108">
        <v>26642</v>
      </c>
      <c r="E349" s="108">
        <v>50412</v>
      </c>
      <c r="F349" s="108">
        <v>0</v>
      </c>
      <c r="G349" s="174">
        <f>268045-SUM(40806+2810+65+832)</f>
        <v>223532</v>
      </c>
      <c r="H349" s="174">
        <v>0</v>
      </c>
      <c r="I349" s="174">
        <f>146481+2810-J349</f>
        <v>130564</v>
      </c>
      <c r="J349" s="108">
        <f>18525+202</f>
        <v>18727</v>
      </c>
      <c r="K349" s="174">
        <f>586688+832</f>
        <v>587520</v>
      </c>
      <c r="L349" s="108">
        <v>0</v>
      </c>
      <c r="M349" s="108">
        <v>0</v>
      </c>
      <c r="N349" s="2">
        <f t="shared" si="267"/>
        <v>736811</v>
      </c>
      <c r="O349" s="108">
        <f>2447+76708+1290+54700</f>
        <v>135145</v>
      </c>
      <c r="P349" s="108">
        <f>32691+253511+4378+56772</f>
        <v>347352</v>
      </c>
      <c r="Q349" s="108">
        <f t="shared" ref="Q349:Q350" si="316">SUM(O349:P349)</f>
        <v>482497</v>
      </c>
      <c r="R349" s="2">
        <f t="shared" ref="R349:R350" si="317">G349+N349+Q349</f>
        <v>1442840</v>
      </c>
      <c r="T349" s="217">
        <f>79590+65</f>
        <v>79655</v>
      </c>
      <c r="U349" s="217">
        <v>79219</v>
      </c>
      <c r="V349" s="217">
        <v>1498</v>
      </c>
      <c r="W349" s="217">
        <f t="shared" si="313"/>
        <v>160372</v>
      </c>
      <c r="Y349" s="54">
        <f t="shared" si="314"/>
        <v>1603212</v>
      </c>
      <c r="Z349" s="2">
        <f t="shared" si="315"/>
        <v>816466</v>
      </c>
    </row>
    <row r="350" spans="1:26" s="108" customFormat="1" ht="12.75" hidden="1" customHeight="1">
      <c r="A350" s="124" t="s">
        <v>479</v>
      </c>
      <c r="B350" s="131"/>
      <c r="C350" s="174">
        <f t="shared" si="288"/>
        <v>145800</v>
      </c>
      <c r="D350" s="108">
        <v>26845</v>
      </c>
      <c r="E350" s="108">
        <v>50692</v>
      </c>
      <c r="F350" s="108">
        <v>0</v>
      </c>
      <c r="G350" s="174">
        <f>269398-(42244+2898+65+854)</f>
        <v>223337</v>
      </c>
      <c r="H350" s="174">
        <v>0</v>
      </c>
      <c r="I350" s="174">
        <f>148040+2898-J350</f>
        <v>132025</v>
      </c>
      <c r="J350" s="108">
        <f>18706+207</f>
        <v>18913</v>
      </c>
      <c r="K350" s="174">
        <f>590038+854</f>
        <v>590892</v>
      </c>
      <c r="L350" s="108">
        <v>0</v>
      </c>
      <c r="M350" s="108">
        <v>0</v>
      </c>
      <c r="N350" s="2">
        <f t="shared" si="267"/>
        <v>741830</v>
      </c>
      <c r="O350" s="108">
        <f>2529+77116+1327+55334</f>
        <v>136306</v>
      </c>
      <c r="P350" s="108">
        <f>33804+258675+4584+57702</f>
        <v>354765</v>
      </c>
      <c r="Q350" s="108">
        <f t="shared" si="316"/>
        <v>491071</v>
      </c>
      <c r="R350" s="2">
        <f t="shared" si="317"/>
        <v>1456238</v>
      </c>
      <c r="T350" s="217">
        <f>79994+65</f>
        <v>80059</v>
      </c>
      <c r="U350" s="217">
        <v>79683</v>
      </c>
      <c r="V350" s="217">
        <v>1537</v>
      </c>
      <c r="W350" s="217">
        <f t="shared" ref="W350:W351" si="318">SUM(T350:V350)</f>
        <v>161279</v>
      </c>
      <c r="Y350" s="54">
        <f t="shared" ref="Y350" si="319">W350+R350</f>
        <v>1617517</v>
      </c>
      <c r="Z350" s="2">
        <f t="shared" ref="Z350" si="320">N350+T350</f>
        <v>821889</v>
      </c>
    </row>
    <row r="351" spans="1:26" s="108" customFormat="1" ht="12.75" hidden="1" customHeight="1">
      <c r="A351" s="124" t="s">
        <v>480</v>
      </c>
      <c r="B351" s="131"/>
      <c r="C351" s="174">
        <f t="shared" si="288"/>
        <v>145938</v>
      </c>
      <c r="D351" s="108">
        <v>27036</v>
      </c>
      <c r="E351" s="108">
        <v>50935</v>
      </c>
      <c r="F351" s="108">
        <v>0</v>
      </c>
      <c r="G351" s="174">
        <f>271482-(43687+2959+67+860)</f>
        <v>223909</v>
      </c>
      <c r="H351" s="174">
        <v>0</v>
      </c>
      <c r="I351" s="174">
        <f>150158+2959-J351</f>
        <v>134004</v>
      </c>
      <c r="J351" s="108">
        <f>18895+218</f>
        <v>19113</v>
      </c>
      <c r="K351" s="174">
        <f>594164+860</f>
        <v>595024</v>
      </c>
      <c r="L351" s="108">
        <v>0</v>
      </c>
      <c r="M351" s="108">
        <v>0</v>
      </c>
      <c r="N351" s="2">
        <f t="shared" si="267"/>
        <v>748141</v>
      </c>
      <c r="O351" s="108">
        <f>2615+77653+1375+56057</f>
        <v>137700</v>
      </c>
      <c r="P351" s="108">
        <f>34867+264697+4830+58373</f>
        <v>362767</v>
      </c>
      <c r="Q351" s="108">
        <f t="shared" ref="Q351" si="321">SUM(O351:P351)</f>
        <v>500467</v>
      </c>
      <c r="R351" s="2">
        <f t="shared" ref="R351" si="322">G351+N351+Q351</f>
        <v>1472517</v>
      </c>
      <c r="T351" s="217">
        <f>80444+67</f>
        <v>80511</v>
      </c>
      <c r="U351" s="217">
        <f>80188</f>
        <v>80188</v>
      </c>
      <c r="V351" s="217">
        <v>1568</v>
      </c>
      <c r="W351" s="217">
        <f t="shared" si="318"/>
        <v>162267</v>
      </c>
      <c r="Y351" s="54">
        <f t="shared" ref="Y351" si="323">W351+R351</f>
        <v>1634784</v>
      </c>
      <c r="Z351" s="2">
        <f t="shared" ref="Z351" si="324">N351+T351</f>
        <v>828652</v>
      </c>
    </row>
    <row r="352" spans="1:26" s="108" customFormat="1" ht="12.75" hidden="1" customHeight="1">
      <c r="A352" s="124" t="s">
        <v>481</v>
      </c>
      <c r="B352" s="131"/>
      <c r="C352" s="174">
        <f t="shared" si="288"/>
        <v>145947</v>
      </c>
      <c r="D352" s="108">
        <v>27365</v>
      </c>
      <c r="E352" s="108">
        <v>51188</v>
      </c>
      <c r="F352" s="108">
        <v>0</v>
      </c>
      <c r="G352" s="174">
        <f>273513-(45073+3013+68+859)</f>
        <v>224500</v>
      </c>
      <c r="H352" s="174">
        <v>0</v>
      </c>
      <c r="I352" s="174">
        <f>151528+3013-J352</f>
        <v>135213</v>
      </c>
      <c r="J352" s="108">
        <f>19100+228</f>
        <v>19328</v>
      </c>
      <c r="K352" s="174">
        <f>597671+859</f>
        <v>598530</v>
      </c>
      <c r="L352" s="108">
        <v>0</v>
      </c>
      <c r="M352" s="108">
        <v>0</v>
      </c>
      <c r="N352" s="2">
        <f t="shared" si="267"/>
        <v>753071</v>
      </c>
      <c r="O352" s="108">
        <f>2675+78285+1452+56741</f>
        <v>139153</v>
      </c>
      <c r="P352" s="108">
        <f>35946+269691+5000+59131</f>
        <v>369768</v>
      </c>
      <c r="Q352" s="108">
        <f t="shared" ref="Q352" si="325">SUM(O352:P352)</f>
        <v>508921</v>
      </c>
      <c r="R352" s="2">
        <f t="shared" ref="R352" si="326">G352+N352+Q352</f>
        <v>1486492</v>
      </c>
      <c r="T352" s="217">
        <f>80933+68</f>
        <v>81001</v>
      </c>
      <c r="U352" s="217">
        <f>80498</f>
        <v>80498</v>
      </c>
      <c r="V352" s="217">
        <v>1564</v>
      </c>
      <c r="W352" s="217">
        <f t="shared" ref="W352" si="327">SUM(T352:V352)</f>
        <v>163063</v>
      </c>
      <c r="Y352" s="54">
        <f t="shared" ref="Y352:Y353" si="328">W352+R352</f>
        <v>1649555</v>
      </c>
      <c r="Z352" s="2">
        <f t="shared" ref="Z352:Z353" si="329">N352+T352</f>
        <v>834072</v>
      </c>
    </row>
    <row r="353" spans="1:26" s="108" customFormat="1" ht="12.75" hidden="1" customHeight="1">
      <c r="A353" s="124" t="s">
        <v>482</v>
      </c>
      <c r="B353" s="131"/>
      <c r="C353" s="174">
        <f t="shared" si="288"/>
        <v>145772</v>
      </c>
      <c r="D353" s="108">
        <v>27859</v>
      </c>
      <c r="E353" s="108">
        <v>51411</v>
      </c>
      <c r="F353" s="108">
        <v>0</v>
      </c>
      <c r="G353" s="174">
        <f>275092-(46041+3083+69+857)</f>
        <v>225042</v>
      </c>
      <c r="H353" s="174">
        <v>0</v>
      </c>
      <c r="I353" s="174">
        <f>152813+3083-J353</f>
        <v>136338</v>
      </c>
      <c r="J353" s="108">
        <f>19318+240</f>
        <v>19558</v>
      </c>
      <c r="K353" s="174">
        <f>600564+857</f>
        <v>601421</v>
      </c>
      <c r="L353" s="108">
        <v>0</v>
      </c>
      <c r="M353" s="108">
        <v>0</v>
      </c>
      <c r="N353" s="2">
        <f t="shared" si="267"/>
        <v>757317</v>
      </c>
      <c r="O353" s="108">
        <f>2727+78933+1488+57383</f>
        <v>140531</v>
      </c>
      <c r="P353" s="108">
        <f>36684+274451+5142+60098</f>
        <v>376375</v>
      </c>
      <c r="Q353" s="108">
        <f t="shared" ref="Q353:Q354" si="330">SUM(O353:P353)</f>
        <v>516906</v>
      </c>
      <c r="R353" s="2">
        <f t="shared" ref="R353:R354" si="331">G353+N353+Q353</f>
        <v>1499265</v>
      </c>
      <c r="T353" s="217">
        <f>81455+69</f>
        <v>81524</v>
      </c>
      <c r="U353" s="217">
        <f>80465</f>
        <v>80465</v>
      </c>
      <c r="V353" s="217">
        <v>1598</v>
      </c>
      <c r="W353" s="217">
        <f t="shared" ref="W353:W354" si="332">SUM(T353:V353)</f>
        <v>163587</v>
      </c>
      <c r="Y353" s="54">
        <f t="shared" si="328"/>
        <v>1662852</v>
      </c>
      <c r="Z353" s="2">
        <f t="shared" si="329"/>
        <v>838841</v>
      </c>
    </row>
    <row r="354" spans="1:26" s="108" customFormat="1" ht="12.75" hidden="1" customHeight="1">
      <c r="A354" s="124" t="s">
        <v>483</v>
      </c>
      <c r="B354" s="131"/>
      <c r="C354" s="174">
        <f>IF((G354-D354-E354)&gt;C174,C174,G354-D354-E354)</f>
        <v>145699</v>
      </c>
      <c r="D354" s="108">
        <v>28191</v>
      </c>
      <c r="E354" s="108">
        <v>51588</v>
      </c>
      <c r="F354" s="108">
        <v>0</v>
      </c>
      <c r="G354" s="174">
        <f>276741-(47190+3140+71+862)</f>
        <v>225478</v>
      </c>
      <c r="H354" s="174">
        <v>0</v>
      </c>
      <c r="I354" s="174">
        <f>154729+3140-J354</f>
        <v>138189</v>
      </c>
      <c r="J354" s="108">
        <v>19680</v>
      </c>
      <c r="K354" s="174">
        <f>604801+862</f>
        <v>605663</v>
      </c>
      <c r="L354" s="108">
        <v>0</v>
      </c>
      <c r="M354" s="108">
        <v>0</v>
      </c>
      <c r="N354" s="2">
        <f t="shared" si="267"/>
        <v>763532</v>
      </c>
      <c r="O354" s="108">
        <f>2822+79576+1529+57939</f>
        <v>141866</v>
      </c>
      <c r="P354" s="108">
        <f>37574+279246+5265+60880</f>
        <v>382965</v>
      </c>
      <c r="Q354" s="108">
        <f t="shared" si="330"/>
        <v>524831</v>
      </c>
      <c r="R354" s="2">
        <f t="shared" si="331"/>
        <v>1513841</v>
      </c>
      <c r="T354" s="217">
        <f>82267+71+3</f>
        <v>82341</v>
      </c>
      <c r="U354" s="217">
        <v>80440</v>
      </c>
      <c r="V354" s="217">
        <v>1631</v>
      </c>
      <c r="W354" s="217">
        <f t="shared" si="332"/>
        <v>164412</v>
      </c>
      <c r="Y354" s="54">
        <f t="shared" ref="Y354" si="333">W354+R354</f>
        <v>1678253</v>
      </c>
      <c r="Z354" s="2">
        <f t="shared" ref="Z354" si="334">N354+T354</f>
        <v>845873</v>
      </c>
    </row>
    <row r="355" spans="1:26" s="108" customFormat="1" ht="12.75" hidden="1" customHeight="1">
      <c r="A355" s="124"/>
      <c r="B355" s="131"/>
      <c r="C355" s="174"/>
      <c r="G355" s="174"/>
      <c r="H355" s="174"/>
      <c r="I355" s="174"/>
      <c r="K355" s="174"/>
      <c r="N355" s="2"/>
      <c r="R355" s="2"/>
      <c r="T355" s="217"/>
      <c r="U355" s="217"/>
      <c r="V355" s="217"/>
      <c r="W355" s="217"/>
      <c r="Y355" s="54"/>
      <c r="Z355" s="2"/>
    </row>
    <row r="356" spans="1:26" s="108" customFormat="1" ht="12.75" hidden="1" customHeight="1">
      <c r="A356" s="124" t="s">
        <v>486</v>
      </c>
      <c r="B356" s="131"/>
      <c r="C356" s="174">
        <f>IF((G356-D356-E356)&gt;C176,C176,G356-D356-E356)</f>
        <v>145466</v>
      </c>
      <c r="D356" s="108">
        <v>28173</v>
      </c>
      <c r="E356" s="108">
        <v>51580</v>
      </c>
      <c r="F356" s="108">
        <v>0</v>
      </c>
      <c r="G356" s="174">
        <f>277615-(48264+3194+69+869)</f>
        <v>225219</v>
      </c>
      <c r="H356" s="174">
        <v>0</v>
      </c>
      <c r="I356" s="174">
        <f>156371+3194-J356</f>
        <v>139234</v>
      </c>
      <c r="J356" s="108">
        <f>20069+262</f>
        <v>20331</v>
      </c>
      <c r="K356" s="174">
        <f>609118+869</f>
        <v>609987</v>
      </c>
      <c r="L356" s="108">
        <v>0</v>
      </c>
      <c r="M356" s="108">
        <v>0</v>
      </c>
      <c r="N356" s="2">
        <f t="shared" si="267"/>
        <v>769552</v>
      </c>
      <c r="O356" s="108">
        <f>2892+79961+1604+58441</f>
        <v>142898</v>
      </c>
      <c r="P356" s="108">
        <f>38366+283304+5402+61397</f>
        <v>388469</v>
      </c>
      <c r="Q356" s="108">
        <f>SUM(O356:P356)</f>
        <v>531367</v>
      </c>
      <c r="R356" s="2">
        <f>G356+N356+Q356</f>
        <v>1526138</v>
      </c>
      <c r="T356" s="217">
        <f>82912+69+2</f>
        <v>82983</v>
      </c>
      <c r="U356" s="217">
        <v>80251</v>
      </c>
      <c r="V356" s="217">
        <v>1651</v>
      </c>
      <c r="W356" s="217">
        <f t="shared" ref="W356" si="335">SUM(T356:V356)</f>
        <v>164885</v>
      </c>
      <c r="Y356" s="54">
        <f t="shared" ref="Y356" si="336">W356+R356</f>
        <v>1691023</v>
      </c>
      <c r="Z356" s="2">
        <f t="shared" ref="Z356" si="337">N356+T356</f>
        <v>852535</v>
      </c>
    </row>
    <row r="357" spans="1:26" s="108" customFormat="1" ht="12.75" customHeight="1">
      <c r="A357" s="124"/>
      <c r="B357" s="131"/>
      <c r="W357" s="217"/>
      <c r="Y357" s="54"/>
      <c r="Z357" s="2"/>
    </row>
    <row r="358" spans="1:26" s="108" customFormat="1">
      <c r="A358" s="131"/>
      <c r="B358" s="131"/>
      <c r="T358" s="217"/>
      <c r="U358" s="217"/>
      <c r="V358" s="217"/>
      <c r="W358" s="217"/>
      <c r="Y358" s="109"/>
      <c r="Z358" s="2"/>
    </row>
    <row r="359" spans="1:26">
      <c r="A359" s="216" t="str">
        <f>A356</f>
        <v>Jul 2021</v>
      </c>
      <c r="B359" s="215"/>
      <c r="C359" s="96">
        <f>C356/C176</f>
        <v>0.91606158884095845</v>
      </c>
      <c r="D359" s="96">
        <f>IF(D356&lt;=D176,D354/D176,1)</f>
        <v>1</v>
      </c>
      <c r="E359" s="96">
        <f>E356/E176</f>
        <v>0.93278116353509233</v>
      </c>
      <c r="F359" s="98">
        <f>F356/F176</f>
        <v>0</v>
      </c>
      <c r="G359" s="96">
        <f>G355/G176</f>
        <v>0</v>
      </c>
      <c r="H359" s="98">
        <f>H356/H176</f>
        <v>0</v>
      </c>
      <c r="I359" s="96">
        <f>I356/I176</f>
        <v>0.98821809303447983</v>
      </c>
      <c r="J359" s="96">
        <f>J356/J176</f>
        <v>0.8725751072961373</v>
      </c>
      <c r="K359" s="116">
        <f>K356/K176</f>
        <v>0.99712136369877791</v>
      </c>
      <c r="L359" s="96">
        <f>L356/L176</f>
        <v>0</v>
      </c>
      <c r="M359" s="96">
        <v>0</v>
      </c>
      <c r="N359" s="96">
        <f>N356/N176</f>
        <v>0.86517552488827676</v>
      </c>
      <c r="O359" s="96">
        <f>O356/O176</f>
        <v>0.99042826745403001</v>
      </c>
      <c r="P359" s="96">
        <f>P356/P176</f>
        <v>0.92875398368035877</v>
      </c>
      <c r="Q359" s="96">
        <f>Q356/Q176</f>
        <v>0.94457184098068081</v>
      </c>
      <c r="R359" s="96">
        <f>R356/R176</f>
        <v>0.90462842161356649</v>
      </c>
      <c r="S359" s="57"/>
      <c r="T359" s="96">
        <f>T356/T176</f>
        <v>0.99694847243413387</v>
      </c>
      <c r="U359" s="98">
        <f>U356/U176</f>
        <v>0.99621381399275033</v>
      </c>
      <c r="V359" s="97">
        <f>V356/V176</f>
        <v>0.95048934945308006</v>
      </c>
      <c r="W359" s="96">
        <f>W356/W176</f>
        <v>0.99610342536096175</v>
      </c>
      <c r="X359" s="57"/>
      <c r="Y359" s="96">
        <f>Y356/Y176</f>
        <v>0.91280188581980748</v>
      </c>
    </row>
    <row r="360" spans="1:26">
      <c r="N360" s="210"/>
      <c r="O360" s="210"/>
      <c r="P360" s="210"/>
      <c r="Q360" s="210"/>
      <c r="R360" s="210"/>
    </row>
    <row r="361" spans="1:26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213"/>
      <c r="S361" s="213"/>
      <c r="W361" s="214"/>
      <c r="Y361" s="214"/>
      <c r="Z361" s="214"/>
    </row>
    <row r="362" spans="1:26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213"/>
      <c r="S362" s="213"/>
      <c r="V362" s="36"/>
      <c r="Y362" s="107"/>
    </row>
    <row r="363" spans="1:26"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210"/>
      <c r="S363" s="35"/>
      <c r="T363" s="212"/>
    </row>
    <row r="364" spans="1:26"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212"/>
      <c r="S364" s="35"/>
    </row>
    <row r="365" spans="1:26"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</row>
  </sheetData>
  <mergeCells count="24">
    <mergeCell ref="T5:T6"/>
    <mergeCell ref="C1:Y1"/>
    <mergeCell ref="C3:N3"/>
    <mergeCell ref="T3:W3"/>
    <mergeCell ref="Y3:Y6"/>
    <mergeCell ref="C4:H4"/>
    <mergeCell ref="T4:U4"/>
    <mergeCell ref="W4:W6"/>
    <mergeCell ref="C5:G5"/>
    <mergeCell ref="U5:U6"/>
    <mergeCell ref="V5:V6"/>
    <mergeCell ref="H5:H6"/>
    <mergeCell ref="Q5:Q6"/>
    <mergeCell ref="O4:Q4"/>
    <mergeCell ref="R4:R6"/>
    <mergeCell ref="N5:N6"/>
    <mergeCell ref="O5:O6"/>
    <mergeCell ref="P5:P6"/>
    <mergeCell ref="I4:N4"/>
    <mergeCell ref="L5:L6"/>
    <mergeCell ref="M5:M6"/>
    <mergeCell ref="I5:I6"/>
    <mergeCell ref="J5:J6"/>
    <mergeCell ref="K5:K6"/>
  </mergeCells>
  <pageMargins left="0.18" right="0.23" top="0.33" bottom="0.16" header="0" footer="0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Population</vt:lpstr>
      <vt:lpstr>Monthly Report p1</vt:lpstr>
      <vt:lpstr>Monthly Report p2</vt:lpstr>
      <vt:lpstr>'Monthly Report p1'!Print_Area</vt:lpstr>
      <vt:lpstr>'Monthly Report p2'!Print_Area</vt:lpstr>
    </vt:vector>
  </TitlesOfParts>
  <Company>DMAS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Robert (DMAS)</dc:creator>
  <cp:lastModifiedBy>Microsoft Office User</cp:lastModifiedBy>
  <cp:lastPrinted>2021-07-06T15:47:53Z</cp:lastPrinted>
  <dcterms:created xsi:type="dcterms:W3CDTF">2008-07-14T21:10:59Z</dcterms:created>
  <dcterms:modified xsi:type="dcterms:W3CDTF">2021-07-15T13:02:05Z</dcterms:modified>
</cp:coreProperties>
</file>