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27"/>
  </bookViews>
  <sheets>
    <sheet name="进水水质" sheetId="1" r:id="rId1"/>
    <sheet name="系数设定表" sheetId="2" r:id="rId2"/>
    <sheet name="硫酸钠蒸发结晶水质估算表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<sst xmlns="http://schemas.openxmlformats.org/spreadsheetml/2006/main" count="82" uniqueCount="64">
  <si>
    <r>
      <rPr>
        <sz val="12"/>
        <color theme="1"/>
        <rFont val="宋体"/>
        <charset val="134"/>
      </rPr>
      <t>进料</t>
    </r>
  </si>
  <si>
    <r>
      <rPr>
        <sz val="12"/>
        <color theme="1"/>
        <rFont val="宋体"/>
        <charset val="134"/>
      </rPr>
      <t>结晶母液</t>
    </r>
  </si>
  <si>
    <t>TDS</t>
  </si>
  <si>
    <r>
      <rPr>
        <sz val="11"/>
        <color theme="1"/>
        <rFont val="宋体"/>
        <charset val="134"/>
      </rPr>
      <t>氯化钠溶液密度</t>
    </r>
  </si>
  <si>
    <r>
      <rPr>
        <sz val="11"/>
        <color theme="1"/>
        <rFont val="宋体"/>
        <charset val="134"/>
      </rPr>
      <t>硫酸钠溶液密度</t>
    </r>
  </si>
  <si>
    <r>
      <rPr>
        <sz val="12"/>
        <color rgb="FF000000"/>
        <rFont val="宋体"/>
        <charset val="134"/>
      </rPr>
      <t>流量</t>
    </r>
    <r>
      <rPr>
        <sz val="12"/>
        <rFont val="Times New Roman"/>
        <charset val="134"/>
      </rPr>
      <t>m3/h</t>
    </r>
  </si>
  <si>
    <r>
      <rPr>
        <sz val="12"/>
        <rFont val="宋体"/>
        <charset val="134"/>
      </rPr>
      <t>密度</t>
    </r>
    <r>
      <rPr>
        <sz val="12"/>
        <rFont val="Times New Roman"/>
        <charset val="134"/>
      </rPr>
      <t>kg/m3</t>
    </r>
  </si>
  <si>
    <r>
      <rPr>
        <sz val="12"/>
        <rFont val="宋体"/>
        <charset val="134"/>
      </rPr>
      <t>密度通过得到的</t>
    </r>
    <r>
      <rPr>
        <sz val="12"/>
        <rFont val="Times New Roman"/>
        <charset val="134"/>
      </rPr>
      <t>TDS</t>
    </r>
    <r>
      <rPr>
        <sz val="12"/>
        <rFont val="宋体"/>
        <charset val="134"/>
      </rPr>
      <t>到密度估算网站获取</t>
    </r>
  </si>
  <si>
    <r>
      <rPr>
        <sz val="12"/>
        <rFont val="宋体"/>
        <charset val="134"/>
      </rPr>
      <t>质量</t>
    </r>
    <r>
      <rPr>
        <sz val="12"/>
        <rFont val="Times New Roman"/>
        <charset val="134"/>
      </rPr>
      <t>kg/h</t>
    </r>
  </si>
  <si>
    <t>TDS  mg/L</t>
  </si>
  <si>
    <r>
      <rPr>
        <sz val="12"/>
        <rFont val="Times New Roman"/>
        <charset val="134"/>
      </rPr>
      <t>SO4</t>
    </r>
    <r>
      <rPr>
        <vertAlign val="superscript"/>
        <sz val="12"/>
        <color indexed="8"/>
        <rFont val="Times New Roman"/>
        <charset val="134"/>
      </rPr>
      <t>2-</t>
    </r>
    <r>
      <rPr>
        <sz val="12"/>
        <color indexed="8"/>
        <rFont val="Times New Roman"/>
        <charset val="134"/>
      </rPr>
      <t xml:space="preserve"> mg/L</t>
    </r>
  </si>
  <si>
    <t>Cl- mg/L</t>
  </si>
  <si>
    <t>Ca2+ mg/L</t>
  </si>
  <si>
    <t>Mg2+ mg/L</t>
  </si>
  <si>
    <t>Na+ mg/L</t>
  </si>
  <si>
    <t>HCO3- mg/L</t>
  </si>
  <si>
    <t>NO3- mg/L</t>
  </si>
  <si>
    <r>
      <rPr>
        <sz val="12"/>
        <rFont val="宋体"/>
        <charset val="134"/>
      </rPr>
      <t>氨氮</t>
    </r>
    <r>
      <rPr>
        <sz val="12"/>
        <rFont val="Times New Roman"/>
        <charset val="134"/>
      </rPr>
      <t xml:space="preserve"> mg/L</t>
    </r>
  </si>
  <si>
    <r>
      <rPr>
        <sz val="12"/>
        <rFont val="宋体"/>
        <charset val="134"/>
      </rPr>
      <t>总硅</t>
    </r>
    <r>
      <rPr>
        <sz val="12"/>
        <rFont val="Times New Roman"/>
        <charset val="134"/>
      </rPr>
      <t xml:space="preserve"> mg/L</t>
    </r>
  </si>
  <si>
    <t>COD mg/L</t>
  </si>
  <si>
    <r>
      <rPr>
        <sz val="12"/>
        <rFont val="宋体"/>
        <charset val="134"/>
      </rPr>
      <t>硫酸钠等级</t>
    </r>
  </si>
  <si>
    <r>
      <rPr>
        <sz val="12"/>
        <rFont val="宋体"/>
        <charset val="134"/>
      </rPr>
      <t>类</t>
    </r>
  </si>
  <si>
    <r>
      <rPr>
        <sz val="12"/>
        <rFont val="宋体"/>
        <charset val="134"/>
      </rPr>
      <t>蒸发结晶经验值</t>
    </r>
  </si>
  <si>
    <r>
      <rPr>
        <sz val="12"/>
        <rFont val="宋体"/>
        <charset val="134"/>
      </rPr>
      <t>结晶母液浓缩倍数</t>
    </r>
  </si>
  <si>
    <t>Na2SO4</t>
  </si>
  <si>
    <r>
      <rPr>
        <sz val="12"/>
        <rFont val="Times New Roman"/>
        <charset val="134"/>
      </rPr>
      <t>COD</t>
    </r>
    <r>
      <rPr>
        <sz val="12"/>
        <rFont val="宋体"/>
        <charset val="134"/>
      </rPr>
      <t>设定值</t>
    </r>
  </si>
  <si>
    <r>
      <rPr>
        <sz val="12"/>
        <rFont val="Times New Roman"/>
        <charset val="134"/>
      </rPr>
      <t>COD</t>
    </r>
    <r>
      <rPr>
        <sz val="12"/>
        <rFont val="宋体"/>
        <charset val="134"/>
      </rPr>
      <t>最大值</t>
    </r>
  </si>
  <si>
    <t>COD</t>
  </si>
  <si>
    <r>
      <rPr>
        <sz val="12"/>
        <rFont val="宋体"/>
        <charset val="134"/>
      </rPr>
      <t>结晶浓缩倍数</t>
    </r>
  </si>
  <si>
    <r>
      <rPr>
        <sz val="12"/>
        <rFont val="宋体"/>
        <charset val="134"/>
      </rPr>
      <t>等品</t>
    </r>
  </si>
  <si>
    <r>
      <rPr>
        <sz val="12"/>
        <rFont val="宋体"/>
        <charset val="134"/>
      </rPr>
      <t>硫酸钠纯度</t>
    </r>
  </si>
  <si>
    <t>NaCl</t>
  </si>
  <si>
    <r>
      <rPr>
        <sz val="12"/>
        <rFont val="宋体"/>
        <charset val="134"/>
      </rPr>
      <t>总硅设定值</t>
    </r>
  </si>
  <si>
    <r>
      <rPr>
        <sz val="12"/>
        <rFont val="宋体"/>
        <charset val="134"/>
      </rPr>
      <t>总硅最大值</t>
    </r>
  </si>
  <si>
    <r>
      <rPr>
        <sz val="12"/>
        <rFont val="宋体"/>
        <charset val="134"/>
      </rPr>
      <t>总硅</t>
    </r>
  </si>
  <si>
    <r>
      <rPr>
        <sz val="12"/>
        <rFont val="宋体"/>
        <charset val="134"/>
      </rPr>
      <t>氯化钠含量</t>
    </r>
  </si>
  <si>
    <r>
      <rPr>
        <sz val="12"/>
        <rFont val="宋体"/>
        <charset val="134"/>
      </rPr>
      <t>碳酸根设定值</t>
    </r>
  </si>
  <si>
    <r>
      <rPr>
        <sz val="12"/>
        <rFont val="宋体"/>
        <charset val="134"/>
      </rPr>
      <t>碳酸根最大值</t>
    </r>
  </si>
  <si>
    <r>
      <rPr>
        <sz val="12"/>
        <rFont val="宋体"/>
        <charset val="134"/>
      </rPr>
      <t>碳酸根</t>
    </r>
  </si>
  <si>
    <r>
      <rPr>
        <sz val="12"/>
        <rFont val="宋体"/>
        <charset val="134"/>
      </rPr>
      <t>结晶盐经验值</t>
    </r>
  </si>
  <si>
    <r>
      <rPr>
        <sz val="12"/>
        <rFont val="Times New Roman"/>
        <charset val="134"/>
      </rPr>
      <t>NaCl</t>
    </r>
    <r>
      <rPr>
        <sz val="12"/>
        <rFont val="宋体"/>
        <charset val="134"/>
      </rPr>
      <t>设定值</t>
    </r>
  </si>
  <si>
    <r>
      <rPr>
        <sz val="12"/>
        <rFont val="Times New Roman"/>
        <charset val="134"/>
      </rPr>
      <t>NaCl</t>
    </r>
    <r>
      <rPr>
        <sz val="12"/>
        <rFont val="宋体"/>
        <charset val="134"/>
      </rPr>
      <t>最大值</t>
    </r>
  </si>
  <si>
    <r>
      <rPr>
        <sz val="12"/>
        <rFont val="宋体"/>
        <charset val="134"/>
      </rPr>
      <t>钠离子经验值</t>
    </r>
  </si>
  <si>
    <r>
      <rPr>
        <sz val="12"/>
        <rFont val="Times New Roman"/>
        <charset val="134"/>
      </rPr>
      <t>Na2SO4</t>
    </r>
    <r>
      <rPr>
        <sz val="12"/>
        <rFont val="宋体"/>
        <charset val="134"/>
      </rPr>
      <t>设定值</t>
    </r>
  </si>
  <si>
    <r>
      <rPr>
        <sz val="12"/>
        <rFont val="Times New Roman"/>
        <charset val="134"/>
      </rPr>
      <t>Na2SO4</t>
    </r>
    <r>
      <rPr>
        <sz val="12"/>
        <rFont val="宋体"/>
        <charset val="134"/>
      </rPr>
      <t>最小值</t>
    </r>
  </si>
  <si>
    <r>
      <rPr>
        <sz val="12"/>
        <color theme="1"/>
        <rFont val="等线"/>
        <charset val="134"/>
      </rPr>
      <t>冷凝水携带离子率</t>
    </r>
  </si>
  <si>
    <r>
      <rPr>
        <sz val="12"/>
        <rFont val="宋体"/>
        <charset val="134"/>
      </rPr>
      <t>结晶浓缩倍数选取最小值</t>
    </r>
  </si>
  <si>
    <r>
      <rPr>
        <sz val="12"/>
        <color theme="1"/>
        <rFont val="宋体"/>
        <charset val="134"/>
      </rPr>
      <t>进水</t>
    </r>
  </si>
  <si>
    <r>
      <rPr>
        <sz val="12"/>
        <color theme="1"/>
        <rFont val="宋体"/>
        <charset val="134"/>
      </rPr>
      <t>硫酸钠母液</t>
    </r>
  </si>
  <si>
    <r>
      <rPr>
        <sz val="12"/>
        <color theme="1"/>
        <rFont val="宋体"/>
        <charset val="134"/>
      </rPr>
      <t>冷凝液</t>
    </r>
  </si>
  <si>
    <r>
      <rPr>
        <sz val="12"/>
        <color theme="1"/>
        <rFont val="宋体"/>
        <charset val="134"/>
      </rPr>
      <t>硫酸钠结晶盐</t>
    </r>
  </si>
  <si>
    <r>
      <rPr>
        <sz val="12"/>
        <color theme="1"/>
        <rFont val="宋体"/>
        <charset val="134"/>
      </rPr>
      <t>损失水量</t>
    </r>
  </si>
  <si>
    <t>GB/T 6009-2014</t>
  </si>
  <si>
    <r>
      <rPr>
        <sz val="12"/>
        <rFont val="宋体"/>
        <charset val="134"/>
      </rPr>
      <t>硫酸钠</t>
    </r>
    <r>
      <rPr>
        <sz val="12"/>
        <rFont val="Times New Roman"/>
        <charset val="134"/>
      </rPr>
      <t xml:space="preserve"> w%</t>
    </r>
  </si>
  <si>
    <r>
      <rPr>
        <sz val="12"/>
        <rFont val="宋体"/>
        <charset val="134"/>
      </rPr>
      <t>水不溶物</t>
    </r>
    <r>
      <rPr>
        <sz val="12"/>
        <rFont val="Times New Roman"/>
        <charset val="134"/>
      </rPr>
      <t xml:space="preserve"> w%</t>
    </r>
  </si>
  <si>
    <r>
      <rPr>
        <sz val="12"/>
        <rFont val="宋体"/>
        <charset val="134"/>
      </rPr>
      <t>钙和镁</t>
    </r>
    <r>
      <rPr>
        <sz val="12"/>
        <rFont val="Times New Roman"/>
        <charset val="134"/>
      </rPr>
      <t xml:space="preserve"> w%</t>
    </r>
  </si>
  <si>
    <r>
      <rPr>
        <sz val="12"/>
        <rFont val="宋体"/>
        <charset val="134"/>
      </rPr>
      <t>钙</t>
    </r>
    <r>
      <rPr>
        <sz val="12"/>
        <rFont val="Times New Roman"/>
        <charset val="134"/>
      </rPr>
      <t xml:space="preserve"> w%</t>
    </r>
  </si>
  <si>
    <t>CL- mg/L</t>
  </si>
  <si>
    <r>
      <rPr>
        <sz val="12"/>
        <rFont val="宋体"/>
        <charset val="134"/>
      </rPr>
      <t>镁</t>
    </r>
    <r>
      <rPr>
        <sz val="12"/>
        <rFont val="Times New Roman"/>
        <charset val="134"/>
      </rPr>
      <t xml:space="preserve"> w%</t>
    </r>
  </si>
  <si>
    <r>
      <rPr>
        <sz val="12"/>
        <rFont val="宋体"/>
        <charset val="134"/>
      </rPr>
      <t>氯化物</t>
    </r>
    <r>
      <rPr>
        <sz val="12"/>
        <rFont val="Times New Roman"/>
        <charset val="134"/>
      </rPr>
      <t xml:space="preserve"> w%</t>
    </r>
  </si>
  <si>
    <r>
      <rPr>
        <sz val="12"/>
        <rFont val="宋体"/>
        <charset val="134"/>
      </rPr>
      <t>铁</t>
    </r>
    <r>
      <rPr>
        <sz val="12"/>
        <rFont val="Times New Roman"/>
        <charset val="134"/>
      </rPr>
      <t xml:space="preserve"> w%</t>
    </r>
  </si>
  <si>
    <r>
      <rPr>
        <sz val="12"/>
        <rFont val="宋体"/>
        <charset val="134"/>
      </rPr>
      <t>水分</t>
    </r>
    <r>
      <rPr>
        <sz val="12"/>
        <rFont val="Times New Roman"/>
        <charset val="134"/>
      </rPr>
      <t xml:space="preserve"> w%</t>
    </r>
  </si>
  <si>
    <r>
      <rPr>
        <sz val="12"/>
        <rFont val="宋体"/>
        <charset val="134"/>
      </rPr>
      <t>白度（</t>
    </r>
    <r>
      <rPr>
        <sz val="12"/>
        <rFont val="Times New Roman"/>
        <charset val="134"/>
      </rPr>
      <t>R457</t>
    </r>
    <r>
      <rPr>
        <sz val="12"/>
        <rFont val="宋体"/>
        <charset val="134"/>
      </rPr>
      <t>）</t>
    </r>
    <r>
      <rPr>
        <sz val="12"/>
        <rFont val="Times New Roman"/>
        <charset val="134"/>
      </rPr>
      <t>%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</si>
  <si>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（</t>
    </r>
    <r>
      <rPr>
        <sz val="12"/>
        <rFont val="Times New Roman"/>
        <charset val="134"/>
      </rPr>
      <t>50 g/L</t>
    </r>
    <r>
      <rPr>
        <sz val="12"/>
        <rFont val="宋体"/>
        <charset val="134"/>
      </rPr>
      <t>水溶液，</t>
    </r>
    <r>
      <rPr>
        <sz val="12"/>
        <rFont val="Times New Roman"/>
        <charset val="134"/>
      </rPr>
      <t xml:space="preserve">25 </t>
    </r>
    <r>
      <rPr>
        <sz val="12"/>
        <rFont val="宋体"/>
        <charset val="134"/>
      </rPr>
      <t>℃）</t>
    </r>
  </si>
</sst>
</file>

<file path=xl/styles.xml><?xml version="1.0" encoding="utf-8"?>
<styleSheet xmlns="http://schemas.openxmlformats.org/spreadsheetml/2006/main">
  <numFmts count="9">
    <numFmt numFmtId="176" formatCode="0.00_ "/>
    <numFmt numFmtId="177" formatCode="0.0_ "/>
    <numFmt numFmtId="178" formatCode="0.0000000000_ "/>
    <numFmt numFmtId="179" formatCode="0.0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80" formatCode="0.000"/>
  </numFmts>
  <fonts count="32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134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vertAlign val="superscript"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2"/>
      <color theme="1"/>
      <name val="等线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23" fillId="28" borderId="4" applyNumberFormat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0" fillId="0" borderId="0" xfId="0" applyNumberFormat="1"/>
    <xf numFmtId="17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35745;&#31639;excel\&#33976;&#21457;&#32467;&#26230;&#27700;&#36136;&#20272;&#31639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0013;&#22825;&#21512;&#21019;&#20108;&#26399;\&#21487;&#30740;\&#35745;&#31639;&#2007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初始水质设置"/>
      <sheetName val="系数设定表"/>
      <sheetName val="浓缩结晶估算表"/>
    </sheetNames>
    <sheetDataSet>
      <sheetData sheetId="0"/>
      <sheetData sheetId="1"/>
      <sheetData sheetId="2">
        <row r="9">
          <cell r="B9">
            <v>0.007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水质计算"/>
      <sheetName val="进水水质"/>
    </sheetNames>
    <sheetDataSet>
      <sheetData sheetId="0">
        <row r="57">
          <cell r="B57">
            <v>33.9906711541071</v>
          </cell>
        </row>
        <row r="57">
          <cell r="D57">
            <v>218287.571008929</v>
          </cell>
          <cell r="E57">
            <v>1060.371</v>
          </cell>
        </row>
        <row r="57">
          <cell r="I57">
            <v>18908.5105044643</v>
          </cell>
          <cell r="J57">
            <v>115562.655</v>
          </cell>
        </row>
        <row r="57">
          <cell r="L57">
            <v>185.25</v>
          </cell>
        </row>
        <row r="57">
          <cell r="O57">
            <v>68418.4255044643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B16" sqref="B16"/>
    </sheetView>
  </sheetViews>
  <sheetFormatPr defaultColWidth="9" defaultRowHeight="13.8"/>
  <cols>
    <col min="1" max="1" width="16.7777777777778" customWidth="1"/>
    <col min="2" max="2" width="9.44444444444444" customWidth="1"/>
    <col min="3" max="3" width="9.11111111111111" customWidth="1"/>
    <col min="4" max="4" width="50.6666666666667" customWidth="1"/>
    <col min="7" max="7" width="12.7777777777778" customWidth="1"/>
    <col min="8" max="8" width="15.7777777777778" customWidth="1"/>
    <col min="9" max="9" width="14.7777777777778" customWidth="1"/>
  </cols>
  <sheetData>
    <row r="1" ht="15.6" spans="1:9">
      <c r="A1" s="1"/>
      <c r="B1" s="1" t="s">
        <v>0</v>
      </c>
      <c r="C1" s="1" t="s">
        <v>1</v>
      </c>
      <c r="D1" s="1"/>
      <c r="E1" s="1"/>
      <c r="G1" s="7" t="s">
        <v>2</v>
      </c>
      <c r="H1" s="7" t="s">
        <v>3</v>
      </c>
      <c r="I1" s="7" t="s">
        <v>4</v>
      </c>
    </row>
    <row r="2" ht="15.6" spans="1:9">
      <c r="A2" s="4" t="s">
        <v>5</v>
      </c>
      <c r="B2" s="26">
        <f>[2]水质计算!$B$57</f>
        <v>33.9906711541071</v>
      </c>
      <c r="C2" s="15">
        <f>硫酸钠蒸发结晶水质估算表!C2</f>
        <v>5.295592719777</v>
      </c>
      <c r="D2" s="1"/>
      <c r="E2" s="1"/>
      <c r="G2" s="27">
        <v>0</v>
      </c>
      <c r="H2" s="28">
        <v>1</v>
      </c>
      <c r="I2" s="28">
        <v>1</v>
      </c>
    </row>
    <row r="3" ht="15.6" spans="1:9">
      <c r="A3" s="8" t="s">
        <v>6</v>
      </c>
      <c r="B3" s="12">
        <f>VLOOKUP(B6/96*142,G3:I12,3,TRUE)*1000+VLOOKUP(B7/35.5*58.5,G3:I12,2,TRUE)*1000-1000</f>
        <v>1158</v>
      </c>
      <c r="C3" s="12">
        <f>VLOOKUP(C6/96*142,G3:I12,3,TRUE)*1000+VLOOKUP(C7/35.5*58.5,G3:I12,2,TRUE)*1000-1000</f>
        <v>1216</v>
      </c>
      <c r="D3" s="8" t="s">
        <v>7</v>
      </c>
      <c r="E3" s="1"/>
      <c r="G3" s="27">
        <v>10000</v>
      </c>
      <c r="H3" s="28">
        <v>1</v>
      </c>
      <c r="I3" s="28">
        <v>1.006</v>
      </c>
    </row>
    <row r="4" ht="15.6" spans="1:9">
      <c r="A4" s="8" t="s">
        <v>8</v>
      </c>
      <c r="B4" s="29">
        <f>B2*B3</f>
        <v>39361.1971964561</v>
      </c>
      <c r="C4" s="30">
        <f>硫酸钠蒸发结晶水质估算表!C2*硫酸钠蒸发结晶水质估算表!C3</f>
        <v>6439.44074724883</v>
      </c>
      <c r="D4" s="1"/>
      <c r="E4" s="1"/>
      <c r="G4" s="31">
        <v>20000</v>
      </c>
      <c r="H4" s="32">
        <v>1.01</v>
      </c>
      <c r="I4" s="32">
        <v>1.013</v>
      </c>
    </row>
    <row r="5" ht="15.6" spans="1:9">
      <c r="A5" s="8" t="s">
        <v>9</v>
      </c>
      <c r="B5" s="26">
        <f>[2]水质计算!$D$57</f>
        <v>218287.571008929</v>
      </c>
      <c r="C5" s="26">
        <f>硫酸钠蒸发结晶水质估算表!C5</f>
        <v>370882.523295635</v>
      </c>
      <c r="D5" s="1"/>
      <c r="E5" s="1"/>
      <c r="G5" s="31">
        <v>40000</v>
      </c>
      <c r="H5" s="32">
        <v>1.02</v>
      </c>
      <c r="I5" s="32">
        <v>1.033</v>
      </c>
    </row>
    <row r="6" ht="16.8" spans="1:9">
      <c r="A6" s="8" t="s">
        <v>10</v>
      </c>
      <c r="B6" s="26">
        <f>[2]水质计算!$J$57</f>
        <v>115562.655</v>
      </c>
      <c r="C6" s="15">
        <f>硫酸钠蒸发结晶水质估算表!C6</f>
        <v>67605.6338028169</v>
      </c>
      <c r="D6" s="1"/>
      <c r="E6" s="1"/>
      <c r="G6" s="31">
        <v>60000</v>
      </c>
      <c r="H6" s="32">
        <v>1.035</v>
      </c>
      <c r="I6" s="32">
        <v>1.052</v>
      </c>
    </row>
    <row r="7" ht="15.6" spans="1:9">
      <c r="A7" s="8" t="s">
        <v>11</v>
      </c>
      <c r="B7" s="26">
        <f>[2]水质计算!$I$57</f>
        <v>18908.5105044643</v>
      </c>
      <c r="C7" s="15">
        <f>硫酸钠蒸发结晶水质估算表!C7</f>
        <v>117828.178104949</v>
      </c>
      <c r="D7" s="1"/>
      <c r="E7" s="1"/>
      <c r="G7" s="31">
        <v>80000</v>
      </c>
      <c r="H7" s="32">
        <v>1.052</v>
      </c>
      <c r="I7" s="32">
        <v>1.07</v>
      </c>
    </row>
    <row r="8" ht="15.6" spans="1:9">
      <c r="A8" s="8" t="s">
        <v>12</v>
      </c>
      <c r="B8" s="26">
        <v>0</v>
      </c>
      <c r="C8" s="15">
        <f>硫酸钠蒸发结晶水质估算表!C8</f>
        <v>0</v>
      </c>
      <c r="D8" s="1"/>
      <c r="E8" s="1"/>
      <c r="G8" s="31">
        <v>100000</v>
      </c>
      <c r="H8" s="32">
        <v>1.067</v>
      </c>
      <c r="I8" s="32">
        <v>1.089</v>
      </c>
    </row>
    <row r="9" ht="15.6" spans="1:9">
      <c r="A9" s="8" t="s">
        <v>13</v>
      </c>
      <c r="B9" s="33">
        <v>0</v>
      </c>
      <c r="C9" s="15">
        <f>硫酸钠蒸发结晶水质估算表!C9</f>
        <v>0</v>
      </c>
      <c r="D9" s="1"/>
      <c r="E9" s="1"/>
      <c r="G9" s="31">
        <v>120000</v>
      </c>
      <c r="H9" s="32">
        <v>1.086</v>
      </c>
      <c r="I9" s="32">
        <v>1.108</v>
      </c>
    </row>
    <row r="10" ht="15.6" spans="1:9">
      <c r="A10" s="8" t="s">
        <v>14</v>
      </c>
      <c r="B10" s="33">
        <f>[2]水质计算!$O$57</f>
        <v>68418.4255044643</v>
      </c>
      <c r="C10" s="15">
        <f>硫酸钠蒸发结晶水质估算表!C10</f>
        <v>110631.676206538</v>
      </c>
      <c r="D10" s="1"/>
      <c r="E10" s="1"/>
      <c r="G10" s="31">
        <v>140000</v>
      </c>
      <c r="H10" s="32">
        <v>1.097</v>
      </c>
      <c r="I10" s="32">
        <v>1.128</v>
      </c>
    </row>
    <row r="11" ht="15.6" spans="1:9">
      <c r="A11" s="8" t="s">
        <v>15</v>
      </c>
      <c r="B11" s="33">
        <f>183+46</f>
        <v>229</v>
      </c>
      <c r="C11" s="15">
        <f>硫酸钠蒸发结晶水质估算表!C11</f>
        <v>1427.06390344838</v>
      </c>
      <c r="D11" s="1"/>
      <c r="E11" s="1"/>
      <c r="G11" s="31">
        <v>160000</v>
      </c>
      <c r="H11" s="32">
        <v>1.111</v>
      </c>
      <c r="I11" s="32">
        <v>1.148</v>
      </c>
    </row>
    <row r="12" ht="15.6" spans="1:9">
      <c r="A12" s="8" t="s">
        <v>16</v>
      </c>
      <c r="B12" s="33">
        <v>97.121</v>
      </c>
      <c r="C12" s="15">
        <f>硫酸钠蒸发结晶水质估算表!C12</f>
        <v>605.230888064674</v>
      </c>
      <c r="D12" s="1"/>
      <c r="E12" s="1"/>
      <c r="G12" s="31">
        <v>180000</v>
      </c>
      <c r="H12" s="32">
        <v>1.127</v>
      </c>
      <c r="I12" s="32">
        <v>1.168</v>
      </c>
    </row>
    <row r="13" ht="15.6" spans="1:5">
      <c r="A13" s="8" t="s">
        <v>17</v>
      </c>
      <c r="B13" s="33">
        <v>8.546648</v>
      </c>
      <c r="C13" s="15">
        <f>硫酸钠蒸发结晶水质估算表!C13</f>
        <v>53.2603181496913</v>
      </c>
      <c r="D13" s="1"/>
      <c r="E13" s="1"/>
    </row>
    <row r="14" ht="15.6" spans="1:5">
      <c r="A14" s="8" t="s">
        <v>18</v>
      </c>
      <c r="B14" s="33">
        <f>[2]水质计算!$L$57</f>
        <v>185.25</v>
      </c>
      <c r="C14" s="15">
        <f>硫酸钠蒸发结晶水质估算表!C14</f>
        <v>1154.42614896861</v>
      </c>
      <c r="D14" s="1"/>
      <c r="E14" s="1"/>
    </row>
    <row r="15" ht="15.6" spans="1:5">
      <c r="A15" s="8" t="s">
        <v>19</v>
      </c>
      <c r="B15" s="33">
        <f>[2]水质计算!$E$57</f>
        <v>1060.371</v>
      </c>
      <c r="C15" s="15">
        <f>硫酸钠蒸发结晶水质估算表!C15</f>
        <v>6607.93527669635</v>
      </c>
      <c r="D15" s="1"/>
      <c r="E15" s="1"/>
    </row>
    <row r="16" ht="15.6" spans="1:5">
      <c r="A16" s="1"/>
      <c r="B16" s="1"/>
      <c r="C16" s="1"/>
      <c r="D16" s="1"/>
      <c r="E16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C5" sqref="C5"/>
    </sheetView>
  </sheetViews>
  <sheetFormatPr defaultColWidth="9" defaultRowHeight="13.8" outlineLevelCol="6"/>
  <cols>
    <col min="1" max="1" width="13.2222222222222" customWidth="1"/>
    <col min="2" max="2" width="17" customWidth="1"/>
    <col min="3" max="3" width="13.6666666666667" customWidth="1"/>
    <col min="4" max="4" width="17.4444444444444" customWidth="1"/>
    <col min="5" max="5" width="14.8888888888889" customWidth="1"/>
    <col min="6" max="6" width="14.4444444444444" customWidth="1"/>
    <col min="7" max="7" width="27.1111111111111" customWidth="1"/>
  </cols>
  <sheetData>
    <row r="1" ht="15.6" spans="1:7">
      <c r="A1" s="8" t="s">
        <v>20</v>
      </c>
      <c r="B1" s="12" t="str">
        <f>IF(B5=0.97,"二类合格品",IF(B5=0.99,"一类一等品",IF(B5=0.996,"一类优等品",IF(B5=0.98,"二类一等品",IF(B5=0.95,"三类一等品",IF(B5=0.92,"三类合格品"))))))</f>
        <v>二类合格品</v>
      </c>
      <c r="C1" s="13"/>
      <c r="D1" s="13"/>
      <c r="E1" s="13"/>
      <c r="F1" s="13"/>
      <c r="G1" s="13"/>
    </row>
    <row r="2" ht="15.6" spans="1:7">
      <c r="A2" s="8" t="s">
        <v>21</v>
      </c>
      <c r="B2" s="14" t="s">
        <v>22</v>
      </c>
      <c r="C2" s="8"/>
      <c r="D2" s="8" t="s">
        <v>23</v>
      </c>
      <c r="E2" s="8"/>
      <c r="F2" s="8"/>
      <c r="G2" s="8"/>
    </row>
    <row r="3" ht="15.6" spans="1:7">
      <c r="A3" s="15">
        <v>2</v>
      </c>
      <c r="B3" s="16">
        <v>1.03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</row>
    <row r="4" ht="16.35" spans="1:7">
      <c r="A4" s="8" t="s">
        <v>29</v>
      </c>
      <c r="B4" s="8" t="s">
        <v>30</v>
      </c>
      <c r="C4" s="15">
        <v>10</v>
      </c>
      <c r="D4" s="17">
        <v>18000</v>
      </c>
      <c r="E4" s="1">
        <v>18000</v>
      </c>
      <c r="F4" s="1">
        <f>硫酸钠蒸发结晶水质估算表!C15</f>
        <v>6607.93527669635</v>
      </c>
      <c r="G4" s="18">
        <f>D4/进水水质!B15*B3</f>
        <v>17.4844464814673</v>
      </c>
    </row>
    <row r="5" ht="15.6" spans="1:7">
      <c r="A5" s="15">
        <v>2</v>
      </c>
      <c r="B5" s="1">
        <f>IF(AND(A3=1,A5=1),0.996,IF(AND(A3=1,A5=2),0.99,IF(AND(A3=2,A5=1),0.98,IF(AND(A3=2,A5=2),0.97,IF(AND(A3=3,A5=1),0.95,IF(AND(A3=3,A5=2),0.92))))))</f>
        <v>0.97</v>
      </c>
      <c r="C5" s="8" t="s">
        <v>31</v>
      </c>
      <c r="D5" s="8" t="s">
        <v>32</v>
      </c>
      <c r="E5" s="8" t="s">
        <v>33</v>
      </c>
      <c r="F5" s="8" t="s">
        <v>34</v>
      </c>
      <c r="G5" s="8" t="s">
        <v>28</v>
      </c>
    </row>
    <row r="6" ht="15.6" spans="1:7">
      <c r="A6" s="13"/>
      <c r="B6" s="9" t="s">
        <v>35</v>
      </c>
      <c r="C6" s="19">
        <f>硫酸钠蒸发结晶水质估算表!C7/35.5*58.5/10000</f>
        <v>19.4167561102522</v>
      </c>
      <c r="D6" s="20">
        <v>2000</v>
      </c>
      <c r="E6" s="1">
        <v>1500</v>
      </c>
      <c r="F6" s="1">
        <f>硫酸钠蒸发结晶水质估算表!C14</f>
        <v>1154.42614896861</v>
      </c>
      <c r="G6" s="18">
        <f>D6/进水水质!B14*B3</f>
        <v>11.1201079622132</v>
      </c>
    </row>
    <row r="7" ht="15.6" spans="1:7">
      <c r="A7" s="1"/>
      <c r="B7" s="8">
        <f>IF(B5=0.97,0.09,IF(B5=0.99,0.0035,IF(B5=0.996,0.0005,IF(B5=0.98,0.007,IF(B5=0.95,0.02,IF(B5=0.92,0.02))))))</f>
        <v>0.09</v>
      </c>
      <c r="C7" s="1"/>
      <c r="D7" s="8" t="s">
        <v>36</v>
      </c>
      <c r="E7" s="8" t="s">
        <v>37</v>
      </c>
      <c r="F7" s="9" t="s">
        <v>38</v>
      </c>
      <c r="G7" s="8" t="s">
        <v>28</v>
      </c>
    </row>
    <row r="8" ht="15.6" spans="1:7">
      <c r="A8" s="1"/>
      <c r="B8" s="8" t="s">
        <v>39</v>
      </c>
      <c r="C8" s="21"/>
      <c r="D8" s="15">
        <v>6000</v>
      </c>
      <c r="E8" s="1">
        <v>6000</v>
      </c>
      <c r="F8" s="1">
        <f>硫酸钠蒸发结晶水质估算表!C11</f>
        <v>1427.06390344838</v>
      </c>
      <c r="G8" s="18">
        <f>D8/进水水质!B11*B3</f>
        <v>26.9868995633188</v>
      </c>
    </row>
    <row r="9" ht="15.6" spans="1:7">
      <c r="A9" s="1"/>
      <c r="B9" s="22">
        <v>1.00214795871547</v>
      </c>
      <c r="C9" s="21"/>
      <c r="D9" s="8" t="s">
        <v>40</v>
      </c>
      <c r="E9" s="8" t="s">
        <v>41</v>
      </c>
      <c r="F9" s="8" t="s">
        <v>31</v>
      </c>
      <c r="G9" s="8" t="s">
        <v>28</v>
      </c>
    </row>
    <row r="10" ht="15.6" spans="1:7">
      <c r="A10" s="1"/>
      <c r="B10" s="8" t="s">
        <v>42</v>
      </c>
      <c r="C10" s="1"/>
      <c r="D10" s="20">
        <v>20</v>
      </c>
      <c r="E10" s="21">
        <v>20</v>
      </c>
      <c r="F10" s="23">
        <f>硫酸钠蒸发结晶水质估算表!C7/35.5*58.5/10000</f>
        <v>19.4167561102522</v>
      </c>
      <c r="G10" s="18">
        <f>D10/(进水水质!B7/35.5*58.5/10000)</f>
        <v>6.41867170546652</v>
      </c>
    </row>
    <row r="11" ht="15.6" spans="1:7">
      <c r="A11" s="1"/>
      <c r="B11" s="22">
        <v>1.01700154247467</v>
      </c>
      <c r="C11" s="1"/>
      <c r="D11" s="8" t="s">
        <v>43</v>
      </c>
      <c r="E11" s="8" t="s">
        <v>44</v>
      </c>
      <c r="F11" s="8" t="s">
        <v>24</v>
      </c>
      <c r="G11" s="8"/>
    </row>
    <row r="12" ht="15.6" spans="1:7">
      <c r="A12" s="1"/>
      <c r="B12" s="13" t="s">
        <v>45</v>
      </c>
      <c r="C12" s="1"/>
      <c r="D12" s="15"/>
      <c r="E12" s="21">
        <v>20</v>
      </c>
      <c r="F12" s="18">
        <f>硫酸钠蒸发结晶水质估算表!C6/96*142/10000</f>
        <v>10</v>
      </c>
      <c r="G12" s="1"/>
    </row>
    <row r="13" ht="15.6" spans="1:7">
      <c r="A13" s="1"/>
      <c r="B13" s="24">
        <v>0.000165807638625223</v>
      </c>
      <c r="C13" s="1"/>
      <c r="D13" s="1"/>
      <c r="E13" s="1"/>
      <c r="F13" s="1"/>
      <c r="G13" s="8" t="s">
        <v>46</v>
      </c>
    </row>
    <row r="14" ht="15.6" spans="1:7">
      <c r="A14" s="1"/>
      <c r="B14" s="1"/>
      <c r="C14" s="1"/>
      <c r="D14" s="1"/>
      <c r="E14" s="1"/>
      <c r="F14" s="1"/>
      <c r="G14" s="25">
        <f>MIN(G4,G6,G8,G10)</f>
        <v>6.41867170546652</v>
      </c>
    </row>
  </sheetData>
  <mergeCells count="1">
    <mergeCell ref="D2:G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E18" sqref="E18"/>
    </sheetView>
  </sheetViews>
  <sheetFormatPr defaultColWidth="9" defaultRowHeight="13.8"/>
  <cols>
    <col min="1" max="1" width="17.2222222222222" customWidth="1"/>
    <col min="2" max="2" width="13.1111111111111" customWidth="1"/>
    <col min="3" max="3" width="13.6666666666667" customWidth="1"/>
    <col min="4" max="4" width="12.1111111111111" customWidth="1"/>
    <col min="5" max="5" width="15.4444444444444" customWidth="1"/>
    <col min="6" max="6" width="10.1111111111111" customWidth="1"/>
    <col min="7" max="7" width="9.22222222222222" customWidth="1"/>
    <col min="8" max="8" width="26.1111111111111" customWidth="1"/>
    <col min="9" max="9" width="13.8888888888889" customWidth="1"/>
    <col min="11" max="11" width="10.5555555555556" customWidth="1"/>
    <col min="12" max="12" width="17" customWidth="1"/>
    <col min="13" max="13" width="17.2222222222222" customWidth="1"/>
  </cols>
  <sheetData>
    <row r="1" ht="15.6" spans="1:9">
      <c r="A1" s="1"/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3"/>
      <c r="H1" s="3"/>
      <c r="I1" s="3"/>
    </row>
    <row r="2" ht="15.6" spans="1:9">
      <c r="A2" s="4" t="s">
        <v>5</v>
      </c>
      <c r="B2" s="5">
        <f>进水水质!B2</f>
        <v>33.9906711541071</v>
      </c>
      <c r="C2" s="5">
        <f>B2/系数设定表!G14</f>
        <v>5.295592719777</v>
      </c>
      <c r="D2" s="5">
        <f>D4/D3</f>
        <v>27.4777516937324</v>
      </c>
      <c r="E2" s="5"/>
      <c r="F2" s="6">
        <f>B2-C2-D2</f>
        <v>1.21732674059774</v>
      </c>
      <c r="G2" s="3"/>
      <c r="H2" s="7" t="s">
        <v>52</v>
      </c>
      <c r="I2" s="9" t="str">
        <f>IF(I3=97,"二类合格品",IF(I3=99,"一类一等品",IF(I3=99.6,"一类优等品",IF(I3=98,"二类一等品",IF(I3=95,"三类一等品",IF(I3=92,"三类合格品"))))))</f>
        <v>二类合格品</v>
      </c>
    </row>
    <row r="3" ht="15.6" spans="1:9">
      <c r="A3" s="8" t="s">
        <v>6</v>
      </c>
      <c r="B3" s="5">
        <f>进水水质!B3</f>
        <v>1158</v>
      </c>
      <c r="C3" s="5">
        <f>进水水质!C3</f>
        <v>1216</v>
      </c>
      <c r="D3" s="5">
        <v>1000</v>
      </c>
      <c r="E3" s="5"/>
      <c r="F3" s="2"/>
      <c r="G3" s="3"/>
      <c r="H3" s="9" t="s">
        <v>53</v>
      </c>
      <c r="I3" s="8">
        <f>系数设定表!B5*100</f>
        <v>97</v>
      </c>
    </row>
    <row r="4" ht="15.6" spans="1:9">
      <c r="A4" s="8" t="s">
        <v>8</v>
      </c>
      <c r="B4" s="5">
        <f>进水水质!B4</f>
        <v>39361.1971964561</v>
      </c>
      <c r="C4" s="5">
        <f>C2*C3</f>
        <v>6439.44074724883</v>
      </c>
      <c r="D4" s="5">
        <f>B4-C4-E4</f>
        <v>27477.7516937324</v>
      </c>
      <c r="E4" s="5">
        <f>(B2*B6/96*142-C6*C2/96*142)/1000/系数设定表!B5</f>
        <v>5444.00475547484</v>
      </c>
      <c r="F4" s="2"/>
      <c r="G4" s="3"/>
      <c r="H4" s="9" t="s">
        <v>54</v>
      </c>
      <c r="I4" s="8" t="str">
        <f>IF(I3=97,"0.2",IF(I3=99,"0.05",IF(I3=99.6,"0.005",IF(I3=98,"0.10",IF(I3=95,"-",IF(I3=92,"-"))))))</f>
        <v>0.2</v>
      </c>
    </row>
    <row r="5" ht="15.6" spans="1:9">
      <c r="A5" s="8" t="s">
        <v>9</v>
      </c>
      <c r="B5" s="5">
        <f>进水水质!B5</f>
        <v>218287.571008929</v>
      </c>
      <c r="C5" s="5">
        <f>(B5*B2/1000-E4*系数设定表!B9)/C2*1000</f>
        <v>370882.523295635</v>
      </c>
      <c r="D5" s="5">
        <f>B5*系数设定表!B13</f>
        <v>36.1937466902261</v>
      </c>
      <c r="E5" s="5"/>
      <c r="F5" s="2"/>
      <c r="G5" s="3"/>
      <c r="H5" s="9" t="s">
        <v>55</v>
      </c>
      <c r="I5" s="8" t="str">
        <f>IF(I3=97,"0.40",IF(I3=99,"0.15",IF(I3=99.6,"-",IF(I3=98,"0.30",IF(I3=95,"0.60",IF(I3=92,"-"))))))</f>
        <v>0.40</v>
      </c>
    </row>
    <row r="6" ht="16.8" spans="1:9">
      <c r="A6" s="8" t="s">
        <v>10</v>
      </c>
      <c r="B6" s="5">
        <f>进水水质!B6</f>
        <v>115562.655</v>
      </c>
      <c r="C6" s="5">
        <f>系数设定表!C4*10000/142*96</f>
        <v>67605.6338028169</v>
      </c>
      <c r="D6" s="5">
        <f>B6*系数设定表!B13</f>
        <v>19.1611709388113</v>
      </c>
      <c r="E6" s="5"/>
      <c r="F6" s="2"/>
      <c r="G6" s="3"/>
      <c r="H6" s="9" t="s">
        <v>56</v>
      </c>
      <c r="I6" s="8" t="str">
        <f>IF(I3=97,"-",IF(I3=99,"-",IF(I3=99.6,"0.01",IF(I3=98,"-",IF(I3=95,"-",IF(I3=92,"-"))))))</f>
        <v>-</v>
      </c>
    </row>
    <row r="7" ht="15.6" spans="1:9">
      <c r="A7" s="8" t="s">
        <v>57</v>
      </c>
      <c r="B7" s="5">
        <f>进水水质!B7</f>
        <v>18908.5105044643</v>
      </c>
      <c r="C7" s="5">
        <f>B2*B7/C2/系数设定表!B3-E4*I8/C2/100/58.5*35.5</f>
        <v>117828.178104949</v>
      </c>
      <c r="D7" s="5">
        <f>B7*系数设定表!B13</f>
        <v>3.13517547666544</v>
      </c>
      <c r="E7" s="5"/>
      <c r="F7" s="2"/>
      <c r="G7" s="3"/>
      <c r="H7" s="9" t="s">
        <v>58</v>
      </c>
      <c r="I7" s="8" t="str">
        <f>IF(I3=97,"-",IF(I3=99,"-",IF(I3=99.6,"0.01",IF(I3=98,"-",IF(I3=95,"-",IF(I3=92,"-"))))))</f>
        <v>-</v>
      </c>
    </row>
    <row r="8" ht="15.6" spans="1:9">
      <c r="A8" s="8" t="s">
        <v>12</v>
      </c>
      <c r="B8" s="5">
        <f>进水水质!B8</f>
        <v>0</v>
      </c>
      <c r="C8" s="5">
        <f>B8*系数设定表!G14/系数设定表!B3</f>
        <v>0</v>
      </c>
      <c r="D8" s="5">
        <f>B8*系数设定表!B13</f>
        <v>0</v>
      </c>
      <c r="E8" s="5"/>
      <c r="F8" s="2"/>
      <c r="G8" s="3"/>
      <c r="H8" s="9" t="s">
        <v>59</v>
      </c>
      <c r="I8" s="8">
        <f>[1]系数设定表!B9*100</f>
        <v>0.7</v>
      </c>
    </row>
    <row r="9" ht="15.6" spans="1:9">
      <c r="A9" s="8" t="s">
        <v>13</v>
      </c>
      <c r="B9" s="5">
        <f>进水水质!B9</f>
        <v>0</v>
      </c>
      <c r="C9" s="5">
        <f>B9*系数设定表!G14/系数设定表!B3</f>
        <v>0</v>
      </c>
      <c r="D9" s="5">
        <f>B9*系数设定表!B13</f>
        <v>0</v>
      </c>
      <c r="E9" s="5"/>
      <c r="F9" s="2"/>
      <c r="G9" s="3"/>
      <c r="H9" s="9" t="s">
        <v>60</v>
      </c>
      <c r="I9" s="8" t="str">
        <f>IF(I3=97,"0.040",IF(I3=99,"0.002",IF(I3=99.6,"0.0005",IF(I3=98,"0.010",IF(I3=95,"-",IF(I3=92,"-"))))))</f>
        <v>0.040</v>
      </c>
    </row>
    <row r="10" ht="15.6" spans="1:9">
      <c r="A10" s="8" t="s">
        <v>14</v>
      </c>
      <c r="B10" s="5">
        <f>进水水质!B10</f>
        <v>68418.4255044643</v>
      </c>
      <c r="C10" s="5">
        <f>(B2*B10-(B2*B6-C2*C6)/96*46*系数设定表!B11)/C2</f>
        <v>110631.676206538</v>
      </c>
      <c r="D10" s="5">
        <f>B10*系数设定表!B13</f>
        <v>11.3442975713509</v>
      </c>
      <c r="E10" s="5"/>
      <c r="F10" s="2"/>
      <c r="G10" s="3"/>
      <c r="H10" s="9" t="s">
        <v>61</v>
      </c>
      <c r="I10" s="8" t="str">
        <f>IF(I3=97,"1.0",IF(I3=99,"0.20",IF(I3=99.6,"0.05",IF(I3=98,"0.50",IF(I3=95,"1.5",IF(I3=92,"-"))))))</f>
        <v>1.0</v>
      </c>
    </row>
    <row r="11" ht="15.6" spans="1:9">
      <c r="A11" s="8" t="s">
        <v>15</v>
      </c>
      <c r="B11" s="5">
        <f>进水水质!B11</f>
        <v>229</v>
      </c>
      <c r="C11" s="5">
        <f>B11*系数设定表!G14/系数设定表!B3</f>
        <v>1427.06390344838</v>
      </c>
      <c r="D11" s="5">
        <f>B11*系数设定表!B13</f>
        <v>0.037969949245176</v>
      </c>
      <c r="E11" s="5"/>
      <c r="F11" s="2"/>
      <c r="G11" s="3"/>
      <c r="H11" s="9" t="s">
        <v>62</v>
      </c>
      <c r="I11" s="8" t="str">
        <f>IF(I3=97,"-",IF(I3=99,"82",IF(I3=99.6,"88",IF(I3=98,"82",IF(I3=95,"-",IF(I3=92,"-"))))))</f>
        <v>-</v>
      </c>
    </row>
    <row r="12" ht="15.6" spans="1:9">
      <c r="A12" s="8" t="s">
        <v>16</v>
      </c>
      <c r="B12" s="5">
        <f>进水水质!B12</f>
        <v>97.121</v>
      </c>
      <c r="C12" s="5">
        <f>B12*系数设定表!G14/系数设定表!B3</f>
        <v>605.230888064674</v>
      </c>
      <c r="D12" s="5">
        <f>B12*系数设定表!B13</f>
        <v>0.0161034036709203</v>
      </c>
      <c r="E12" s="5"/>
      <c r="F12" s="2"/>
      <c r="G12" s="3"/>
      <c r="H12" s="9" t="s">
        <v>63</v>
      </c>
      <c r="I12" s="8" t="str">
        <f>IF(I3=97,"-",IF(I3=99,"-",IF(I3=99.6,"6~8",IF(I3=98,"-",IF(I3=95,"-",IF(I3=92,"-"))))))</f>
        <v>-</v>
      </c>
    </row>
    <row r="13" ht="15.6" spans="1:9">
      <c r="A13" s="8" t="s">
        <v>17</v>
      </c>
      <c r="B13" s="5">
        <f>进水水质!B13</f>
        <v>8.546648</v>
      </c>
      <c r="C13" s="5">
        <f>B13*系数设定表!G14/系数设定表!B3</f>
        <v>53.2603181496913</v>
      </c>
      <c r="D13" s="5">
        <f>B13*系数设定表!B13</f>
        <v>0.00141709952304098</v>
      </c>
      <c r="E13" s="5"/>
      <c r="F13" s="2"/>
      <c r="G13" s="3"/>
      <c r="H13" s="3"/>
      <c r="I13" s="3"/>
    </row>
    <row r="14" ht="15.6" spans="1:9">
      <c r="A14" s="8" t="s">
        <v>18</v>
      </c>
      <c r="B14" s="5">
        <f>进水水质!B14</f>
        <v>185.25</v>
      </c>
      <c r="C14" s="5">
        <f>B14*系数设定表!G14/系数设定表!B3</f>
        <v>1154.42614896861</v>
      </c>
      <c r="D14" s="5">
        <f>B14*系数设定表!B13</f>
        <v>0.0307158650553225</v>
      </c>
      <c r="E14" s="5"/>
      <c r="F14" s="2"/>
      <c r="G14" s="3"/>
      <c r="H14" s="3"/>
      <c r="I14" s="3"/>
    </row>
    <row r="15" ht="15.6" spans="1:9">
      <c r="A15" s="8" t="s">
        <v>19</v>
      </c>
      <c r="B15" s="5">
        <f>进水水质!B15</f>
        <v>1060.371</v>
      </c>
      <c r="C15" s="5">
        <f>B15*系数设定表!G14/系数设定表!B3</f>
        <v>6607.93527669635</v>
      </c>
      <c r="D15" s="5">
        <f>B15*系数设定表!B13</f>
        <v>0.175817611576666</v>
      </c>
      <c r="E15" s="5"/>
      <c r="F15" s="2"/>
      <c r="G15" s="3"/>
      <c r="H15" s="3"/>
      <c r="I15" s="3"/>
    </row>
    <row r="19" spans="3:3">
      <c r="C19" s="10"/>
    </row>
    <row r="20" spans="6:6">
      <c r="F20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进水水质</vt:lpstr>
      <vt:lpstr>系数设定表</vt:lpstr>
      <vt:lpstr>硫酸钠蒸发结晶水质估算表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赵泽盟</cp:lastModifiedBy>
  <dcterms:created xsi:type="dcterms:W3CDTF">2015-06-05T18:19:00Z</dcterms:created>
  <dcterms:modified xsi:type="dcterms:W3CDTF">2019-06-17T10:53:21Z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