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进水水质" sheetId="1" r:id="rId1"/>
    <sheet name="系数设定表" sheetId="2" r:id="rId2"/>
    <sheet name="氯化钠蒸发结晶水质估算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3" i="1" l="1"/>
  <c r="B6" i="3" l="1"/>
  <c r="G10" i="2"/>
  <c r="B5" i="2"/>
  <c r="I3" i="3"/>
  <c r="I2" i="3"/>
  <c r="B1" i="2"/>
  <c r="C7" i="3"/>
  <c r="C7" i="1" s="1"/>
  <c r="F12" i="2"/>
  <c r="B2" i="3"/>
  <c r="G4" i="2"/>
  <c r="G6" i="2"/>
  <c r="G8" i="2"/>
  <c r="B7" i="3"/>
  <c r="D7" i="3" s="1"/>
  <c r="B7" i="2"/>
  <c r="I6" i="3"/>
  <c r="I7" i="3"/>
  <c r="I5" i="3"/>
  <c r="I4" i="3"/>
  <c r="B15" i="3"/>
  <c r="D15" i="3" s="1"/>
  <c r="B14" i="3"/>
  <c r="B13" i="3"/>
  <c r="D13" i="3" s="1"/>
  <c r="B12" i="3"/>
  <c r="D12" i="3" s="1"/>
  <c r="B11" i="3"/>
  <c r="D11" i="3" s="1"/>
  <c r="B9" i="3"/>
  <c r="D9" i="3" s="1"/>
  <c r="B8" i="3"/>
  <c r="D8" i="3" s="1"/>
  <c r="B3" i="3"/>
  <c r="B4" i="1"/>
  <c r="B4" i="3" s="1"/>
  <c r="B5" i="3"/>
  <c r="D5" i="3" s="1"/>
  <c r="B10" i="3"/>
  <c r="D10" i="3" s="1"/>
  <c r="G14" i="2" l="1"/>
  <c r="C8" i="3" s="1"/>
  <c r="C8" i="1" s="1"/>
  <c r="D6" i="3"/>
  <c r="D14" i="3"/>
  <c r="C13" i="3" l="1"/>
  <c r="C13" i="1" s="1"/>
  <c r="C2" i="3"/>
  <c r="C9" i="3"/>
  <c r="C9" i="1" s="1"/>
  <c r="C14" i="3"/>
  <c r="C15" i="3"/>
  <c r="C12" i="3"/>
  <c r="C12" i="1" s="1"/>
  <c r="C11" i="3"/>
  <c r="F4" i="2" l="1"/>
  <c r="C15" i="1"/>
  <c r="F6" i="2"/>
  <c r="C14" i="1"/>
  <c r="F8" i="2"/>
  <c r="C11" i="1"/>
  <c r="E4" i="3"/>
  <c r="C5" i="1" s="1"/>
  <c r="C2" i="1"/>
  <c r="C10" i="3"/>
  <c r="C10" i="1" s="1"/>
  <c r="C6" i="3" l="1"/>
  <c r="C6" i="1" s="1"/>
  <c r="C3" i="1" s="1"/>
  <c r="C3" i="3" s="1"/>
  <c r="C4" i="3" s="1"/>
  <c r="D4" i="3" s="1"/>
  <c r="D2" i="3" s="1"/>
  <c r="F2" i="3" s="1"/>
  <c r="C4" i="1" l="1"/>
  <c r="C6" i="2"/>
  <c r="F10" i="2"/>
</calcChain>
</file>

<file path=xl/sharedStrings.xml><?xml version="1.0" encoding="utf-8"?>
<sst xmlns="http://schemas.openxmlformats.org/spreadsheetml/2006/main" count="78" uniqueCount="60">
  <si>
    <t>TDS  mg/L</t>
  </si>
  <si>
    <t>CL- mg/L</t>
  </si>
  <si>
    <t>Ca2+ mg/L</t>
  </si>
  <si>
    <t>Mg2+ mg/L</t>
  </si>
  <si>
    <t>Na+ mg/L</t>
  </si>
  <si>
    <t>HCO3- mg/L</t>
  </si>
  <si>
    <t>NO3- mg/L</t>
  </si>
  <si>
    <t>COD mg/L</t>
  </si>
  <si>
    <r>
      <rPr>
        <sz val="12"/>
        <color rgb="FF000000"/>
        <rFont val="宋体"/>
        <family val="3"/>
        <charset val="134"/>
      </rPr>
      <t>流量</t>
    </r>
    <r>
      <rPr>
        <sz val="12"/>
        <rFont val="Times New Roman"/>
        <family val="1"/>
      </rPr>
      <t>m3/h</t>
    </r>
  </si>
  <si>
    <r>
      <rPr>
        <sz val="12"/>
        <rFont val="宋体"/>
        <family val="3"/>
        <charset val="134"/>
      </rPr>
      <t>密度</t>
    </r>
    <r>
      <rPr>
        <sz val="12"/>
        <rFont val="Times New Roman"/>
        <family val="1"/>
      </rPr>
      <t>kg/m3</t>
    </r>
  </si>
  <si>
    <r>
      <rPr>
        <sz val="12"/>
        <rFont val="宋体"/>
        <family val="3"/>
        <charset val="134"/>
      </rPr>
      <t>质量</t>
    </r>
    <r>
      <rPr>
        <sz val="12"/>
        <rFont val="Times New Roman"/>
        <family val="1"/>
      </rPr>
      <t>kg/h</t>
    </r>
    <phoneticPr fontId="4" type="noConversion"/>
  </si>
  <si>
    <r>
      <t>SO4</t>
    </r>
    <r>
      <rPr>
        <vertAlign val="superscript"/>
        <sz val="12"/>
        <color indexed="8"/>
        <rFont val="Times New Roman"/>
        <family val="1"/>
      </rPr>
      <t>2-</t>
    </r>
    <r>
      <rPr>
        <sz val="12"/>
        <color indexed="8"/>
        <rFont val="Times New Roman"/>
        <family val="1"/>
      </rPr>
      <t xml:space="preserve"> mg/L</t>
    </r>
  </si>
  <si>
    <r>
      <rPr>
        <sz val="12"/>
        <rFont val="宋体"/>
        <family val="3"/>
        <charset val="134"/>
      </rPr>
      <t>氨氮</t>
    </r>
    <r>
      <rPr>
        <sz val="12"/>
        <rFont val="Times New Roman"/>
        <family val="1"/>
      </rPr>
      <t xml:space="preserve"> mg/L</t>
    </r>
  </si>
  <si>
    <r>
      <rPr>
        <sz val="12"/>
        <rFont val="宋体"/>
        <family val="3"/>
        <charset val="134"/>
      </rPr>
      <t>总硅</t>
    </r>
    <r>
      <rPr>
        <sz val="12"/>
        <rFont val="Times New Roman"/>
        <family val="1"/>
      </rPr>
      <t xml:space="preserve"> mg/L</t>
    </r>
  </si>
  <si>
    <r>
      <rPr>
        <sz val="12"/>
        <color theme="1"/>
        <rFont val="宋体"/>
        <family val="3"/>
        <charset val="134"/>
      </rPr>
      <t>进料</t>
    </r>
  </si>
  <si>
    <r>
      <rPr>
        <sz val="12"/>
        <color theme="1"/>
        <rFont val="宋体"/>
        <family val="3"/>
        <charset val="134"/>
      </rPr>
      <t>结晶母液</t>
    </r>
  </si>
  <si>
    <t>Na2SO4</t>
    <phoneticPr fontId="4" type="noConversion"/>
  </si>
  <si>
    <t>COD</t>
    <phoneticPr fontId="4" type="noConversion"/>
  </si>
  <si>
    <t>NaCl</t>
    <phoneticPr fontId="4" type="noConversion"/>
  </si>
  <si>
    <r>
      <rPr>
        <sz val="12"/>
        <rFont val="宋体"/>
        <family val="3"/>
        <charset val="134"/>
      </rPr>
      <t>硫酸钠等级</t>
    </r>
    <phoneticPr fontId="4" type="noConversion"/>
  </si>
  <si>
    <r>
      <rPr>
        <sz val="12"/>
        <rFont val="宋体"/>
        <family val="3"/>
        <charset val="134"/>
      </rPr>
      <t>结晶母液浓缩倍数</t>
    </r>
    <phoneticPr fontId="4" type="noConversion"/>
  </si>
  <si>
    <r>
      <t>COD</t>
    </r>
    <r>
      <rPr>
        <sz val="12"/>
        <rFont val="宋体"/>
        <family val="3"/>
        <charset val="134"/>
      </rPr>
      <t>设定值</t>
    </r>
    <phoneticPr fontId="4" type="noConversion"/>
  </si>
  <si>
    <r>
      <t>COD</t>
    </r>
    <r>
      <rPr>
        <sz val="12"/>
        <rFont val="宋体"/>
        <family val="3"/>
        <charset val="134"/>
      </rPr>
      <t>最大值</t>
    </r>
    <phoneticPr fontId="4" type="noConversion"/>
  </si>
  <si>
    <r>
      <rPr>
        <sz val="12"/>
        <rFont val="宋体"/>
        <family val="3"/>
        <charset val="134"/>
      </rPr>
      <t>结晶浓缩倍数</t>
    </r>
    <phoneticPr fontId="4" type="noConversion"/>
  </si>
  <si>
    <r>
      <rPr>
        <sz val="12"/>
        <rFont val="宋体"/>
        <family val="3"/>
        <charset val="134"/>
      </rPr>
      <t>蒸发结晶经验值</t>
    </r>
    <phoneticPr fontId="4" type="noConversion"/>
  </si>
  <si>
    <r>
      <rPr>
        <sz val="12"/>
        <rFont val="宋体"/>
        <family val="3"/>
        <charset val="134"/>
      </rPr>
      <t>总硅设定值</t>
    </r>
    <phoneticPr fontId="4" type="noConversion"/>
  </si>
  <si>
    <r>
      <rPr>
        <sz val="12"/>
        <rFont val="宋体"/>
        <family val="3"/>
        <charset val="134"/>
      </rPr>
      <t>总硅最大值</t>
    </r>
    <phoneticPr fontId="4" type="noConversion"/>
  </si>
  <si>
    <r>
      <rPr>
        <sz val="12"/>
        <rFont val="宋体"/>
        <family val="3"/>
        <charset val="134"/>
      </rPr>
      <t>总硅</t>
    </r>
    <phoneticPr fontId="4" type="noConversion"/>
  </si>
  <si>
    <r>
      <rPr>
        <sz val="12"/>
        <rFont val="宋体"/>
        <family val="3"/>
        <charset val="134"/>
      </rPr>
      <t>碳酸根设定值</t>
    </r>
    <phoneticPr fontId="4" type="noConversion"/>
  </si>
  <si>
    <r>
      <rPr>
        <sz val="12"/>
        <rFont val="宋体"/>
        <family val="3"/>
        <charset val="134"/>
      </rPr>
      <t>碳酸根最大值</t>
    </r>
    <phoneticPr fontId="4" type="noConversion"/>
  </si>
  <si>
    <r>
      <rPr>
        <sz val="12"/>
        <rFont val="宋体"/>
        <family val="3"/>
        <charset val="134"/>
      </rPr>
      <t>碳酸根</t>
    </r>
    <phoneticPr fontId="4" type="noConversion"/>
  </si>
  <si>
    <r>
      <t>NaCl</t>
    </r>
    <r>
      <rPr>
        <sz val="12"/>
        <rFont val="宋体"/>
        <family val="3"/>
        <charset val="134"/>
      </rPr>
      <t>设定值</t>
    </r>
    <phoneticPr fontId="4" type="noConversion"/>
  </si>
  <si>
    <r>
      <rPr>
        <sz val="12"/>
        <rFont val="宋体"/>
        <family val="3"/>
        <charset val="134"/>
      </rPr>
      <t>结晶盐经验值</t>
    </r>
    <phoneticPr fontId="4" type="noConversion"/>
  </si>
  <si>
    <r>
      <t>Na2SO4</t>
    </r>
    <r>
      <rPr>
        <sz val="12"/>
        <rFont val="宋体"/>
        <family val="3"/>
        <charset val="134"/>
      </rPr>
      <t>设定值</t>
    </r>
    <phoneticPr fontId="4" type="noConversion"/>
  </si>
  <si>
    <r>
      <rPr>
        <sz val="12"/>
        <rFont val="宋体"/>
        <family val="3"/>
        <charset val="134"/>
      </rPr>
      <t>钠离子经验值</t>
    </r>
    <phoneticPr fontId="4" type="noConversion"/>
  </si>
  <si>
    <r>
      <rPr>
        <sz val="12"/>
        <rFont val="宋体"/>
        <family val="3"/>
        <charset val="134"/>
      </rPr>
      <t>结晶浓缩倍数选取最小值</t>
    </r>
    <phoneticPr fontId="4" type="noConversion"/>
  </si>
  <si>
    <r>
      <rPr>
        <sz val="12"/>
        <rFont val="宋体"/>
        <family val="3"/>
        <charset val="134"/>
      </rPr>
      <t>水不溶物</t>
    </r>
    <r>
      <rPr>
        <sz val="12"/>
        <rFont val="Times New Roman"/>
        <family val="1"/>
      </rPr>
      <t xml:space="preserve"> w%</t>
    </r>
    <phoneticPr fontId="4" type="noConversion"/>
  </si>
  <si>
    <r>
      <rPr>
        <sz val="12"/>
        <rFont val="宋体"/>
        <family val="3"/>
        <charset val="134"/>
      </rPr>
      <t>钙和镁</t>
    </r>
    <r>
      <rPr>
        <sz val="12"/>
        <rFont val="Times New Roman"/>
        <family val="1"/>
      </rPr>
      <t xml:space="preserve"> w%</t>
    </r>
    <phoneticPr fontId="4" type="noConversion"/>
  </si>
  <si>
    <r>
      <rPr>
        <sz val="12"/>
        <rFont val="宋体"/>
        <family val="3"/>
        <charset val="134"/>
      </rPr>
      <t>水分</t>
    </r>
    <r>
      <rPr>
        <sz val="12"/>
        <rFont val="Times New Roman"/>
        <family val="1"/>
      </rPr>
      <t xml:space="preserve"> w%</t>
    </r>
    <phoneticPr fontId="4" type="noConversion"/>
  </si>
  <si>
    <t>Cl- mg/L</t>
    <phoneticPr fontId="1" type="noConversion"/>
  </si>
  <si>
    <r>
      <rPr>
        <sz val="12"/>
        <color theme="1"/>
        <rFont val="宋体"/>
        <family val="3"/>
        <charset val="134"/>
      </rPr>
      <t>进水</t>
    </r>
    <phoneticPr fontId="1" type="noConversion"/>
  </si>
  <si>
    <r>
      <rPr>
        <sz val="12"/>
        <color theme="1"/>
        <rFont val="宋体"/>
        <family val="3"/>
        <charset val="134"/>
      </rPr>
      <t>冷凝液</t>
    </r>
    <phoneticPr fontId="1" type="noConversion"/>
  </si>
  <si>
    <r>
      <rPr>
        <sz val="12"/>
        <color theme="1"/>
        <rFont val="宋体"/>
        <family val="3"/>
        <charset val="134"/>
      </rPr>
      <t>损失水量</t>
    </r>
    <phoneticPr fontId="1" type="noConversion"/>
  </si>
  <si>
    <t>GB/T 5462-2015</t>
    <phoneticPr fontId="1" type="noConversion"/>
  </si>
  <si>
    <t>氯化钠纯度</t>
    <phoneticPr fontId="4" type="noConversion"/>
  </si>
  <si>
    <t>硫酸盐含量</t>
    <phoneticPr fontId="4" type="noConversion"/>
  </si>
  <si>
    <t>冷凝水携带离子率</t>
    <phoneticPr fontId="1" type="noConversion"/>
  </si>
  <si>
    <r>
      <rPr>
        <sz val="12"/>
        <rFont val="宋体"/>
        <family val="3"/>
        <charset val="134"/>
      </rPr>
      <t>氯化钠</t>
    </r>
    <r>
      <rPr>
        <sz val="12"/>
        <rFont val="Times New Roman"/>
        <family val="1"/>
      </rPr>
      <t xml:space="preserve"> w%</t>
    </r>
    <phoneticPr fontId="4" type="noConversion"/>
  </si>
  <si>
    <r>
      <rPr>
        <sz val="12"/>
        <rFont val="宋体"/>
        <family val="3"/>
        <charset val="134"/>
      </rPr>
      <t>工业干盐</t>
    </r>
    <r>
      <rPr>
        <sz val="12"/>
        <rFont val="Times New Roman"/>
        <family val="1"/>
      </rPr>
      <t>—1</t>
    </r>
    <phoneticPr fontId="4" type="noConversion"/>
  </si>
  <si>
    <r>
      <rPr>
        <sz val="12"/>
        <color theme="1"/>
        <rFont val="宋体"/>
        <family val="3"/>
        <charset val="134"/>
      </rPr>
      <t>工业湿盐</t>
    </r>
    <r>
      <rPr>
        <sz val="12"/>
        <color theme="1"/>
        <rFont val="Times New Roman"/>
        <family val="1"/>
      </rPr>
      <t>—2</t>
    </r>
    <phoneticPr fontId="1" type="noConversion"/>
  </si>
  <si>
    <t>品质</t>
    <phoneticPr fontId="4" type="noConversion"/>
  </si>
  <si>
    <r>
      <rPr>
        <sz val="12"/>
        <rFont val="宋体"/>
        <family val="3"/>
        <charset val="134"/>
      </rPr>
      <t>硫酸根离子</t>
    </r>
    <r>
      <rPr>
        <sz val="12"/>
        <rFont val="Times New Roman"/>
        <family val="1"/>
      </rPr>
      <t xml:space="preserve"> w%</t>
    </r>
    <phoneticPr fontId="4" type="noConversion"/>
  </si>
  <si>
    <r>
      <t>Na2SO4</t>
    </r>
    <r>
      <rPr>
        <sz val="12"/>
        <rFont val="宋体"/>
        <family val="3"/>
        <charset val="134"/>
      </rPr>
      <t>最大值</t>
    </r>
    <phoneticPr fontId="4" type="noConversion"/>
  </si>
  <si>
    <r>
      <t>NaCl</t>
    </r>
    <r>
      <rPr>
        <sz val="12"/>
        <rFont val="宋体"/>
        <family val="3"/>
        <charset val="134"/>
      </rPr>
      <t>最小值</t>
    </r>
    <phoneticPr fontId="4" type="noConversion"/>
  </si>
  <si>
    <t>4,4</t>
    <phoneticPr fontId="1" type="noConversion"/>
  </si>
  <si>
    <t>TDS</t>
  </si>
  <si>
    <r>
      <rPr>
        <sz val="11"/>
        <color theme="1"/>
        <rFont val="宋体"/>
        <family val="3"/>
        <charset val="134"/>
      </rPr>
      <t>氯化钠溶液密度</t>
    </r>
  </si>
  <si>
    <r>
      <rPr>
        <sz val="11"/>
        <color theme="1"/>
        <rFont val="宋体"/>
        <family val="3"/>
        <charset val="134"/>
      </rPr>
      <t>硫酸钠溶液密度</t>
    </r>
  </si>
  <si>
    <t>氯化钠母液</t>
    <phoneticPr fontId="1" type="noConversion"/>
  </si>
  <si>
    <t>氯化钠结晶盐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</si>
</sst>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0"/>
    <numFmt numFmtId="178" formatCode="0.0"/>
    <numFmt numFmtId="179" formatCode="0.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name val="Times New Roman"/>
      <family val="3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5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8" fontId="10" fillId="0" borderId="1" xfId="0" applyNumberFormat="1" applyFont="1" applyBorder="1" applyAlignment="1">
      <alignment horizontal="center"/>
    </xf>
    <xf numFmtId="179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10" fillId="0" borderId="0" xfId="0" applyFont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C10" sqref="C10"/>
    </sheetView>
  </sheetViews>
  <sheetFormatPr defaultRowHeight="13.8" x14ac:dyDescent="0.25"/>
  <cols>
    <col min="1" max="1" width="16.77734375" customWidth="1"/>
    <col min="2" max="2" width="9.44140625" bestFit="1" customWidth="1"/>
    <col min="3" max="3" width="9.109375" bestFit="1" customWidth="1"/>
    <col min="4" max="4" width="37" customWidth="1"/>
    <col min="7" max="7" width="10.109375" bestFit="1" customWidth="1"/>
    <col min="8" max="8" width="14.6640625" customWidth="1"/>
    <col min="9" max="9" width="18.21875" customWidth="1"/>
    <col min="10" max="10" width="17.44140625" customWidth="1"/>
  </cols>
  <sheetData>
    <row r="1" spans="1:9" ht="15.6" x14ac:dyDescent="0.25">
      <c r="A1" s="2"/>
      <c r="B1" s="2" t="s">
        <v>14</v>
      </c>
      <c r="C1" s="2" t="s">
        <v>15</v>
      </c>
      <c r="D1" s="2"/>
      <c r="E1" s="2"/>
      <c r="G1" s="36" t="s">
        <v>55</v>
      </c>
      <c r="H1" s="36" t="s">
        <v>56</v>
      </c>
      <c r="I1" s="36" t="s">
        <v>57</v>
      </c>
    </row>
    <row r="2" spans="1:9" ht="15.6" x14ac:dyDescent="0.25">
      <c r="A2" s="5" t="s">
        <v>8</v>
      </c>
      <c r="B2" s="6">
        <v>5.2259420402006622</v>
      </c>
      <c r="C2" s="4">
        <f>氯化钠蒸发结晶水质估算表!C2</f>
        <v>0.49717456321134412</v>
      </c>
      <c r="D2" s="2"/>
      <c r="E2" s="2"/>
      <c r="G2" s="36">
        <v>0</v>
      </c>
      <c r="H2" s="36">
        <v>1</v>
      </c>
      <c r="I2" s="36">
        <v>1</v>
      </c>
    </row>
    <row r="3" spans="1:9" ht="15.6" x14ac:dyDescent="0.25">
      <c r="A3" s="7" t="s">
        <v>9</v>
      </c>
      <c r="B3" s="8">
        <f>VLOOKUP(B7/35.5*58.5,G2:I12,2,TRUE)*1000+VLOOKUP(B6/96*142,G2:I12,3,TRUE)*1000-1000</f>
        <v>1035</v>
      </c>
      <c r="C3" s="8">
        <f>VLOOKUP(C7/35.5*58.5,G2:I12,2,TRUE)*1000+VLOOKUP(C6/96*142,G2:I12,3,TRUE)*1000-1000</f>
        <v>1133</v>
      </c>
      <c r="D3" s="7"/>
      <c r="E3" s="2"/>
      <c r="G3" s="35">
        <v>10000</v>
      </c>
      <c r="H3" s="36">
        <v>1</v>
      </c>
      <c r="I3" s="36">
        <v>1.006</v>
      </c>
    </row>
    <row r="4" spans="1:9" ht="15.6" x14ac:dyDescent="0.25">
      <c r="A4" s="7" t="s">
        <v>10</v>
      </c>
      <c r="B4" s="6">
        <f>B3*B2</f>
        <v>5408.8500116076857</v>
      </c>
      <c r="C4" s="6">
        <f>氯化钠蒸发结晶水质估算表!C3*氯化钠蒸发结晶水质估算表!C2</f>
        <v>563.2987801184529</v>
      </c>
      <c r="D4" s="2"/>
      <c r="E4" s="2"/>
      <c r="G4" s="35">
        <v>20000</v>
      </c>
      <c r="H4" s="36">
        <v>1.01</v>
      </c>
      <c r="I4" s="36">
        <v>1.0129999999999999</v>
      </c>
    </row>
    <row r="5" spans="1:9" ht="15.6" x14ac:dyDescent="0.25">
      <c r="A5" s="7" t="s">
        <v>0</v>
      </c>
      <c r="B5" s="6">
        <v>44922.238228455244</v>
      </c>
      <c r="C5" s="6">
        <f>氯化钠蒸发结晶水质估算表!C5</f>
        <v>471623.87601581699</v>
      </c>
      <c r="D5" s="2"/>
      <c r="E5" s="2"/>
      <c r="G5" s="35">
        <v>40000</v>
      </c>
      <c r="H5" s="36">
        <v>1.02</v>
      </c>
      <c r="I5" s="36">
        <v>1.0329999999999999</v>
      </c>
    </row>
    <row r="6" spans="1:9" ht="18.600000000000001" x14ac:dyDescent="0.25">
      <c r="A6" s="7" t="s">
        <v>11</v>
      </c>
      <c r="B6" s="6">
        <v>1014.0845070422537</v>
      </c>
      <c r="C6" s="6">
        <f>氯化钠蒸发结晶水质估算表!C6</f>
        <v>10659.288580907778</v>
      </c>
      <c r="D6" s="2"/>
      <c r="E6" s="2"/>
      <c r="G6" s="35">
        <v>60000</v>
      </c>
      <c r="H6" s="36">
        <v>1.0349999999999999</v>
      </c>
      <c r="I6" s="36">
        <v>1.052</v>
      </c>
    </row>
    <row r="7" spans="1:9" ht="15.6" x14ac:dyDescent="0.25">
      <c r="A7" s="7" t="s">
        <v>39</v>
      </c>
      <c r="B7" s="6">
        <v>44922.238228455244</v>
      </c>
      <c r="C7" s="6">
        <f>氯化钠蒸发结晶水质估算表!C7</f>
        <v>145641.02564102563</v>
      </c>
      <c r="E7" s="2"/>
      <c r="G7" s="35">
        <v>80000</v>
      </c>
      <c r="H7" s="36">
        <v>1.052</v>
      </c>
      <c r="I7" s="36">
        <v>1.07</v>
      </c>
    </row>
    <row r="8" spans="1:9" ht="15.6" x14ac:dyDescent="0.25">
      <c r="A8" s="7" t="s">
        <v>2</v>
      </c>
      <c r="B8" s="6">
        <v>2.4245625000000004</v>
      </c>
      <c r="C8" s="6">
        <f>氯化钠蒸发结晶水质估算表!C8</f>
        <v>26.599256150265965</v>
      </c>
      <c r="D8" s="2"/>
      <c r="E8" s="2"/>
      <c r="G8" s="35">
        <v>100000</v>
      </c>
      <c r="H8" s="36">
        <v>1.0669999999999999</v>
      </c>
      <c r="I8" s="36">
        <v>1.089</v>
      </c>
    </row>
    <row r="9" spans="1:9" ht="15.6" x14ac:dyDescent="0.25">
      <c r="A9" s="7" t="s">
        <v>3</v>
      </c>
      <c r="B9" s="6">
        <v>3.61875E-3</v>
      </c>
      <c r="C9" s="6">
        <f>氯化钠蒸发结晶水质估算表!C9</f>
        <v>3.9700382313829788E-2</v>
      </c>
      <c r="D9" s="2"/>
      <c r="E9" s="2"/>
      <c r="G9" s="35">
        <v>120000</v>
      </c>
      <c r="H9" s="36">
        <v>1.0860000000000001</v>
      </c>
      <c r="I9" s="36">
        <v>1.1080000000000001</v>
      </c>
    </row>
    <row r="10" spans="1:9" ht="15.6" x14ac:dyDescent="0.25">
      <c r="A10" s="7" t="s">
        <v>4</v>
      </c>
      <c r="B10" s="6">
        <v>33515.35413607971</v>
      </c>
      <c r="C10" s="6">
        <f>氯化钠蒸发结晶水质估算表!C10</f>
        <v>137125.22625341907</v>
      </c>
      <c r="D10" s="2"/>
      <c r="E10" s="2"/>
      <c r="G10" s="35">
        <v>140000</v>
      </c>
      <c r="H10" s="36">
        <v>1.097</v>
      </c>
      <c r="I10" s="36">
        <v>1.1279999999999999</v>
      </c>
    </row>
    <row r="11" spans="1:9" ht="15.6" x14ac:dyDescent="0.25">
      <c r="A11" s="7" t="s">
        <v>5</v>
      </c>
      <c r="B11" s="6">
        <v>441.78750000000002</v>
      </c>
      <c r="C11" s="6">
        <f>氯化钠蒸发结晶水质估算表!C11</f>
        <v>4846.7378656914898</v>
      </c>
      <c r="D11" s="2"/>
      <c r="E11" s="2"/>
      <c r="G11" s="35">
        <v>160000</v>
      </c>
      <c r="H11" s="36">
        <v>1.111</v>
      </c>
      <c r="I11" s="36">
        <v>1.1479999999999999</v>
      </c>
    </row>
    <row r="12" spans="1:9" ht="15.6" x14ac:dyDescent="0.25">
      <c r="A12" s="7" t="s">
        <v>6</v>
      </c>
      <c r="B12" s="6">
        <v>170.38147163693438</v>
      </c>
      <c r="C12" s="6">
        <f>氯化钠蒸发结晶水质估算表!C12</f>
        <v>1869.2116236764743</v>
      </c>
      <c r="D12" s="2"/>
      <c r="E12" s="2"/>
      <c r="G12" s="35">
        <v>180000</v>
      </c>
      <c r="H12" s="36">
        <v>1.127</v>
      </c>
      <c r="I12" s="36">
        <v>1.1679999999999999</v>
      </c>
    </row>
    <row r="13" spans="1:9" ht="15.6" x14ac:dyDescent="0.25">
      <c r="A13" s="7" t="s">
        <v>12</v>
      </c>
      <c r="B13" s="6">
        <v>1.5</v>
      </c>
      <c r="C13" s="6">
        <f>氯化钠蒸发结晶水质估算表!C13</f>
        <v>16.456117021276597</v>
      </c>
      <c r="D13" s="2"/>
      <c r="E13" s="2"/>
    </row>
    <row r="14" spans="1:9" ht="15.6" x14ac:dyDescent="0.25">
      <c r="A14" s="7" t="s">
        <v>13</v>
      </c>
      <c r="B14" s="6">
        <v>4</v>
      </c>
      <c r="C14" s="6">
        <f>氯化钠蒸发结晶水质估算表!C14</f>
        <v>43.882978723404257</v>
      </c>
      <c r="D14" s="2"/>
      <c r="E14" s="2"/>
    </row>
    <row r="15" spans="1:9" ht="15.6" x14ac:dyDescent="0.25">
      <c r="A15" s="7" t="s">
        <v>7</v>
      </c>
      <c r="B15" s="6">
        <v>546.90909090909088</v>
      </c>
      <c r="C15" s="6">
        <f>氯化钠蒸发结晶水质估算表!C15</f>
        <v>6000.0000000000009</v>
      </c>
      <c r="D15" s="2"/>
      <c r="E15" s="2"/>
    </row>
    <row r="16" spans="1:9" ht="15.6" x14ac:dyDescent="0.25">
      <c r="A16" s="2"/>
      <c r="B16" s="2"/>
      <c r="C16" s="20"/>
      <c r="D16" s="2"/>
      <c r="E16" s="2"/>
    </row>
    <row r="17" spans="1:5" ht="15.6" x14ac:dyDescent="0.25">
      <c r="A17" s="2"/>
      <c r="B17" s="2"/>
      <c r="C17" s="2"/>
      <c r="D17" s="2"/>
      <c r="E1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9" sqref="B9"/>
    </sheetView>
  </sheetViews>
  <sheetFormatPr defaultRowHeight="13.8" x14ac:dyDescent="0.25"/>
  <cols>
    <col min="1" max="1" width="13.21875" customWidth="1"/>
    <col min="2" max="2" width="17" customWidth="1"/>
    <col min="3" max="3" width="13.6640625" customWidth="1"/>
    <col min="4" max="4" width="18.44140625" customWidth="1"/>
    <col min="5" max="5" width="14.88671875" customWidth="1"/>
    <col min="6" max="6" width="14.44140625" customWidth="1"/>
    <col min="7" max="7" width="27.109375" customWidth="1"/>
  </cols>
  <sheetData>
    <row r="1" spans="1:7" ht="15.6" x14ac:dyDescent="0.25">
      <c r="A1" s="7" t="s">
        <v>19</v>
      </c>
      <c r="B1" s="8" t="str">
        <f>IF(系数设定表!I3=99.1,"工业干盐优级",IF(氯化钠蒸发结晶水质估算表!I3=98.5,"工业干盐一级",IF(氯化钠蒸发结晶水质估算表!I3=97.5,"工业干盐二级",IF(氯化钠蒸发结晶水质估算表!I3=96,"工业湿盐优级",IF(氯化钠蒸发结晶水质估算表!I3=95,"工业湿盐一级",IF(氯化钠蒸发结晶水质估算表!I2=93.3,"工业湿盐二级"))))))</f>
        <v>工业湿盐一级</v>
      </c>
      <c r="C1" s="18"/>
      <c r="D1" s="18"/>
      <c r="E1" s="18"/>
      <c r="F1" s="18"/>
      <c r="G1" s="18"/>
    </row>
    <row r="2" spans="1:7" ht="15.6" x14ac:dyDescent="0.25">
      <c r="A2" s="9" t="s">
        <v>48</v>
      </c>
      <c r="B2" s="10" t="s">
        <v>24</v>
      </c>
      <c r="C2" s="7"/>
      <c r="D2" s="37" t="s">
        <v>20</v>
      </c>
      <c r="E2" s="37"/>
      <c r="F2" s="37"/>
      <c r="G2" s="37"/>
    </row>
    <row r="3" spans="1:7" ht="16.2" x14ac:dyDescent="0.3">
      <c r="A3" s="34" t="s">
        <v>49</v>
      </c>
      <c r="B3" s="17">
        <v>0.95811928104575561</v>
      </c>
      <c r="C3" s="7" t="s">
        <v>18</v>
      </c>
      <c r="D3" s="7" t="s">
        <v>21</v>
      </c>
      <c r="E3" s="7" t="s">
        <v>22</v>
      </c>
      <c r="F3" s="7" t="s">
        <v>17</v>
      </c>
      <c r="G3" s="7" t="s">
        <v>23</v>
      </c>
    </row>
    <row r="4" spans="1:7" ht="16.2" thickBot="1" x14ac:dyDescent="0.3">
      <c r="A4" s="4">
        <v>2</v>
      </c>
      <c r="B4" s="27" t="s">
        <v>44</v>
      </c>
      <c r="C4" s="4">
        <v>24</v>
      </c>
      <c r="D4" s="11">
        <v>6000</v>
      </c>
      <c r="E4" s="2">
        <v>6000</v>
      </c>
      <c r="F4" s="2">
        <f>氯化钠蒸发结晶水质估算表!C15</f>
        <v>6000.0000000000009</v>
      </c>
      <c r="G4" s="16">
        <f>D4/进水水质!B15*B3</f>
        <v>10.51128200615357</v>
      </c>
    </row>
    <row r="5" spans="1:7" ht="15.6" x14ac:dyDescent="0.25">
      <c r="A5" s="27" t="s">
        <v>50</v>
      </c>
      <c r="B5" s="2">
        <f>IF(AND(A4=1,A6=1),0.991,IF(AND(A4=1,A6=2),0.985,IF(AND(A4=1,A6=3),0.975,IF(AND(A4=2,A6=1),0.96,IF(AND(A4=2,A6=2),0.95,IF(AND(A4=2,A6=3),0.933))))))</f>
        <v>0.95</v>
      </c>
      <c r="C5" s="7" t="s">
        <v>16</v>
      </c>
      <c r="D5" s="7" t="s">
        <v>25</v>
      </c>
      <c r="E5" s="7" t="s">
        <v>26</v>
      </c>
      <c r="F5" s="7" t="s">
        <v>27</v>
      </c>
      <c r="G5" s="7" t="s">
        <v>23</v>
      </c>
    </row>
    <row r="6" spans="1:7" ht="15.6" x14ac:dyDescent="0.25">
      <c r="A6" s="4">
        <v>2</v>
      </c>
      <c r="B6" s="28" t="s">
        <v>45</v>
      </c>
      <c r="C6" s="19">
        <f>氯化钠蒸发结晶水质估算表!C6/96*142/10000</f>
        <v>1.5766864359259423</v>
      </c>
      <c r="D6" s="12">
        <v>3000</v>
      </c>
      <c r="E6" s="2">
        <v>3000</v>
      </c>
      <c r="F6" s="2">
        <f>氯化钠蒸发结晶水质估算表!C14</f>
        <v>43.882978723404257</v>
      </c>
      <c r="G6" s="16">
        <f>D6/进水水质!B14*B3</f>
        <v>718.58946078431666</v>
      </c>
    </row>
    <row r="7" spans="1:7" ht="15.6" x14ac:dyDescent="0.25">
      <c r="A7" s="3"/>
      <c r="B7" s="7">
        <f>IF(B5=0.991,0.003,IF(B5=0.985,0.005,IF(B5=0.975,0.009,IF(B5=0.96,0.005,IF(B5=0.95,0.007,IF(B5=0.933,0.01))))))</f>
        <v>7.0000000000000001E-3</v>
      </c>
      <c r="C7" s="2"/>
      <c r="D7" s="7" t="s">
        <v>28</v>
      </c>
      <c r="E7" s="7" t="s">
        <v>29</v>
      </c>
      <c r="F7" s="13" t="s">
        <v>30</v>
      </c>
      <c r="G7" s="7" t="s">
        <v>23</v>
      </c>
    </row>
    <row r="8" spans="1:7" ht="15.6" x14ac:dyDescent="0.25">
      <c r="A8" s="2"/>
      <c r="B8" s="7" t="s">
        <v>32</v>
      </c>
      <c r="C8" s="20"/>
      <c r="D8" s="4">
        <v>6000</v>
      </c>
      <c r="E8" s="2">
        <v>6000</v>
      </c>
      <c r="F8" s="2">
        <f>氯化钠蒸发结晶水质估算表!C11</f>
        <v>4846.7378656914898</v>
      </c>
      <c r="G8" s="16">
        <f>D8/进水水质!B11*B3</f>
        <v>13.01240004815558</v>
      </c>
    </row>
    <row r="9" spans="1:7" ht="15.6" x14ac:dyDescent="0.25">
      <c r="A9" s="2"/>
      <c r="B9" s="21">
        <v>1.0021479587154696</v>
      </c>
      <c r="C9" s="20"/>
      <c r="D9" s="7" t="s">
        <v>33</v>
      </c>
      <c r="E9" s="7" t="s">
        <v>52</v>
      </c>
      <c r="F9" s="7" t="s">
        <v>16</v>
      </c>
      <c r="G9" s="7" t="s">
        <v>23</v>
      </c>
    </row>
    <row r="10" spans="1:7" ht="15.6" x14ac:dyDescent="0.25">
      <c r="A10" s="2"/>
      <c r="B10" s="7" t="s">
        <v>34</v>
      </c>
      <c r="C10" s="2"/>
      <c r="D10" s="12">
        <v>4</v>
      </c>
      <c r="E10" s="20">
        <v>4</v>
      </c>
      <c r="F10" s="14">
        <f>氯化钠蒸发结晶水质估算表!C6/96*142/10000</f>
        <v>1.5766864359259423</v>
      </c>
      <c r="G10" s="16">
        <f>D10/(进水水质!B6/96*142/10000)</f>
        <v>26.666666666666664</v>
      </c>
    </row>
    <row r="11" spans="1:7" ht="15.6" x14ac:dyDescent="0.25">
      <c r="A11" s="2"/>
      <c r="B11" s="21">
        <v>1.0170015424746719</v>
      </c>
      <c r="C11" s="2"/>
      <c r="D11" s="7" t="s">
        <v>31</v>
      </c>
      <c r="E11" s="7" t="s">
        <v>53</v>
      </c>
      <c r="F11" s="7" t="s">
        <v>18</v>
      </c>
      <c r="G11" s="7"/>
    </row>
    <row r="12" spans="1:7" ht="15.6" x14ac:dyDescent="0.25">
      <c r="A12" s="2"/>
      <c r="B12" s="29" t="s">
        <v>46</v>
      </c>
      <c r="C12" s="2"/>
      <c r="D12" s="4"/>
      <c r="E12" s="20" t="s">
        <v>54</v>
      </c>
      <c r="F12" s="16">
        <f>氯化钠蒸发结晶水质估算表!C7/35.5*58.5/10000</f>
        <v>24</v>
      </c>
      <c r="G12" s="2"/>
    </row>
    <row r="13" spans="1:7" ht="15.6" x14ac:dyDescent="0.25">
      <c r="A13" s="2"/>
      <c r="B13" s="26">
        <v>1.6580763862522271E-4</v>
      </c>
      <c r="C13" s="2"/>
      <c r="D13" s="2"/>
      <c r="E13" s="2"/>
      <c r="F13" s="2"/>
      <c r="G13" s="7" t="s">
        <v>35</v>
      </c>
    </row>
    <row r="14" spans="1:7" ht="15.6" x14ac:dyDescent="0.25">
      <c r="A14" s="2"/>
      <c r="B14" s="2"/>
      <c r="C14" s="2"/>
      <c r="D14" s="2"/>
      <c r="E14" s="2"/>
      <c r="F14" s="2"/>
      <c r="G14" s="15">
        <f>MIN(G4,G6,G8,G10)</f>
        <v>10.51128200615357</v>
      </c>
    </row>
  </sheetData>
  <mergeCells count="1">
    <mergeCell ref="D2:G2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3" sqref="C3"/>
    </sheetView>
  </sheetViews>
  <sheetFormatPr defaultRowHeight="13.8" x14ac:dyDescent="0.25"/>
  <cols>
    <col min="1" max="1" width="17.21875" customWidth="1"/>
    <col min="2" max="2" width="13.109375" bestFit="1" customWidth="1"/>
    <col min="3" max="3" width="13.6640625" customWidth="1"/>
    <col min="4" max="4" width="12.109375" bestFit="1" customWidth="1"/>
    <col min="5" max="5" width="15.44140625" customWidth="1"/>
    <col min="6" max="6" width="10.109375" customWidth="1"/>
    <col min="7" max="7" width="9.21875" customWidth="1"/>
    <col min="8" max="8" width="26.109375" customWidth="1"/>
    <col min="9" max="9" width="13.88671875" customWidth="1"/>
  </cols>
  <sheetData>
    <row r="1" spans="1:9" ht="16.2" x14ac:dyDescent="0.3">
      <c r="A1" s="2"/>
      <c r="B1" s="22" t="s">
        <v>40</v>
      </c>
      <c r="C1" s="38" t="s">
        <v>58</v>
      </c>
      <c r="D1" s="22" t="s">
        <v>41</v>
      </c>
      <c r="E1" s="38" t="s">
        <v>59</v>
      </c>
      <c r="F1" s="22" t="s">
        <v>42</v>
      </c>
      <c r="G1" s="23"/>
      <c r="H1" s="23"/>
      <c r="I1" s="23"/>
    </row>
    <row r="2" spans="1:9" ht="15.6" x14ac:dyDescent="0.3">
      <c r="A2" s="5" t="s">
        <v>8</v>
      </c>
      <c r="B2" s="24">
        <f>进水水质!B2</f>
        <v>5.2259420402006622</v>
      </c>
      <c r="C2" s="24">
        <f>B2/系数设定表!G14</f>
        <v>0.49717456321134412</v>
      </c>
      <c r="D2" s="24">
        <f>D4/D3</f>
        <v>4.5639324917005908</v>
      </c>
      <c r="E2" s="24"/>
      <c r="F2" s="25">
        <f>B2-C2-D2</f>
        <v>0.16483498528872698</v>
      </c>
      <c r="G2" s="23"/>
      <c r="H2" s="1" t="s">
        <v>43</v>
      </c>
      <c r="I2" s="13" t="str">
        <f>IF(I3=99.1,"工业干盐优级",IF(I3=98.5,"工业干盐一级",IF(I3=97.5,"工业干盐二级",IF(I3=96,"工业湿盐优级",IF(I3=95,"工业湿盐一级",IF(I3=93.3,"工业湿盐二级"))))))</f>
        <v>工业湿盐一级</v>
      </c>
    </row>
    <row r="3" spans="1:9" ht="15.6" x14ac:dyDescent="0.3">
      <c r="A3" s="7" t="s">
        <v>9</v>
      </c>
      <c r="B3" s="24">
        <f>进水水质!B3</f>
        <v>1035</v>
      </c>
      <c r="C3" s="24">
        <f>进水水质!C3</f>
        <v>1133</v>
      </c>
      <c r="D3" s="24">
        <v>1000</v>
      </c>
      <c r="E3" s="24"/>
      <c r="F3" s="22"/>
      <c r="G3" s="23"/>
      <c r="H3" s="30" t="s">
        <v>47</v>
      </c>
      <c r="I3" s="7">
        <f>系数设定表!B5*100</f>
        <v>95</v>
      </c>
    </row>
    <row r="4" spans="1:9" ht="15.6" x14ac:dyDescent="0.3">
      <c r="A4" s="7" t="s">
        <v>10</v>
      </c>
      <c r="B4" s="24">
        <f>进水水质!B4</f>
        <v>5408.8500116076857</v>
      </c>
      <c r="C4" s="24">
        <f>C2*C3</f>
        <v>563.2987801184529</v>
      </c>
      <c r="D4" s="24">
        <f>B4-C4-E4</f>
        <v>4563.9324917005906</v>
      </c>
      <c r="E4" s="24">
        <f>(B2*B7/35.5*58.5-C7*C2/35.5*58.5)/系数设定表!B5/1000</f>
        <v>281.6187397886427</v>
      </c>
      <c r="F4" s="22"/>
      <c r="G4" s="23"/>
      <c r="H4" s="13" t="s">
        <v>36</v>
      </c>
      <c r="I4" s="7">
        <f>IF(I3=99.1,0.0005,IF(I3=98.5,0.001,IF(I3=97.5,0.002,IF(I3=96,0.0005,IF(I3=95,0.001,IF(I3=93.3,0.002))))))</f>
        <v>1E-3</v>
      </c>
    </row>
    <row r="5" spans="1:9" ht="15.6" x14ac:dyDescent="0.3">
      <c r="A5" s="7" t="s">
        <v>0</v>
      </c>
      <c r="B5" s="24">
        <f>进水水质!B5</f>
        <v>44922.238228455244</v>
      </c>
      <c r="C5" s="24">
        <f>(B5*B2/1000-E4/1000)/C2*1000</f>
        <v>471623.87601581699</v>
      </c>
      <c r="D5" s="24">
        <f>B5*系数设定表!B13</f>
        <v>7.448450242419872</v>
      </c>
      <c r="E5" s="24"/>
      <c r="F5" s="22"/>
      <c r="G5" s="23"/>
      <c r="H5" s="13" t="s">
        <v>37</v>
      </c>
      <c r="I5" s="7">
        <f>IF(I3=99.1,0.0025,IF(I3=98.5,0.004,IF(I3=97.5,0.006,IF(I3=96,0.003,IF(I3=95,0.005,IF(I3=93.3,0.007))))))</f>
        <v>5.0000000000000001E-3</v>
      </c>
    </row>
    <row r="6" spans="1:9" ht="18.600000000000001" x14ac:dyDescent="0.3">
      <c r="A6" s="7" t="s">
        <v>11</v>
      </c>
      <c r="B6" s="24">
        <f>进水水质!B6</f>
        <v>1014.0845070422537</v>
      </c>
      <c r="C6" s="24">
        <f>B6*系数设定表!G14-E4*I6/C2/100</f>
        <v>10659.288580907778</v>
      </c>
      <c r="D6" s="24">
        <f>B6*系数设定表!B13</f>
        <v>0.1681429574790991</v>
      </c>
      <c r="E6" s="24"/>
      <c r="F6" s="22"/>
      <c r="G6" s="23"/>
      <c r="H6" s="30" t="s">
        <v>51</v>
      </c>
      <c r="I6" s="7">
        <f>系数设定表!B7</f>
        <v>7.0000000000000001E-3</v>
      </c>
    </row>
    <row r="7" spans="1:9" ht="15.6" x14ac:dyDescent="0.3">
      <c r="A7" s="7" t="s">
        <v>1</v>
      </c>
      <c r="B7" s="24">
        <f>进水水质!B7</f>
        <v>44922.238228455244</v>
      </c>
      <c r="C7" s="24">
        <f>系数设定表!C4*10000/58.5*35.5</f>
        <v>145641.02564102563</v>
      </c>
      <c r="D7" s="24">
        <f>B7*系数设定表!B13</f>
        <v>7.448450242419872</v>
      </c>
      <c r="E7" s="24"/>
      <c r="F7" s="22"/>
      <c r="G7" s="23"/>
      <c r="H7" s="13" t="s">
        <v>38</v>
      </c>
      <c r="I7" s="7">
        <f>IF(I3=99.1,0.003,IF(I3=98.5,0.005,IF(I3=97.5,0.008,IF(I3=96,0.003,IF(I3=95,0.035,IF(I3=93.3,0.04))))))</f>
        <v>3.5000000000000003E-2</v>
      </c>
    </row>
    <row r="8" spans="1:9" ht="15.6" x14ac:dyDescent="0.3">
      <c r="A8" s="7" t="s">
        <v>2</v>
      </c>
      <c r="B8" s="24">
        <f>进水水质!B8</f>
        <v>2.4245625000000004</v>
      </c>
      <c r="C8" s="24">
        <f>B8*系数设定表!G14/系数设定表!B3</f>
        <v>26.599256150265965</v>
      </c>
      <c r="D8" s="24">
        <f>B8*系数设定表!B13</f>
        <v>4.0201098282426659E-4</v>
      </c>
      <c r="E8" s="24"/>
      <c r="F8" s="22"/>
      <c r="G8" s="23"/>
    </row>
    <row r="9" spans="1:9" ht="15.6" x14ac:dyDescent="0.3">
      <c r="A9" s="7" t="s">
        <v>3</v>
      </c>
      <c r="B9" s="24">
        <f>进水水质!B9</f>
        <v>3.61875E-3</v>
      </c>
      <c r="C9" s="24">
        <f>B9*系数设定表!G14/系数设定表!B3</f>
        <v>3.9700382313829788E-2</v>
      </c>
      <c r="D9" s="24">
        <f>B9*系数设定表!B13</f>
        <v>6.0001639227502465E-7</v>
      </c>
      <c r="E9" s="24"/>
      <c r="F9" s="22"/>
      <c r="G9" s="23"/>
      <c r="H9" s="31"/>
      <c r="I9" s="32"/>
    </row>
    <row r="10" spans="1:9" ht="15.6" x14ac:dyDescent="0.3">
      <c r="A10" s="7" t="s">
        <v>4</v>
      </c>
      <c r="B10" s="24">
        <f>进水水质!B10</f>
        <v>33515.35413607971</v>
      </c>
      <c r="C10" s="24">
        <f>(B2*B10-(B2*B7-C2*C7)/35.5*23*系数设定表!B11)/C2</f>
        <v>137125.22625341907</v>
      </c>
      <c r="D10" s="24">
        <f>B10*系数设定表!B13</f>
        <v>5.5571017269914682</v>
      </c>
      <c r="E10" s="24"/>
      <c r="F10" s="22"/>
      <c r="G10" s="23"/>
      <c r="H10" s="33"/>
      <c r="I10" s="33"/>
    </row>
    <row r="11" spans="1:9" ht="15.6" x14ac:dyDescent="0.3">
      <c r="A11" s="7" t="s">
        <v>5</v>
      </c>
      <c r="B11" s="24">
        <f>进水水质!B11</f>
        <v>441.78750000000002</v>
      </c>
      <c r="C11" s="24">
        <f>B11*系数设定表!G14/系数设定表!B3</f>
        <v>4846.7378656914898</v>
      </c>
      <c r="D11" s="24">
        <f>B11*系数设定表!B13</f>
        <v>7.3251742149140583E-2</v>
      </c>
      <c r="E11" s="24"/>
      <c r="F11" s="22"/>
      <c r="G11" s="23"/>
      <c r="H11" s="31"/>
      <c r="I11" s="32"/>
    </row>
    <row r="12" spans="1:9" ht="15.6" x14ac:dyDescent="0.3">
      <c r="A12" s="7" t="s">
        <v>6</v>
      </c>
      <c r="B12" s="24">
        <f>进水水质!B12</f>
        <v>170.38147163693438</v>
      </c>
      <c r="C12" s="24">
        <f>B12*系数设定表!G14/系数设定表!B3</f>
        <v>1869.2116236764743</v>
      </c>
      <c r="D12" s="24">
        <f>B12*系数设定表!B13</f>
        <v>2.8250549477610448E-2</v>
      </c>
      <c r="E12" s="24"/>
      <c r="F12" s="22"/>
      <c r="G12" s="23"/>
      <c r="H12" s="31"/>
      <c r="I12" s="32"/>
    </row>
    <row r="13" spans="1:9" ht="15.6" x14ac:dyDescent="0.3">
      <c r="A13" s="7" t="s">
        <v>12</v>
      </c>
      <c r="B13" s="24">
        <f>进水水质!B13</f>
        <v>1.5</v>
      </c>
      <c r="C13" s="24">
        <f>B13*系数设定表!G14/系数设定表!B3</f>
        <v>16.456117021276597</v>
      </c>
      <c r="D13" s="24">
        <f>B13*系数设定表!B13</f>
        <v>2.4871145793783407E-4</v>
      </c>
      <c r="E13" s="24"/>
      <c r="F13" s="22"/>
      <c r="G13" s="23"/>
      <c r="H13" s="23"/>
      <c r="I13" s="23"/>
    </row>
    <row r="14" spans="1:9" ht="15.6" x14ac:dyDescent="0.3">
      <c r="A14" s="7" t="s">
        <v>13</v>
      </c>
      <c r="B14" s="24">
        <f>进水水质!B14</f>
        <v>4</v>
      </c>
      <c r="C14" s="24">
        <f>B14*系数设定表!G14/系数设定表!B3</f>
        <v>43.882978723404257</v>
      </c>
      <c r="D14" s="24">
        <f>B14*系数设定表!B13</f>
        <v>6.6323055450089085E-4</v>
      </c>
      <c r="E14" s="24"/>
      <c r="F14" s="22"/>
      <c r="G14" s="23"/>
      <c r="H14" s="23"/>
      <c r="I14" s="23"/>
    </row>
    <row r="15" spans="1:9" ht="15.6" x14ac:dyDescent="0.3">
      <c r="A15" s="7" t="s">
        <v>7</v>
      </c>
      <c r="B15" s="24">
        <f>进水水质!B15</f>
        <v>546.90909090909088</v>
      </c>
      <c r="C15" s="24">
        <f>B15*系数设定表!G14/系数设定表!B3</f>
        <v>6000.0000000000009</v>
      </c>
      <c r="D15" s="24">
        <f>B15*系数设定表!B13</f>
        <v>9.0681704906303617E-2</v>
      </c>
      <c r="E15" s="24"/>
      <c r="F15" s="22"/>
      <c r="G15" s="23"/>
      <c r="H15" s="23"/>
      <c r="I15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进水水质</vt:lpstr>
      <vt:lpstr>系数设定表</vt:lpstr>
      <vt:lpstr>氯化钠蒸发结晶水质估算表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2019-06-06T05:43:35Z</dcterms:modified>
</cp:coreProperties>
</file>