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00" windowHeight="13211" tabRatio="660"/>
  </bookViews>
  <sheets>
    <sheet name="MPPT BUCK DESIGN CALCULATOR" sheetId="1" r:id="rId1"/>
    <sheet name="SWITCHING FREQUENCY GUIDE" sheetId="2" r:id="rId2"/>
    <sheet name="Toroid Calculator #1" sheetId="4" r:id="rId3"/>
    <sheet name="Toroid Calculator #2" sheetId="5" r:id="rId4"/>
    <sheet name="ACS712-30A THEORETICAL RESPONSE" sheetId="3" r:id="rId5"/>
  </sheets>
  <calcPr calcId="144525"/>
</workbook>
</file>

<file path=xl/sharedStrings.xml><?xml version="1.0" encoding="utf-8"?>
<sst xmlns="http://schemas.openxmlformats.org/spreadsheetml/2006/main" count="225" uniqueCount="125">
  <si>
    <t>MPPT: SYNCHRONOUS BUCK DESIGN CALCULATOR</t>
  </si>
  <si>
    <t>REQUIRED PARAMETERS</t>
  </si>
  <si>
    <t>VALUE</t>
  </si>
  <si>
    <t>UNIT</t>
  </si>
  <si>
    <t>NOTES</t>
  </si>
  <si>
    <r>
      <rPr>
        <sz val="11"/>
        <color theme="1"/>
        <rFont val="Calibri"/>
        <charset val="134"/>
      </rPr>
      <t>V</t>
    </r>
    <r>
      <rPr>
        <sz val="8"/>
        <color theme="1"/>
        <rFont val="Calibri"/>
        <charset val="134"/>
      </rPr>
      <t>mp</t>
    </r>
  </si>
  <si>
    <t>V</t>
  </si>
  <si>
    <t>Solar panel maximum powerpoint voltage (found in solar panel back sticker)</t>
  </si>
  <si>
    <r>
      <rPr>
        <sz val="11"/>
        <color theme="1"/>
        <rFont val="Calibri"/>
        <charset val="134"/>
      </rPr>
      <t>I</t>
    </r>
    <r>
      <rPr>
        <sz val="8"/>
        <color theme="1"/>
        <rFont val="Calibri"/>
        <charset val="134"/>
      </rPr>
      <t>mp</t>
    </r>
  </si>
  <si>
    <t>A</t>
  </si>
  <si>
    <t>Solar panel maximum powerpoint current (found in solar panel back sticker)</t>
  </si>
  <si>
    <r>
      <rPr>
        <sz val="11"/>
        <color theme="1"/>
        <rFont val="Calibri"/>
        <charset val="134"/>
      </rPr>
      <t>V</t>
    </r>
    <r>
      <rPr>
        <sz val="8"/>
        <color theme="1"/>
        <rFont val="Calibri"/>
        <charset val="134"/>
      </rPr>
      <t>batt</t>
    </r>
  </si>
  <si>
    <t>Maximum battery voltage of your setup</t>
  </si>
  <si>
    <r>
      <rPr>
        <sz val="11"/>
        <color theme="1"/>
        <rFont val="Calibri"/>
        <charset val="134"/>
      </rPr>
      <t>f</t>
    </r>
    <r>
      <rPr>
        <sz val="8"/>
        <color theme="1"/>
        <rFont val="Calibri"/>
        <charset val="134"/>
      </rPr>
      <t>sw</t>
    </r>
  </si>
  <si>
    <t>kHz</t>
  </si>
  <si>
    <t>MPPT buck converter pwm switching frequency (Visit Sheet #2)</t>
  </si>
  <si>
    <t>ASSUMED PARAMETERS</t>
  </si>
  <si>
    <r>
      <rPr>
        <sz val="11"/>
        <color theme="1"/>
        <rFont val="Calibri"/>
        <charset val="134"/>
      </rPr>
      <t>V</t>
    </r>
    <r>
      <rPr>
        <sz val="8"/>
        <color theme="1"/>
        <rFont val="Calibri"/>
        <charset val="134"/>
      </rPr>
      <t>ripple</t>
    </r>
  </si>
  <si>
    <t>MPPT output ripple voltage (50mV is a good and ideal value)</t>
  </si>
  <si>
    <r>
      <rPr>
        <sz val="11"/>
        <color theme="1"/>
        <rFont val="Calibri"/>
        <charset val="134"/>
      </rPr>
      <t>%I</t>
    </r>
    <r>
      <rPr>
        <sz val="8"/>
        <color theme="1"/>
        <rFont val="Calibri"/>
        <charset val="134"/>
      </rPr>
      <t>ripple</t>
    </r>
  </si>
  <si>
    <t>%</t>
  </si>
  <si>
    <r>
      <rPr>
        <sz val="11"/>
        <color theme="1"/>
        <rFont val="Calibri"/>
        <charset val="134"/>
      </rPr>
      <t>%</t>
    </r>
    <r>
      <rPr>
        <sz val="8"/>
        <color theme="1"/>
        <rFont val="Calibri"/>
        <charset val="134"/>
      </rPr>
      <t>efficiency</t>
    </r>
  </si>
  <si>
    <t>MPPT buck conversion efficiency (use 100% for ideal computation, 96% for actual computation)</t>
  </si>
  <si>
    <t>SOLVED PARAMETERS</t>
  </si>
  <si>
    <r>
      <rPr>
        <sz val="11"/>
        <color theme="1"/>
        <rFont val="Calibri"/>
        <charset val="134"/>
      </rPr>
      <t>Solar Power (P</t>
    </r>
    <r>
      <rPr>
        <sz val="8"/>
        <color theme="1"/>
        <rFont val="Calibri"/>
        <charset val="134"/>
      </rPr>
      <t>solar</t>
    </r>
    <r>
      <rPr>
        <sz val="11"/>
        <color theme="1"/>
        <rFont val="Calibri"/>
        <charset val="134"/>
      </rPr>
      <t>)</t>
    </r>
  </si>
  <si>
    <t>W</t>
  </si>
  <si>
    <t>The maximum solar panel power output</t>
  </si>
  <si>
    <t>Duty Cycle (D)</t>
  </si>
  <si>
    <t xml:space="preserve">The PWM duty cycle % at given parameter conditions </t>
  </si>
  <si>
    <t>Ripple Current (dl)</t>
  </si>
  <si>
    <t>Maximum continous current for MOSFET</t>
  </si>
  <si>
    <t>Peak Inductor Current (Ipk)</t>
  </si>
  <si>
    <t>Maximum current rating for inductor (selected inductor must have a higher saturation current)</t>
  </si>
  <si>
    <t>Inductance (L)</t>
  </si>
  <si>
    <t>uH</t>
  </si>
  <si>
    <t>Inductance for your MPPT's synchronous buck inductor (select nearest value)</t>
  </si>
  <si>
    <t>Output Capacitor (Cout)</t>
  </si>
  <si>
    <t>uF</t>
  </si>
  <si>
    <r>
      <t>Capacitance of your MPPT's output capacitor to achieve a ripple voltage less than or equal to V</t>
    </r>
    <r>
      <rPr>
        <sz val="8"/>
        <color theme="1"/>
        <rFont val="Calibri"/>
        <charset val="134"/>
      </rPr>
      <t>ripple</t>
    </r>
    <r>
      <rPr>
        <sz val="11"/>
        <color theme="1"/>
        <rFont val="Calibri"/>
        <charset val="134"/>
      </rPr>
      <t xml:space="preserve"> (select any value above it)</t>
    </r>
  </si>
  <si>
    <t>KINDLY DOWNLOAD THE EXCEL FILE THEN EDIT IT LOCALLY! I WON'T BE SENDING GOOGLE PERMISSIONS TO EDIT THIS FILE HERE</t>
  </si>
  <si>
    <t>Imp(A)</t>
  </si>
  <si>
    <t>~2~4</t>
  </si>
  <si>
    <t>~20.7700746204897</t>
  </si>
  <si>
    <t>4~8</t>
  </si>
  <si>
    <t>8~16</t>
  </si>
  <si>
    <t>16~32</t>
  </si>
  <si>
    <t>32~</t>
  </si>
  <si>
    <t xml:space="preserve">1000uf + 470uf + 220uf  + 220uf </t>
  </si>
  <si>
    <t>L=VOUT*(VIN-VOUT)/(VIN*△IL *fOSC)</t>
  </si>
  <si>
    <t>ESP32: PWM RESOLUTION &amp; PWM FREQUENCY TABLE</t>
  </si>
  <si>
    <t>Resolution (Bits)</t>
  </si>
  <si>
    <t>Resolution (decimal)</t>
  </si>
  <si>
    <t>Max PWM Frequency (kHz)</t>
  </si>
  <si>
    <t>Toroidal Inductor Calculator</t>
  </si>
  <si>
    <t xml:space="preserve">  NOTES:</t>
  </si>
  <si>
    <r>
      <rPr>
        <sz val="11"/>
        <rFont val="Calibri"/>
        <charset val="134"/>
        <scheme val="minor"/>
      </rPr>
      <t xml:space="preserve">  - Use this calculator if your toroidal core's datasheet specifies A</t>
    </r>
    <r>
      <rPr>
        <sz val="8"/>
        <rFont val="Calibri"/>
        <charset val="134"/>
        <scheme val="minor"/>
      </rPr>
      <t>L</t>
    </r>
    <r>
      <rPr>
        <sz val="11"/>
        <rFont val="Calibri"/>
        <charset val="134"/>
        <scheme val="minor"/>
      </rPr>
      <t xml:space="preserve"> &amp; A</t>
    </r>
    <r>
      <rPr>
        <sz val="8"/>
        <rFont val="Calibri"/>
        <charset val="134"/>
        <scheme val="minor"/>
      </rPr>
      <t>e.</t>
    </r>
    <r>
      <rPr>
        <sz val="11"/>
        <rFont val="Calibri"/>
        <charset val="134"/>
        <scheme val="minor"/>
      </rPr>
      <t xml:space="preserve"> (Gives much more accurate results)</t>
    </r>
  </si>
  <si>
    <r>
      <rPr>
        <sz val="11"/>
        <rFont val="Calibri"/>
        <charset val="134"/>
        <scheme val="minor"/>
      </rPr>
      <t xml:space="preserve">  - Parameters OD, ID, H, μ</t>
    </r>
    <r>
      <rPr>
        <sz val="8"/>
        <rFont val="Calibri"/>
        <charset val="134"/>
        <scheme val="minor"/>
      </rPr>
      <t>r</t>
    </r>
    <r>
      <rPr>
        <sz val="11"/>
        <rFont val="Calibri"/>
        <charset val="134"/>
        <scheme val="minor"/>
      </rPr>
      <t>, B</t>
    </r>
    <r>
      <rPr>
        <sz val="8"/>
        <rFont val="Calibri"/>
        <charset val="134"/>
        <scheme val="minor"/>
      </rPr>
      <t>sat</t>
    </r>
    <r>
      <rPr>
        <sz val="11"/>
        <rFont val="Calibri"/>
        <charset val="134"/>
        <scheme val="minor"/>
      </rPr>
      <t>, A</t>
    </r>
    <r>
      <rPr>
        <sz val="8"/>
        <rFont val="Calibri"/>
        <charset val="134"/>
        <scheme val="minor"/>
      </rPr>
      <t>L</t>
    </r>
    <r>
      <rPr>
        <sz val="11"/>
        <rFont val="Calibri"/>
        <charset val="134"/>
        <scheme val="minor"/>
      </rPr>
      <t xml:space="preserve"> &amp; A</t>
    </r>
    <r>
      <rPr>
        <sz val="8"/>
        <rFont val="Calibri"/>
        <charset val="134"/>
        <scheme val="minor"/>
      </rPr>
      <t>e</t>
    </r>
    <r>
      <rPr>
        <sz val="11"/>
        <rFont val="Calibri"/>
        <charset val="134"/>
        <scheme val="minor"/>
      </rPr>
      <t xml:space="preserve"> are often provided in datasheets.</t>
    </r>
  </si>
  <si>
    <t xml:space="preserve">  - OD, ID, H are the toroid's physical dimensions that can be measured using a ruler or caliper. (better get from datasheet)</t>
  </si>
  <si>
    <r>
      <rPr>
        <sz val="11"/>
        <rFont val="Calibri"/>
        <charset val="134"/>
        <scheme val="minor"/>
      </rPr>
      <t xml:space="preserve">  - B</t>
    </r>
    <r>
      <rPr>
        <sz val="8"/>
        <rFont val="Calibri"/>
        <charset val="134"/>
        <scheme val="minor"/>
      </rPr>
      <t>sat</t>
    </r>
    <r>
      <rPr>
        <sz val="11"/>
        <rFont val="Calibri"/>
        <charset val="134"/>
        <scheme val="minor"/>
      </rPr>
      <t xml:space="preserve"> depends on your toroidal core's material. Some datasheets may not specify this directly. A separate excel sheet tab </t>
    </r>
  </si>
  <si>
    <r>
      <rPr>
        <sz val="11"/>
        <rFont val="Calibri"/>
        <charset val="134"/>
        <scheme val="minor"/>
      </rPr>
      <t xml:space="preserve">   guide is provided under. It contains all the B</t>
    </r>
    <r>
      <rPr>
        <sz val="8"/>
        <rFont val="Calibri"/>
        <charset val="134"/>
        <scheme val="minor"/>
      </rPr>
      <t>sat</t>
    </r>
    <r>
      <rPr>
        <sz val="11"/>
        <rFont val="Calibri"/>
        <charset val="134"/>
        <scheme val="minor"/>
      </rPr>
      <t xml:space="preserve"> for common toroidal core materials.</t>
    </r>
  </si>
  <si>
    <r>
      <rPr>
        <sz val="11"/>
        <rFont val="Calibri"/>
        <charset val="134"/>
        <scheme val="minor"/>
      </rPr>
      <t xml:space="preserve">  - A</t>
    </r>
    <r>
      <rPr>
        <sz val="8"/>
        <rFont val="Calibri"/>
        <charset val="134"/>
        <scheme val="minor"/>
      </rPr>
      <t>L</t>
    </r>
    <r>
      <rPr>
        <sz val="11"/>
        <rFont val="Calibri"/>
        <charset val="134"/>
        <scheme val="minor"/>
      </rPr>
      <t xml:space="preserve"> depends on your toroidal core's material. While this can be computed, datasheets often provide this parameter as the </t>
    </r>
  </si>
  <si>
    <t xml:space="preserve">   computation method may not be accurate. </t>
  </si>
  <si>
    <r>
      <rPr>
        <sz val="11"/>
        <rFont val="Calibri"/>
        <charset val="134"/>
        <scheme val="minor"/>
      </rPr>
      <t xml:space="preserve">  - A</t>
    </r>
    <r>
      <rPr>
        <sz val="8"/>
        <rFont val="Calibri"/>
        <charset val="134"/>
        <scheme val="minor"/>
      </rPr>
      <t>e</t>
    </r>
    <r>
      <rPr>
        <sz val="11"/>
        <rFont val="Calibri"/>
        <charset val="134"/>
        <scheme val="minor"/>
      </rPr>
      <t xml:space="preserve"> depends on your toroidal core's dimensions. This can be computed as well, but datasheets often provide this parameter</t>
    </r>
  </si>
  <si>
    <t xml:space="preserve">   since dimensions OD, ID and H includes materials that are not included in an toroidal core's effective cross-sectional area.</t>
  </si>
  <si>
    <r>
      <rPr>
        <sz val="11"/>
        <rFont val="Calibri"/>
        <charset val="134"/>
        <scheme val="minor"/>
      </rPr>
      <t xml:space="preserve">  - If A</t>
    </r>
    <r>
      <rPr>
        <sz val="8"/>
        <rFont val="Calibri"/>
        <charset val="134"/>
        <scheme val="minor"/>
      </rPr>
      <t>L</t>
    </r>
    <r>
      <rPr>
        <sz val="11"/>
        <rFont val="Calibri"/>
        <charset val="134"/>
        <scheme val="minor"/>
      </rPr>
      <t xml:space="preserve"> and A</t>
    </r>
    <r>
      <rPr>
        <sz val="8"/>
        <rFont val="Calibri"/>
        <charset val="134"/>
        <scheme val="minor"/>
      </rPr>
      <t>e</t>
    </r>
    <r>
      <rPr>
        <sz val="11"/>
        <rFont val="Calibri"/>
        <charset val="134"/>
        <scheme val="minor"/>
      </rPr>
      <t xml:space="preserve"> are not specified on the datasheet, kindly use "Toroidal Calculator #2" found under the excel sheet tabs under.</t>
    </r>
  </si>
  <si>
    <t xml:space="preserve">    The second calculator uses formulas to estimate both parameters. I highly discourage this as it is not as accurate as calc #1</t>
  </si>
  <si>
    <t xml:space="preserve">  - The "Computation Results" section shows the N number of turns of wire around your inductor to achieve L, the specified</t>
  </si>
  <si>
    <r>
      <rPr>
        <sz val="11"/>
        <color theme="1"/>
        <rFont val="Calibri"/>
        <charset val="134"/>
        <scheme val="minor"/>
      </rPr>
      <t xml:space="preserve">    inductor design inductance value. L</t>
    </r>
    <r>
      <rPr>
        <sz val="8"/>
        <color theme="1"/>
        <rFont val="Calibri"/>
        <charset val="134"/>
        <scheme val="minor"/>
      </rPr>
      <t>W</t>
    </r>
    <r>
      <rPr>
        <sz val="11"/>
        <color theme="1"/>
        <rFont val="Calibri"/>
        <charset val="134"/>
        <scheme val="minor"/>
      </rPr>
      <t xml:space="preserve"> is the predicted wire length needed to achieve the number of turns around the inductor.</t>
    </r>
  </si>
  <si>
    <r>
      <rPr>
        <sz val="11"/>
        <color theme="1"/>
        <rFont val="Calibri"/>
        <charset val="134"/>
        <scheme val="minor"/>
      </rPr>
      <t xml:space="preserve">    L</t>
    </r>
    <r>
      <rPr>
        <sz val="8"/>
        <color theme="1"/>
        <rFont val="Calibri"/>
        <charset val="134"/>
        <scheme val="minor"/>
      </rPr>
      <t>w</t>
    </r>
    <r>
      <rPr>
        <sz val="11"/>
        <color theme="1"/>
        <rFont val="Calibri"/>
        <charset val="134"/>
        <scheme val="minor"/>
      </rPr>
      <t xml:space="preserve"> is just a suggestive value, be sure to cut the magnet wire slightly longer than Lw to account for the leads and winding gaps.</t>
    </r>
  </si>
  <si>
    <r>
      <rPr>
        <sz val="11"/>
        <color theme="1"/>
        <rFont val="Calibri"/>
        <charset val="134"/>
        <scheme val="minor"/>
      </rPr>
      <t xml:space="preserve">    I</t>
    </r>
    <r>
      <rPr>
        <sz val="8"/>
        <color theme="1"/>
        <rFont val="Calibri"/>
        <charset val="134"/>
        <scheme val="minor"/>
      </rPr>
      <t>sat</t>
    </r>
    <r>
      <rPr>
        <sz val="11"/>
        <color theme="1"/>
        <rFont val="Calibri"/>
        <charset val="134"/>
        <scheme val="minor"/>
      </rPr>
      <t xml:space="preserve"> on the other hand is simply your inductor's current rating. </t>
    </r>
  </si>
  <si>
    <t>Parameter</t>
  </si>
  <si>
    <t>Input Box</t>
  </si>
  <si>
    <t>Units</t>
  </si>
  <si>
    <t>Description</t>
  </si>
  <si>
    <t>PARAMETER TYPE</t>
  </si>
  <si>
    <t>L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</si>
  <si>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Inductance</t>
    </r>
    <r>
      <rPr>
        <sz val="11"/>
        <color theme="1"/>
        <rFont val="Calibri"/>
        <charset val="134"/>
        <scheme val="minor"/>
      </rPr>
      <t xml:space="preserve"> - Input the desired toroidal inductor's inductancd in (μH - microhenry)</t>
    </r>
  </si>
  <si>
    <t xml:space="preserve">  Designer Parameter</t>
  </si>
  <si>
    <t>d</t>
  </si>
  <si>
    <t>AWG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</si>
  <si>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Wire Guage</t>
    </r>
    <r>
      <rPr>
        <sz val="11"/>
        <color theme="1"/>
        <rFont val="Calibri"/>
        <charset val="134"/>
        <scheme val="minor"/>
      </rPr>
      <t xml:space="preserve"> - Magnet wire's thickness (optional for wire length prediction)</t>
    </r>
  </si>
  <si>
    <t>OD</t>
  </si>
  <si>
    <t>mm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</si>
  <si>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Toroid's Outer Diameter</t>
    </r>
    <r>
      <rPr>
        <sz val="11"/>
        <color theme="1"/>
        <rFont val="Calibri"/>
        <charset val="134"/>
        <scheme val="minor"/>
      </rPr>
      <t xml:space="preserve"> - Input toroidal core's outer ring diameter</t>
    </r>
  </si>
  <si>
    <t xml:space="preserve">  Core Dimension</t>
  </si>
  <si>
    <t>ID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</si>
  <si>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Toroid's Inner Diameter</t>
    </r>
    <r>
      <rPr>
        <sz val="11"/>
        <color theme="1"/>
        <rFont val="Calibri"/>
        <charset val="134"/>
        <scheme val="minor"/>
      </rPr>
      <t xml:space="preserve"> - Input toroidal core's inner ring diameter </t>
    </r>
  </si>
  <si>
    <t>H</t>
  </si>
  <si>
    <r>
      <rPr>
        <sz val="11"/>
        <color theme="1"/>
        <rFont val="Calibri"/>
        <charset val="134"/>
        <scheme val="minor"/>
      </rPr>
      <t xml:space="preserve">    </t>
    </r>
    <r>
      <rPr>
        <b/>
        <sz val="11"/>
        <color theme="1"/>
        <rFont val="Calibri"/>
        <charset val="134"/>
        <scheme val="minor"/>
      </rPr>
      <t xml:space="preserve"> Toroid's Height</t>
    </r>
    <r>
      <rPr>
        <sz val="11"/>
        <color theme="1"/>
        <rFont val="Calibri"/>
        <charset val="134"/>
        <scheme val="minor"/>
      </rPr>
      <t xml:space="preserve"> - Input toroidal core's height or thickness</t>
    </r>
  </si>
  <si>
    <r>
      <rPr>
        <sz val="11"/>
        <color theme="1"/>
        <rFont val="Calibri"/>
        <charset val="134"/>
        <scheme val="minor"/>
      </rPr>
      <t>μ</t>
    </r>
    <r>
      <rPr>
        <sz val="8"/>
        <color theme="1"/>
        <rFont val="Calibri"/>
        <charset val="134"/>
        <scheme val="minor"/>
      </rPr>
      <t>r</t>
    </r>
  </si>
  <si>
    <t>μ</t>
  </si>
  <si>
    <r>
      <rPr>
        <sz val="11"/>
        <color theme="1"/>
        <rFont val="Calibri"/>
        <charset val="134"/>
        <scheme val="minor"/>
      </rPr>
      <t xml:space="preserve">    </t>
    </r>
    <r>
      <rPr>
        <b/>
        <sz val="11"/>
        <color theme="1"/>
        <rFont val="Calibri"/>
        <charset val="134"/>
        <scheme val="minor"/>
      </rPr>
      <t xml:space="preserve"> Toroid's Relative Magnetic Permeability</t>
    </r>
    <r>
      <rPr>
        <sz val="11"/>
        <color theme="1"/>
        <rFont val="Calibri"/>
        <charset val="134"/>
        <scheme val="minor"/>
      </rPr>
      <t xml:space="preserve"> </t>
    </r>
  </si>
  <si>
    <t xml:space="preserve">  Core Material</t>
  </si>
  <si>
    <r>
      <rPr>
        <sz val="11"/>
        <color theme="1"/>
        <rFont val="Calibri"/>
        <charset val="134"/>
        <scheme val="minor"/>
      </rPr>
      <t>B</t>
    </r>
    <r>
      <rPr>
        <sz val="9"/>
        <color theme="1"/>
        <rFont val="Calibri"/>
        <charset val="134"/>
        <scheme val="minor"/>
      </rPr>
      <t>sat</t>
    </r>
  </si>
  <si>
    <t>T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</si>
  <si>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Toroid's Magnetic Saturation Flux Density</t>
    </r>
  </si>
  <si>
    <r>
      <rPr>
        <sz val="11"/>
        <color theme="1"/>
        <rFont val="Calibri"/>
        <charset val="134"/>
        <scheme val="minor"/>
      </rPr>
      <t>A</t>
    </r>
    <r>
      <rPr>
        <sz val="8"/>
        <color theme="1"/>
        <rFont val="Calibri"/>
        <charset val="134"/>
        <scheme val="minor"/>
      </rPr>
      <t>L</t>
    </r>
  </si>
  <si>
    <r>
      <rPr>
        <sz val="11"/>
        <color theme="1"/>
        <rFont val="Calibri"/>
        <charset val="134"/>
        <scheme val="minor"/>
      </rPr>
      <t>nH/N</t>
    </r>
    <r>
      <rPr>
        <vertAlign val="superscript"/>
        <sz val="11"/>
        <color theme="1"/>
        <rFont val="Calibri"/>
        <charset val="134"/>
        <scheme val="minor"/>
      </rPr>
      <t>2</t>
    </r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</si>
  <si>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Toroid's Inductance Factor</t>
    </r>
  </si>
  <si>
    <r>
      <rPr>
        <sz val="11"/>
        <color theme="1"/>
        <rFont val="Calibri"/>
        <charset val="134"/>
        <scheme val="minor"/>
      </rPr>
      <t>A</t>
    </r>
    <r>
      <rPr>
        <sz val="8"/>
        <color theme="1"/>
        <rFont val="Calibri"/>
        <charset val="134"/>
        <scheme val="minor"/>
      </rPr>
      <t>e</t>
    </r>
  </si>
  <si>
    <r>
      <rPr>
        <sz val="11"/>
        <color theme="1"/>
        <rFont val="Calibri"/>
        <charset val="134"/>
        <scheme val="minor"/>
      </rPr>
      <t>mm</t>
    </r>
    <r>
      <rPr>
        <vertAlign val="superscript"/>
        <sz val="11"/>
        <color theme="1"/>
        <rFont val="Calibri"/>
        <charset val="134"/>
        <scheme val="minor"/>
      </rPr>
      <t>2</t>
    </r>
  </si>
  <si>
    <t xml:space="preserve">     Toroid's Effective Cross Sectional Area </t>
  </si>
  <si>
    <t>Computation Results (Needed For Inductor Building)</t>
  </si>
  <si>
    <r>
      <rPr>
        <sz val="11"/>
        <color theme="1"/>
        <rFont val="Calibri"/>
        <charset val="134"/>
        <scheme val="minor"/>
      </rPr>
      <t>I</t>
    </r>
    <r>
      <rPr>
        <sz val="8"/>
        <color theme="1"/>
        <rFont val="Calibri"/>
        <charset val="134"/>
        <scheme val="minor"/>
      </rPr>
      <t>sat</t>
    </r>
  </si>
  <si>
    <r>
      <rPr>
        <sz val="11"/>
        <color theme="1"/>
        <rFont val="Calibri"/>
        <charset val="134"/>
        <scheme val="minor"/>
      </rPr>
      <t xml:space="preserve">    </t>
    </r>
    <r>
      <rPr>
        <b/>
        <sz val="11"/>
        <color theme="1"/>
        <rFont val="Calibri"/>
        <charset val="134"/>
        <scheme val="minor"/>
      </rPr>
      <t>Inudctor Saturation Current</t>
    </r>
    <r>
      <rPr>
        <sz val="11"/>
        <color theme="1"/>
        <rFont val="Calibri"/>
        <charset val="134"/>
        <scheme val="minor"/>
      </rPr>
      <t xml:space="preserve"> - Inductor's current rating</t>
    </r>
  </si>
  <si>
    <t xml:space="preserve">  Computed Parameter</t>
  </si>
  <si>
    <t>N</t>
  </si>
  <si>
    <t>-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</si>
  <si>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Turns</t>
    </r>
    <r>
      <rPr>
        <sz val="11"/>
        <color theme="1"/>
        <rFont val="Calibri"/>
        <charset val="134"/>
        <scheme val="minor"/>
      </rPr>
      <t xml:space="preserve"> - Required wire turns around the toroid to get the specified inductance rating</t>
    </r>
  </si>
  <si>
    <r>
      <rPr>
        <sz val="11"/>
        <color theme="1"/>
        <rFont val="Calibri"/>
        <charset val="134"/>
        <scheme val="minor"/>
      </rPr>
      <t>L</t>
    </r>
    <r>
      <rPr>
        <sz val="8"/>
        <color theme="1"/>
        <rFont val="Calibri"/>
        <charset val="134"/>
        <scheme val="minor"/>
      </rPr>
      <t>w</t>
    </r>
  </si>
  <si>
    <t>m</t>
  </si>
  <si>
    <r>
      <rPr>
        <sz val="11"/>
        <color theme="1"/>
        <rFont val="Calibri"/>
        <charset val="134"/>
        <scheme val="minor"/>
      </rPr>
      <t xml:space="preserve">    </t>
    </r>
    <r>
      <rPr>
        <b/>
        <sz val="11"/>
        <color theme="1"/>
        <rFont val="Calibri"/>
        <charset val="134"/>
        <scheme val="minor"/>
      </rPr>
      <t>Wire Length</t>
    </r>
    <r>
      <rPr>
        <sz val="11"/>
        <color theme="1"/>
        <rFont val="Calibri"/>
        <charset val="134"/>
        <scheme val="minor"/>
      </rPr>
      <t xml:space="preserve"> - Predicted length of wire you'll need (be sure to cut a slightly longer length)</t>
    </r>
  </si>
  <si>
    <t xml:space="preserve">  </t>
  </si>
  <si>
    <r>
      <rPr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1"/>
        <rFont val="Calibri"/>
        <charset val="134"/>
        <scheme val="minor"/>
      </rPr>
      <t>Wire Diameter</t>
    </r>
    <r>
      <rPr>
        <sz val="11"/>
        <color theme="1"/>
        <rFont val="Calibri"/>
        <charset val="134"/>
        <scheme val="minor"/>
      </rPr>
      <t xml:space="preserve"> - Magnet wire's diameter (optional for wire length prediction)</t>
    </r>
  </si>
  <si>
    <t>Computation Results (not needed for inductor building)</t>
  </si>
  <si>
    <t>nH/N2</t>
  </si>
  <si>
    <t>mm2</t>
  </si>
  <si>
    <t>Computation Results (Needed for inductor building)</t>
  </si>
  <si>
    <t>CALIBRATION PARAMETERS</t>
  </si>
  <si>
    <r>
      <rPr>
        <sz val="11"/>
        <color theme="0"/>
        <rFont val="Calibri"/>
        <charset val="134"/>
      </rPr>
      <t>V</t>
    </r>
    <r>
      <rPr>
        <sz val="8"/>
        <color theme="0"/>
        <rFont val="Calibri"/>
        <charset val="134"/>
      </rPr>
      <t>CC</t>
    </r>
    <r>
      <rPr>
        <sz val="11"/>
        <color theme="0"/>
        <rFont val="Calibri"/>
        <charset val="134"/>
      </rPr>
      <t xml:space="preserve"> (V)</t>
    </r>
  </si>
  <si>
    <r>
      <rPr>
        <sz val="11"/>
        <color theme="0"/>
        <rFont val="Calibri"/>
        <charset val="134"/>
      </rPr>
      <t>V</t>
    </r>
    <r>
      <rPr>
        <sz val="8"/>
        <color theme="0"/>
        <rFont val="Calibri"/>
        <charset val="134"/>
      </rPr>
      <t>MIDPOINT</t>
    </r>
    <r>
      <rPr>
        <sz val="11"/>
        <color theme="0"/>
        <rFont val="Calibri"/>
        <charset val="134"/>
      </rPr>
      <t xml:space="preserve"> (V)</t>
    </r>
  </si>
  <si>
    <t>Sensitivity (mV/A)</t>
  </si>
  <si>
    <t>ACS712-30A (Current &amp; Vo Relationship)</t>
  </si>
  <si>
    <t>Current (A)</t>
  </si>
  <si>
    <t>Analog Out (V)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</si>
</sst>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Arial"/>
      <charset val="134"/>
    </font>
    <font>
      <sz val="11"/>
      <color theme="0"/>
      <name val="Calibri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4"/>
      <color rgb="FFFFFFFF"/>
      <name val="Calibri"/>
      <charset val="134"/>
    </font>
    <font>
      <sz val="11"/>
      <color theme="1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color theme="0"/>
      <name val="Calibri"/>
      <charset val="134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sz val="8"/>
      <color theme="1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0" borderId="3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16" borderId="3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2" borderId="38" applyNumberFormat="0" applyAlignment="0" applyProtection="0">
      <alignment vertical="center"/>
    </xf>
    <xf numFmtId="0" fontId="22" fillId="12" borderId="37" applyNumberFormat="0" applyAlignment="0" applyProtection="0">
      <alignment vertical="center"/>
    </xf>
    <xf numFmtId="0" fontId="15" fillId="9" borderId="36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left"/>
    </xf>
    <xf numFmtId="0" fontId="8" fillId="5" borderId="18" xfId="0" applyFont="1" applyFill="1" applyBorder="1" applyAlignment="1">
      <alignment horizontal="left"/>
    </xf>
    <xf numFmtId="0" fontId="8" fillId="5" borderId="19" xfId="0" applyFont="1" applyFill="1" applyBorder="1" applyAlignment="1">
      <alignment horizontal="left"/>
    </xf>
    <xf numFmtId="0" fontId="8" fillId="5" borderId="20" xfId="0" applyFont="1" applyFill="1" applyBorder="1" applyAlignment="1">
      <alignment horizontal="left"/>
    </xf>
    <xf numFmtId="0" fontId="8" fillId="5" borderId="21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15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left"/>
    </xf>
    <xf numFmtId="0" fontId="6" fillId="5" borderId="20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6" fillId="5" borderId="21" xfId="0" applyFont="1" applyFill="1" applyBorder="1" applyAlignment="1">
      <alignment horizontal="left"/>
    </xf>
    <xf numFmtId="0" fontId="6" fillId="5" borderId="22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2" fillId="0" borderId="1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3" borderId="3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0" xfId="0" applyFont="1"/>
    <xf numFmtId="0" fontId="10" fillId="2" borderId="3" xfId="0" applyFont="1" applyFill="1" applyBorder="1" applyAlignment="1">
      <alignment horizontal="center"/>
    </xf>
    <xf numFmtId="0" fontId="3" fillId="0" borderId="32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0" fillId="2" borderId="11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1" fillId="6" borderId="0" xfId="0" applyFont="1" applyFill="1" applyAlignment="1">
      <alignment horizontal="center"/>
    </xf>
    <xf numFmtId="0" fontId="12" fillId="0" borderId="0" xfId="0" applyFont="1" applyAlignment="1"/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ACS712-30A (Current &amp; Vo Relationship)</a:t>
            </a:r>
            <a:endParaRPr sz="1400" b="1" i="0">
              <a:solidFill>
                <a:schemeClr val="lt1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"Analog Out (V)"</c:f>
              <c:strCache>
                <c:ptCount val="1"/>
                <c:pt idx="0">
                  <c:v>Analog Out (V)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'ACS712-30A THEORETICAL RESPONSE'!$B$8:$B$78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'ACS712-30A THEORETICAL RESPONSE'!$C$8:$C$78</c:f>
              <c:numCache>
                <c:formatCode>General</c:formatCode>
                <c:ptCount val="71"/>
                <c:pt idx="0">
                  <c:v>0.19</c:v>
                </c:pt>
                <c:pt idx="1">
                  <c:v>0.256</c:v>
                </c:pt>
                <c:pt idx="2">
                  <c:v>0.322</c:v>
                </c:pt>
                <c:pt idx="3">
                  <c:v>0.388</c:v>
                </c:pt>
                <c:pt idx="4">
                  <c:v>0.454</c:v>
                </c:pt>
                <c:pt idx="5">
                  <c:v>0.52</c:v>
                </c:pt>
                <c:pt idx="6">
                  <c:v>0.586</c:v>
                </c:pt>
                <c:pt idx="7">
                  <c:v>0.652</c:v>
                </c:pt>
                <c:pt idx="8">
                  <c:v>0.718</c:v>
                </c:pt>
                <c:pt idx="9">
                  <c:v>0.784</c:v>
                </c:pt>
                <c:pt idx="10">
                  <c:v>0.85</c:v>
                </c:pt>
                <c:pt idx="11">
                  <c:v>0.916</c:v>
                </c:pt>
                <c:pt idx="12">
                  <c:v>0.982</c:v>
                </c:pt>
                <c:pt idx="13">
                  <c:v>1.048</c:v>
                </c:pt>
                <c:pt idx="14">
                  <c:v>1.114</c:v>
                </c:pt>
                <c:pt idx="15">
                  <c:v>1.18</c:v>
                </c:pt>
                <c:pt idx="16">
                  <c:v>1.246</c:v>
                </c:pt>
                <c:pt idx="17">
                  <c:v>1.312</c:v>
                </c:pt>
                <c:pt idx="18">
                  <c:v>1.378</c:v>
                </c:pt>
                <c:pt idx="19">
                  <c:v>1.444</c:v>
                </c:pt>
                <c:pt idx="20">
                  <c:v>1.51</c:v>
                </c:pt>
                <c:pt idx="21">
                  <c:v>1.576</c:v>
                </c:pt>
                <c:pt idx="22">
                  <c:v>1.642</c:v>
                </c:pt>
                <c:pt idx="23">
                  <c:v>1.708</c:v>
                </c:pt>
                <c:pt idx="24">
                  <c:v>1.774</c:v>
                </c:pt>
                <c:pt idx="25">
                  <c:v>1.84</c:v>
                </c:pt>
                <c:pt idx="26">
                  <c:v>1.906</c:v>
                </c:pt>
                <c:pt idx="27">
                  <c:v>1.972</c:v>
                </c:pt>
                <c:pt idx="28">
                  <c:v>2.038</c:v>
                </c:pt>
                <c:pt idx="29">
                  <c:v>2.104</c:v>
                </c:pt>
                <c:pt idx="30">
                  <c:v>2.17</c:v>
                </c:pt>
                <c:pt idx="31">
                  <c:v>2.236</c:v>
                </c:pt>
                <c:pt idx="32">
                  <c:v>2.302</c:v>
                </c:pt>
                <c:pt idx="33">
                  <c:v>2.368</c:v>
                </c:pt>
                <c:pt idx="34">
                  <c:v>2.434</c:v>
                </c:pt>
                <c:pt idx="35">
                  <c:v>2.5</c:v>
                </c:pt>
                <c:pt idx="36">
                  <c:v>2.566</c:v>
                </c:pt>
                <c:pt idx="37">
                  <c:v>2.632</c:v>
                </c:pt>
                <c:pt idx="38">
                  <c:v>2.698</c:v>
                </c:pt>
                <c:pt idx="39">
                  <c:v>2.764</c:v>
                </c:pt>
                <c:pt idx="40">
                  <c:v>2.83</c:v>
                </c:pt>
                <c:pt idx="41">
                  <c:v>2.896</c:v>
                </c:pt>
                <c:pt idx="42">
                  <c:v>2.962</c:v>
                </c:pt>
                <c:pt idx="43">
                  <c:v>3.028</c:v>
                </c:pt>
                <c:pt idx="44">
                  <c:v>3.094</c:v>
                </c:pt>
                <c:pt idx="45">
                  <c:v>3.16</c:v>
                </c:pt>
                <c:pt idx="46">
                  <c:v>3.226</c:v>
                </c:pt>
                <c:pt idx="47">
                  <c:v>3.292</c:v>
                </c:pt>
                <c:pt idx="48">
                  <c:v>3.358</c:v>
                </c:pt>
                <c:pt idx="49">
                  <c:v>3.424</c:v>
                </c:pt>
                <c:pt idx="50">
                  <c:v>3.49</c:v>
                </c:pt>
                <c:pt idx="51">
                  <c:v>3.556</c:v>
                </c:pt>
                <c:pt idx="52">
                  <c:v>3.622</c:v>
                </c:pt>
                <c:pt idx="53">
                  <c:v>3.688</c:v>
                </c:pt>
                <c:pt idx="54">
                  <c:v>3.754</c:v>
                </c:pt>
                <c:pt idx="55">
                  <c:v>3.82</c:v>
                </c:pt>
                <c:pt idx="56">
                  <c:v>3.886</c:v>
                </c:pt>
                <c:pt idx="57">
                  <c:v>3.952</c:v>
                </c:pt>
                <c:pt idx="58">
                  <c:v>4.018</c:v>
                </c:pt>
                <c:pt idx="59">
                  <c:v>4.084</c:v>
                </c:pt>
                <c:pt idx="60">
                  <c:v>4.15</c:v>
                </c:pt>
                <c:pt idx="61">
                  <c:v>4.216</c:v>
                </c:pt>
                <c:pt idx="62">
                  <c:v>4.282</c:v>
                </c:pt>
                <c:pt idx="63">
                  <c:v>4.348</c:v>
                </c:pt>
                <c:pt idx="64">
                  <c:v>4.414</c:v>
                </c:pt>
                <c:pt idx="65">
                  <c:v>4.48</c:v>
                </c:pt>
                <c:pt idx="66">
                  <c:v>4.546</c:v>
                </c:pt>
                <c:pt idx="67">
                  <c:v>4.612</c:v>
                </c:pt>
                <c:pt idx="68">
                  <c:v>4.678</c:v>
                </c:pt>
                <c:pt idx="69">
                  <c:v>4.744</c:v>
                </c:pt>
                <c:pt idx="70">
                  <c:v>4.81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2516"/>
        <c:axId val="1452463839"/>
      </c:scatterChart>
      <c:valAx>
        <c:axId val="13326625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Current (A)</a:t>
                </a:r>
                <a:endParaRPr sz="900" b="1" i="0">
                  <a:solidFill>
                    <a:schemeClr val="lt1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52463839"/>
        <c:crosses val="autoZero"/>
        <c:crossBetween val="midCat"/>
      </c:valAx>
      <c:valAx>
        <c:axId val="14524638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Analog Out (V)</a:t>
                </a:r>
                <a:endParaRPr sz="900" b="1" i="0">
                  <a:solidFill>
                    <a:schemeClr val="lt1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332662516"/>
        <c:crosses val="autoZero"/>
        <c:crossBetween val="midCat"/>
      </c:valAx>
    </c:plotArea>
    <c:plotVisOnly val="1"/>
    <c:dispBlanksAs val="gap"/>
    <c:showDLblsOverMax val="0"/>
  </c:chart>
  <c:spPr>
    <a:solidFill>
      <a:schemeClr val="dk1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259080</xdr:colOff>
      <xdr:row>2</xdr:row>
      <xdr:rowOff>152400</xdr:rowOff>
    </xdr:from>
    <xdr:to>
      <xdr:col>3</xdr:col>
      <xdr:colOff>365760</xdr:colOff>
      <xdr:row>13</xdr:row>
      <xdr:rowOff>160020</xdr:rowOff>
    </xdr:to>
    <xdr:pic>
      <xdr:nvPicPr>
        <xdr:cNvPr id="2" name="Picture 2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9080" y="51816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251460</xdr:colOff>
      <xdr:row>0</xdr:row>
      <xdr:rowOff>167640</xdr:rowOff>
    </xdr:from>
    <xdr:to>
      <xdr:col>3</xdr:col>
      <xdr:colOff>304800</xdr:colOff>
      <xdr:row>11</xdr:row>
      <xdr:rowOff>175260</xdr:rowOff>
    </xdr:to>
    <xdr:pic>
      <xdr:nvPicPr>
        <xdr:cNvPr id="2" name="Picture 1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" y="16764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0</xdr:row>
      <xdr:rowOff>167640</xdr:rowOff>
    </xdr:from>
    <xdr:to>
      <xdr:col>3</xdr:col>
      <xdr:colOff>304800</xdr:colOff>
      <xdr:row>11</xdr:row>
      <xdr:rowOff>175260</xdr:rowOff>
    </xdr:to>
    <xdr:pic>
      <xdr:nvPicPr>
        <xdr:cNvPr id="3" name="Picture 2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" y="16764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171450</xdr:rowOff>
    </xdr:from>
    <xdr:ext cx="4667250" cy="3086100"/>
    <xdr:graphicFrame>
      <xdr:nvGraphicFramePr>
        <xdr:cNvPr id="1431315937" name="Chart 1"/>
        <xdr:cNvGraphicFramePr/>
      </xdr:nvGraphicFramePr>
      <xdr:xfrm>
        <a:off x="6537960" y="171450"/>
        <a:ext cx="466725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1000"/>
  <sheetViews>
    <sheetView tabSelected="1" workbookViewId="0">
      <selection activeCell="D29" sqref="B29:D29"/>
    </sheetView>
  </sheetViews>
  <sheetFormatPr defaultColWidth="12.6333333333333" defaultRowHeight="15" customHeight="1"/>
  <cols>
    <col min="2" max="2" width="14.2" customWidth="1"/>
    <col min="3" max="3" width="20.1333333333333" customWidth="1"/>
    <col min="4" max="4" width="11.3833333333333" customWidth="1"/>
    <col min="5" max="5" width="18.5" customWidth="1"/>
    <col min="6" max="6" width="92.3833333333333" customWidth="1"/>
    <col min="7" max="7" width="7.75" customWidth="1"/>
    <col min="8" max="27" width="7.63333333333333" customWidth="1"/>
  </cols>
  <sheetData>
    <row r="1" ht="14.25" customHeight="1" spans="2:27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 spans="2:27">
      <c r="B2" s="1"/>
      <c r="C2" s="61" t="s">
        <v>0</v>
      </c>
      <c r="D2" s="62"/>
      <c r="E2" s="62"/>
      <c r="F2" s="6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4.25" customHeight="1" spans="2:27">
      <c r="B3" s="1"/>
      <c r="C3" s="64"/>
      <c r="D3" s="1"/>
      <c r="E3" s="1"/>
      <c r="F3" s="6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4.25" customHeight="1" spans="2:27">
      <c r="B4" s="1"/>
      <c r="C4" s="66" t="s">
        <v>1</v>
      </c>
      <c r="D4" s="67" t="s">
        <v>2</v>
      </c>
      <c r="E4" s="67" t="s">
        <v>3</v>
      </c>
      <c r="F4" s="68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4.25" customHeight="1" spans="2:27">
      <c r="B5" s="1"/>
      <c r="C5" s="69" t="s">
        <v>5</v>
      </c>
      <c r="D5" s="54">
        <v>33.24</v>
      </c>
      <c r="E5" s="54" t="s">
        <v>6</v>
      </c>
      <c r="F5" s="55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4.25" customHeight="1" spans="2:27">
      <c r="B6" s="1"/>
      <c r="C6" s="69" t="s">
        <v>8</v>
      </c>
      <c r="D6" s="1">
        <v>32</v>
      </c>
      <c r="E6" s="54" t="s">
        <v>9</v>
      </c>
      <c r="F6" s="55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4.25" customHeight="1" spans="2:27">
      <c r="B7" s="1"/>
      <c r="C7" s="69" t="s">
        <v>11</v>
      </c>
      <c r="D7" s="54">
        <v>25.55</v>
      </c>
      <c r="E7" s="54" t="s">
        <v>6</v>
      </c>
      <c r="F7" s="55" t="s">
        <v>12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4.25" customHeight="1" spans="2:27">
      <c r="B8" s="1"/>
      <c r="C8" s="69" t="s">
        <v>13</v>
      </c>
      <c r="D8" s="1">
        <v>39.0625</v>
      </c>
      <c r="E8" s="54" t="s">
        <v>14</v>
      </c>
      <c r="F8" s="55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4.25" customHeight="1" spans="2:27">
      <c r="B9" s="1"/>
      <c r="C9" s="70" t="s">
        <v>16</v>
      </c>
      <c r="D9" s="71" t="s">
        <v>2</v>
      </c>
      <c r="E9" s="71" t="s">
        <v>3</v>
      </c>
      <c r="F9" s="72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4.25" customHeight="1" spans="2:27">
      <c r="B10" s="1"/>
      <c r="C10" s="69" t="s">
        <v>17</v>
      </c>
      <c r="D10" s="54">
        <v>0.05</v>
      </c>
      <c r="E10" s="54" t="s">
        <v>6</v>
      </c>
      <c r="F10" s="55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 spans="2:27">
      <c r="B11" s="1"/>
      <c r="C11" s="69" t="s">
        <v>19</v>
      </c>
      <c r="D11" s="54">
        <v>35</v>
      </c>
      <c r="E11" s="54" t="s">
        <v>20</v>
      </c>
      <c r="F11" s="5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 spans="2:27">
      <c r="B12" s="1"/>
      <c r="C12" s="69" t="s">
        <v>21</v>
      </c>
      <c r="D12" s="54">
        <v>100</v>
      </c>
      <c r="E12" s="54" t="s">
        <v>20</v>
      </c>
      <c r="F12" s="55" t="s"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 spans="2:27">
      <c r="B13" s="1"/>
      <c r="C13" s="70" t="s">
        <v>23</v>
      </c>
      <c r="D13" s="71" t="s">
        <v>2</v>
      </c>
      <c r="E13" s="71" t="s">
        <v>3</v>
      </c>
      <c r="F13" s="72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 spans="2:27">
      <c r="B14" s="1"/>
      <c r="C14" s="69" t="s">
        <v>24</v>
      </c>
      <c r="D14" s="54">
        <f>D5*D6</f>
        <v>1063.68</v>
      </c>
      <c r="E14" s="54" t="s">
        <v>25</v>
      </c>
      <c r="F14" s="55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 spans="2:27">
      <c r="B15" s="1"/>
      <c r="C15" s="69" t="s">
        <v>27</v>
      </c>
      <c r="D15" s="54">
        <f>(D7/(D5*(D12/100)))*100</f>
        <v>76.8652226233454</v>
      </c>
      <c r="E15" s="54" t="s">
        <v>20</v>
      </c>
      <c r="F15" s="55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 spans="2:27">
      <c r="B16" s="1"/>
      <c r="C16" s="69" t="s">
        <v>29</v>
      </c>
      <c r="D16" s="54">
        <f>((D5*D6)/D7)*(D11/100)</f>
        <v>14.5709589041096</v>
      </c>
      <c r="E16" s="54" t="s">
        <v>9</v>
      </c>
      <c r="F16" s="55" t="s">
        <v>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 spans="2:27">
      <c r="B17" s="1"/>
      <c r="C17" s="73" t="s">
        <v>31</v>
      </c>
      <c r="D17" s="56">
        <f>(D14/D7)+((((D5*D6)/D7)*(D11/100))/2)</f>
        <v>48.9167906066536</v>
      </c>
      <c r="E17" s="56" t="s">
        <v>9</v>
      </c>
      <c r="F17" s="57" t="s">
        <v>32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 spans="2:27">
      <c r="B18" s="60"/>
      <c r="C18" s="73" t="s">
        <v>33</v>
      </c>
      <c r="D18" s="56">
        <f>((D5-D7)*(D7/(D5*(D12/100)))/((D8*1000)*((D14/D7)*(D11/100)))*1000000)</f>
        <v>10.3850373102449</v>
      </c>
      <c r="E18" s="56" t="s">
        <v>34</v>
      </c>
      <c r="F18" s="57" t="s">
        <v>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 spans="2:27">
      <c r="B19" s="60"/>
      <c r="C19" s="74" t="s">
        <v>36</v>
      </c>
      <c r="D19" s="75">
        <f>(((D5*D6)/D7)*(D11/100))/(8*D8*1000*D10)*1000000</f>
        <v>932.541369863014</v>
      </c>
      <c r="E19" s="75" t="s">
        <v>37</v>
      </c>
      <c r="F19" s="76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 spans="2:27">
      <c r="B20" s="7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8" customHeight="1" spans="2:27">
      <c r="B21" s="77"/>
      <c r="C21" s="78" t="s">
        <v>39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 spans="2:27">
      <c r="B22" s="7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 spans="2:27">
      <c r="B23" s="7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 spans="2:27">
      <c r="B24" s="77"/>
      <c r="C24" s="54">
        <v>33.24</v>
      </c>
      <c r="D24" s="54">
        <v>31.57</v>
      </c>
      <c r="E24" s="1">
        <v>10.5433563491842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 spans="2:27">
      <c r="B25" s="77"/>
      <c r="C25" s="54">
        <v>58.17</v>
      </c>
      <c r="D25" s="54">
        <v>18.04</v>
      </c>
      <c r="E25" s="1">
        <v>25.5563280037443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 spans="2:27">
      <c r="B26" s="77"/>
      <c r="C26" s="54">
        <v>116.34</v>
      </c>
      <c r="D26" s="54">
        <v>9.02</v>
      </c>
      <c r="E26" s="1">
        <v>35.564975773451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 spans="2:27">
      <c r="B27" s="7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 spans="2:27">
      <c r="B28" s="77"/>
      <c r="C28" s="1" t="s">
        <v>40</v>
      </c>
      <c r="D28" s="1" t="s">
        <v>14</v>
      </c>
      <c r="E28" s="1" t="s">
        <v>34</v>
      </c>
      <c r="F28" s="1" t="s">
        <v>37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 spans="2:27">
      <c r="B29" s="79" t="s">
        <v>41</v>
      </c>
      <c r="C29" s="1">
        <v>2</v>
      </c>
      <c r="D29" s="1">
        <v>312.5</v>
      </c>
      <c r="E29" s="1" t="s">
        <v>42</v>
      </c>
      <c r="F29" s="1">
        <v>7.28547945205479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 spans="2:27">
      <c r="B30" s="77" t="s">
        <v>43</v>
      </c>
      <c r="C30" s="54">
        <v>4</v>
      </c>
      <c r="D30" s="1">
        <v>156.25</v>
      </c>
      <c r="E30" s="1" t="s">
        <v>42</v>
      </c>
      <c r="F30" s="1">
        <v>29.1419178082192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 spans="2:27">
      <c r="B31" s="77" t="s">
        <v>44</v>
      </c>
      <c r="C31" s="1">
        <v>8</v>
      </c>
      <c r="D31" s="1">
        <v>78.125</v>
      </c>
      <c r="E31" s="1" t="s">
        <v>42</v>
      </c>
      <c r="F31" s="1">
        <v>116.567671232877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 spans="2:27">
      <c r="B32" s="77" t="s">
        <v>45</v>
      </c>
      <c r="C32" s="1">
        <v>16</v>
      </c>
      <c r="D32" s="1">
        <v>39.0625</v>
      </c>
      <c r="E32" s="1" t="s">
        <v>42</v>
      </c>
      <c r="F32" s="1">
        <v>466.270684931507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 spans="2:27">
      <c r="B33" s="77" t="s">
        <v>46</v>
      </c>
      <c r="C33" s="1">
        <v>32</v>
      </c>
      <c r="D33" s="1">
        <v>19.53125</v>
      </c>
      <c r="E33" s="1" t="s">
        <v>42</v>
      </c>
      <c r="F33" s="1">
        <v>1865.08273972603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Height="1" spans="6:6">
      <c r="F34" t="s">
        <v>47</v>
      </c>
    </row>
    <row r="35" ht="14.25" customHeight="1" spans="2:27">
      <c r="B35" s="77"/>
      <c r="C35" s="1">
        <v>2</v>
      </c>
      <c r="D35" s="1">
        <v>625</v>
      </c>
      <c r="E35" s="1">
        <v>10.3850373102449</v>
      </c>
      <c r="F35" s="1">
        <v>3.6427397260274</v>
      </c>
      <c r="G35" s="1">
        <f>D5/'SWITCHING FREQUENCY GUIDE'!C10*1000</f>
        <v>259.6875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 spans="2:27">
      <c r="B36" s="77"/>
      <c r="C36" s="54">
        <v>4</v>
      </c>
      <c r="D36" s="1">
        <v>312.5</v>
      </c>
      <c r="E36" s="1">
        <v>10.3850373102449</v>
      </c>
      <c r="F36" s="1">
        <v>14.5709589041096</v>
      </c>
      <c r="G36" s="1">
        <f>D5/'SWITCHING FREQUENCY GUIDE'!C11*1000</f>
        <v>129.84375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 spans="2:27">
      <c r="B37" s="77"/>
      <c r="C37" s="1">
        <v>8</v>
      </c>
      <c r="D37" s="1">
        <v>156.25</v>
      </c>
      <c r="E37" s="1">
        <v>10.3850373102449</v>
      </c>
      <c r="F37" s="1">
        <v>58.2838356164384</v>
      </c>
      <c r="G37" s="1">
        <f>D5/'SWITCHING FREQUENCY GUIDE'!C12*1000</f>
        <v>64.921875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 spans="2:27">
      <c r="B38" s="77"/>
      <c r="C38" s="1">
        <v>16</v>
      </c>
      <c r="D38" s="1">
        <v>78.125</v>
      </c>
      <c r="E38" s="1">
        <v>10.3850373102449</v>
      </c>
      <c r="F38" s="1">
        <v>233.135342465753</v>
      </c>
      <c r="G38" s="1">
        <f>D5/'SWITCHING FREQUENCY GUIDE'!C13*1000</f>
        <v>32.4609375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 spans="2:27">
      <c r="B39" s="77"/>
      <c r="C39" s="54">
        <v>32</v>
      </c>
      <c r="D39" s="1">
        <v>39.0625</v>
      </c>
      <c r="E39" s="1">
        <v>10.3850373102449</v>
      </c>
      <c r="F39" s="1">
        <v>932.541369863014</v>
      </c>
      <c r="G39" s="1">
        <f>D5/'SWITCHING FREQUENCY GUIDE'!C14*1000</f>
        <v>16.23046875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 spans="2:27">
      <c r="B40" s="7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 spans="2:27">
      <c r="B41" s="7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 spans="2:2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 spans="2:27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 spans="2:27">
      <c r="B44" s="1"/>
      <c r="C44" s="1"/>
      <c r="D44" s="1"/>
      <c r="E44" s="1"/>
      <c r="F44" s="80" t="s">
        <v>48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 spans="2:27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 spans="2:2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 spans="2:2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 spans="2:2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 spans="2:2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 spans="2:2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 spans="2:2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 spans="2:2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 spans="2:2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 spans="2:2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 spans="2:2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 spans="2:2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 spans="2:2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 spans="2:2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 spans="2:2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 spans="2:2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 spans="2:2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 spans="2:2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 spans="2:2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 spans="2:2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 spans="2:2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 spans="2:2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 spans="2:2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 spans="2:2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 spans="2:2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 spans="2:2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 spans="2:2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 spans="2:2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 spans="2:2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 spans="2:2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 spans="2:2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 spans="2:2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 spans="2:2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 spans="2:2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 spans="2:2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 spans="2:2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 spans="2:2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 spans="2:2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 spans="2:2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 spans="2:2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 spans="2:2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 spans="2:2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 spans="2:2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 spans="2:2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 spans="2:2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 spans="2:2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 spans="2:2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 spans="2:2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 spans="2:2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 spans="2:2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 spans="2:2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 spans="2:2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 spans="2:2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 spans="2:2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 spans="2:2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 spans="2:2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 spans="2:2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 spans="2:2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 spans="2:2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 spans="2:2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 spans="2:2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 spans="2:2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 spans="2:2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 spans="2:2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 spans="2:2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 spans="2:2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 spans="2:2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 spans="2:2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 spans="2:2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 spans="2:2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 spans="2:2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 spans="2:2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 spans="2:2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 spans="2:2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 spans="2:2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 spans="2:2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 spans="2:2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 spans="2:2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 spans="2:2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 spans="2:2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 spans="2:2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 spans="2:2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 spans="2: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 spans="2:2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 spans="2:2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 spans="2:2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 spans="2:2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 spans="2:2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 spans="2:2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 spans="2:2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 spans="2:2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 spans="2:2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 spans="2:2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 spans="2:2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 spans="2:2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 spans="2:2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 spans="2:2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 spans="2:2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 spans="2:2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 spans="2:2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 spans="2:2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 spans="2:2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 spans="2:2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 spans="2:2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 spans="2:2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 spans="2:2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 spans="2:2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 spans="2:2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 spans="2:2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 spans="2:2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 spans="2:2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 spans="2:2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 spans="2:2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 spans="2:2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 spans="2:2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 spans="2:2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 spans="2:2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 spans="2:2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 spans="2:2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 spans="2:2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 spans="2:2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 spans="2:2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 spans="2:2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 spans="2:2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 spans="2:2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 spans="2:2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 spans="2:2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 spans="2:2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 spans="2:2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 spans="2:2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 spans="2:2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 spans="2:2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 spans="2:2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 spans="2:2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 spans="2:2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 spans="2:2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 spans="2:2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 spans="2:2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 spans="2:2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 spans="2:2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 spans="2:2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 spans="2:2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 spans="2:2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 spans="2:2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 spans="2:2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 spans="2:2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 spans="2:2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 spans="2:2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 spans="2:2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 spans="2:2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 spans="2:2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 spans="2:2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 spans="2:2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 spans="2:2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 spans="2:2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 spans="2:2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 spans="2:2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 spans="2:2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 spans="2:2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 spans="2:2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 spans="2:2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 spans="2:2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 spans="2:2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 spans="2:2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 spans="2:2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 spans="2:2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 spans="2:2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 spans="2:2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 spans="2:2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 spans="2:2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 spans="2:2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 spans="2:2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 spans="2:2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 spans="2:2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 spans="2:2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 spans="2:2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 spans="2:2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 spans="2:2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 spans="2:2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 spans="2: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 spans="2:2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 spans="2:2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 spans="2:2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 spans="2:2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 spans="2:2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 spans="2:2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 spans="2:2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 spans="2:2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 spans="2:2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 spans="2:2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 spans="2:2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 spans="2:2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 spans="2:2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 spans="2:2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 spans="2:2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 spans="2:2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 spans="2:2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 spans="2:2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 spans="2:2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 spans="2:2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 spans="2:2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 spans="2:2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 spans="2:2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 spans="2:2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 spans="2:2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 spans="2:2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 spans="2:2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 spans="2:2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 spans="2:2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 spans="2:2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 spans="2:2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 spans="2:2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 spans="2:2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 spans="2:2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 spans="2:2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 spans="2:2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 spans="2:2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 spans="2:2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 spans="2:2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 spans="2:2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 spans="2:2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 spans="2:27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 spans="2:27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 spans="2:27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 spans="2:27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 spans="2:27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 spans="2:27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 spans="2:27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 spans="2:27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 spans="2:2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 spans="2:27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 spans="2:27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 spans="2:27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 spans="2:27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 spans="2:27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 spans="2:27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 spans="2:27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 spans="2:27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 spans="2:27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 spans="2:2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 spans="2:27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 spans="2:27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 spans="2:27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 spans="2:27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 spans="2:27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 spans="2:27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 spans="2:27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 spans="2:27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 spans="2:27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 spans="2:2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 spans="2:27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 spans="2:27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 spans="2:27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 spans="2:27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 spans="2:27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 spans="2:27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 spans="2:27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 spans="2:27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 spans="2:27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 spans="2:2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 spans="2:27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 spans="2:27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 spans="2:27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 spans="2:27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 spans="2:27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 spans="2:27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 spans="2:27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 spans="2:27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 spans="2:27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 spans="2:2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 spans="2:27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 spans="2:27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 spans="2:27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 spans="2:27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 spans="2:27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 spans="2:27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 spans="2:27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 spans="2:27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 spans="2:27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 spans="2: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 spans="2:27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 spans="2:27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 spans="2:27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 spans="2:27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 spans="2:27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 spans="2:27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 spans="2:27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 spans="2:27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 spans="2:27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 spans="2:2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 spans="2:27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 spans="2:27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 spans="2:27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 spans="2:27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 spans="2:27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 spans="2:27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 spans="2:27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 spans="2:27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 spans="2:27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 spans="2:2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 spans="2:27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 spans="2:27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 spans="2:27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 spans="2:27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 spans="2:27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 spans="2:27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 spans="2:27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 spans="2:27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 spans="2:27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 spans="2:2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 spans="2:27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 spans="2:27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 spans="2:27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 spans="2:27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 spans="2:27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 spans="2:27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 spans="2:27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 spans="2:27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 spans="2:27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 spans="2:2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 spans="2:27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 spans="2:27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 spans="2:27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 spans="2:27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 spans="2:27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 spans="2:27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 spans="2:27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 spans="2:27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 spans="2:27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 spans="2:2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 spans="2:27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 spans="2:27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 spans="2:27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 spans="2:27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 spans="2:27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 spans="2:27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 spans="2:27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 spans="2:27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 spans="2:27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 spans="2:2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 spans="2:27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 spans="2:27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 spans="2:27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 spans="2:27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 spans="2:27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 spans="2:27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 spans="2:27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 spans="2:27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 spans="2:27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 spans="2:2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 spans="2:27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 spans="2:27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 spans="2:27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 spans="2:27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 spans="2:27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 spans="2:27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 spans="2:27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 spans="2:27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 spans="2:27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 spans="2:2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 spans="2:27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 spans="2:27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 spans="2:27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 spans="2:27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 spans="2:27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 spans="2:27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 spans="2:27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 spans="2:27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 spans="2:27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 spans="2:2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 spans="2:27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 spans="2:27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 spans="2:27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 spans="2:27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 spans="2:27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 spans="2:27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 spans="2:27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 spans="2:27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 spans="2:27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 spans="2: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 spans="2:27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 spans="2:27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 spans="2:27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 spans="2:27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 spans="2:27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 spans="2:27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 spans="2:27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 spans="2:27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 spans="2:27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 spans="2:2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 spans="2:27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 spans="2:27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 spans="2:27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 spans="2:27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 spans="2:27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 spans="2:27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 spans="2:27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 spans="2:27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 spans="2:27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 spans="2:2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 spans="2:27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 spans="2:27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 spans="2:27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 spans="2:27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 spans="2:27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 spans="2:27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 spans="2:27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 spans="2:27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 spans="2:27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 spans="2:2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 spans="2:27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 spans="2:27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 spans="2:27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 spans="2:27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 spans="2:27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 spans="2:27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 spans="2:27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 spans="2:27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 spans="2:27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 spans="2:2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 spans="2:27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 spans="2:27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 spans="2:27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 spans="2:27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 spans="2:27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 spans="2:27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 spans="2:27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 spans="2:27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 spans="2:27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 spans="2:2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 spans="2:27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 spans="2:27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 spans="2:27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 spans="2:27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 spans="2:27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 spans="2:27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 spans="2:27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 spans="2:27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 spans="2:27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 spans="2:2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 spans="2:27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 spans="2:27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 spans="2:27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 spans="2:27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 spans="2:27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 spans="2:27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 spans="2:27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 spans="2:27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 spans="2:27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 spans="2:2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 spans="2:27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 spans="2:27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 spans="2:27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 spans="2:27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 spans="2:27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 spans="2:27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 spans="2:27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 spans="2:27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 spans="2:27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 spans="2:2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 spans="2:27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 spans="2:27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 spans="2:27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 spans="2:27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 spans="2:27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 spans="2:27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 spans="2:27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 spans="2:27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 spans="2:27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 spans="2:2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 spans="2:27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 spans="2:27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 spans="2:27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 spans="2:27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 spans="2:27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 spans="2:27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 spans="2:27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 spans="2:27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 spans="2:27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 spans="2: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 spans="2:27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 spans="2:27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 spans="2:27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 spans="2:27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 spans="2:27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 spans="2:27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 spans="2:27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 spans="2:27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 spans="2:27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 spans="2:2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 spans="2:27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 spans="2:27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 spans="2:27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 spans="2:27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 spans="2:27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 spans="2:27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 spans="2:27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 spans="2:27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 spans="2:27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 spans="2:2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 spans="2:27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 spans="2:27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 spans="2:27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 spans="2:27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 spans="2:27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 spans="2:27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 spans="2:27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 spans="2:27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 spans="2:27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 spans="2:2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 spans="2:27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 spans="2:27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 spans="2:27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 spans="2:27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 spans="2:27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 spans="2:27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 spans="2:27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 spans="2:27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 spans="2:27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 spans="2:2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 spans="2:27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 spans="2:27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 spans="2:27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 spans="2:27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 spans="2:27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 spans="2:27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 spans="2:27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 spans="2:27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 spans="2:27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 spans="2:2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 spans="2:27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 spans="2:27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 spans="2:27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 spans="2:27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 spans="2:27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 spans="2:27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 spans="2:27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 spans="2:27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 spans="2:27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 spans="2:2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 spans="2:27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 spans="2:27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 spans="2:27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 spans="2:27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 spans="2:27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 spans="2:27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 spans="2:27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 spans="2:27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 spans="2:27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 spans="2:2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 spans="2:27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 spans="2:27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 spans="2:27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 spans="2:27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 spans="2:27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 spans="2:27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 spans="2:27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 spans="2:27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 spans="2:27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 spans="2:2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 spans="2:27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 spans="2:27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 spans="2:27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 spans="2:27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 spans="2:27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 spans="2:27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 spans="2:27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 spans="2:27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 spans="2:27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 spans="2:2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 spans="2:27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 spans="2:27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 spans="2:27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 spans="2:27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 spans="2:27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 spans="2:27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 spans="2:27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 spans="2:27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 spans="2:27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 spans="2: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 spans="2:27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 spans="2:27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 spans="2:27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 spans="2:27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 spans="2:27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 spans="2:27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 spans="2:27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 spans="2:27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 spans="2:27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 spans="2:2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 spans="2:27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 spans="2:27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 spans="2:27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 spans="2:27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 spans="2:27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 spans="2:27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 spans="2:27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 spans="2:27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 spans="2:27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 spans="2:2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 spans="2:27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 spans="2:27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 spans="2:27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 spans="2:27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 spans="2:27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 spans="2:27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 spans="2:27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 spans="2:27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 spans="2:27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 spans="2:2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 spans="2:27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 spans="2:27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 spans="2:27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 spans="2:27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 spans="2:27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 spans="2:27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 spans="2:27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 spans="2:27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 spans="2:27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 spans="2:2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 spans="2:27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 spans="2:27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 spans="2:27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 spans="2:27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 spans="2:27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 spans="2:27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 spans="2:27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 spans="2:27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 spans="2:27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 spans="2:2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 spans="2:27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 spans="2:27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 spans="2:27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 spans="2:27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 spans="2:27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 spans="2:27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 spans="2:27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 spans="2:27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 spans="2:27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 spans="2:2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 spans="2:27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 spans="2:27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 spans="2:27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 spans="2:27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 spans="2:27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 spans="2:27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 spans="2:27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 spans="2:27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 spans="2:27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 spans="2:2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 spans="2:27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 spans="2:27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 spans="2:27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 spans="2:27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 spans="2:27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 spans="2:27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 spans="2:27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 spans="2:27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 spans="2:27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 spans="2:2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 spans="2:27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 spans="2:27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 spans="2:27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 spans="2:27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 spans="2:27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 spans="2:27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 spans="2:27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 spans="2:27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 spans="2:27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 spans="2:2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 spans="2:27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 spans="2:27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 spans="2:27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 spans="2:27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 spans="2:27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 spans="2:27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 spans="2:27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 spans="2:27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 spans="2:27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 spans="2: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 spans="2:27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 spans="2:27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 spans="2:27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 spans="2:27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 spans="2:27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 spans="2:27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 spans="2:27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 spans="2:27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 spans="2:27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 spans="2:2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 spans="2:27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 spans="2:27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 spans="2:27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 spans="2:27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 spans="2:27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 spans="2:27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 spans="2:27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 spans="2:27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 spans="2:27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 spans="2:2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 spans="2:27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 spans="2:27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 spans="2:27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 spans="2:27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 spans="2:27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 spans="2:27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 spans="2:27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 spans="2:27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 spans="2:27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 spans="2:2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 spans="2:27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 spans="2:27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 spans="2:27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 spans="2:27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 spans="2:27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 spans="2:27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 spans="2:27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 spans="2:27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 spans="2:27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 spans="2:2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 spans="2:27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 spans="2:27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 spans="2:27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 spans="2:27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 spans="2:27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 spans="2:27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 spans="2:27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 spans="2:27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 spans="2:27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 spans="2:2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 spans="2:27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 spans="2:27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 spans="2:27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 spans="2:27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 spans="2:27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 spans="2:27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 spans="2:27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 spans="2:27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 spans="2:27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 spans="2:2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 spans="2:27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 spans="2:27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 spans="2:27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 spans="2:27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 spans="2:27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 spans="2:27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 spans="2:27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 spans="2:27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 spans="2:27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 spans="2:2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 spans="2:27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 spans="2:27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 spans="2:27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 spans="2:27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 spans="2:27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 spans="2:27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 spans="2:27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 spans="2:27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 spans="2:27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 spans="2:2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 spans="2:27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 spans="2:27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 spans="2:27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 spans="2:27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 spans="2:27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 spans="2:27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 spans="2:27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 spans="2:27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 spans="2:27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 spans="2:2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 spans="2:27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 spans="2:27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 spans="2:27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 spans="2:27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 spans="2:27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 spans="2:27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 spans="2:27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 spans="2:27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 spans="2:27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 spans="2: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 spans="2:27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 spans="2:27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 spans="2:27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 spans="2:27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 spans="2:27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 spans="2:27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 spans="2:27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 spans="2:27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 spans="2:27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 spans="2:2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 spans="2:27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 spans="2:27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 spans="2:27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 spans="2:27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 spans="2:27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 spans="2:27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 spans="2:27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 spans="2:27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 spans="2:27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 spans="2:2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 spans="2:27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 spans="2:27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 spans="2:27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 spans="2:27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 spans="2:27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 spans="2:27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 spans="2:27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 spans="2:27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 spans="2:27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 spans="2:2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 spans="2:27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 spans="2:27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 spans="2:27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 spans="2:27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 spans="2:27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 spans="2:27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 spans="2:27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 spans="2:27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 spans="2:27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 spans="2:2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 spans="2:27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 spans="2:27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 spans="2:27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 spans="2:27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 spans="2:27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 spans="2:27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 spans="2:27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 spans="2:27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 spans="2:27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 spans="2:2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 spans="2:27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 spans="2:27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 spans="2:27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 spans="2:27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 spans="2:27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 spans="2:27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 spans="2:27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 spans="2:27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 spans="2:27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 spans="2:2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 spans="2:27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 spans="2:27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 spans="2:27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 spans="2:27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 spans="2:27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 spans="2:27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 spans="2:27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 spans="2:27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 spans="2:27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 spans="2:2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 spans="2:27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 spans="2:27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 spans="2:27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 spans="2:27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 spans="2:27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 spans="2:27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 spans="2:27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 spans="2:27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 spans="2:27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 spans="2:2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 spans="2:27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 spans="2:27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 spans="2:27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 spans="2:27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 spans="2:27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 spans="2:27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 spans="2:27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 spans="2:27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 spans="2:27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 spans="2:2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 spans="2:27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 spans="2:27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 spans="2:27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 spans="2:27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 spans="2:27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 spans="2:27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 spans="2:27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 spans="2:27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 spans="2:27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 spans="2: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 spans="2:27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 spans="2:27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 spans="2:27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 spans="2:27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 spans="2:27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 spans="2:27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 spans="2:27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 spans="2:27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 spans="2:27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 spans="2:2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 spans="2:27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 spans="2:27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 spans="2:27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 spans="2:27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 spans="2:27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 spans="2:27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 spans="2:27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 spans="2:27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 spans="2:27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 spans="2:2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 spans="2:27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 spans="2:27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 spans="2:27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 spans="2:27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 spans="2:27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 spans="2:27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 spans="2:27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 spans="2:27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 spans="2:27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 spans="2:2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 spans="2:27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 spans="2:27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 spans="2:27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 spans="2:27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 spans="2:27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 spans="2:27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 spans="2:27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 spans="2:27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 spans="2:27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 spans="2:2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 spans="2:27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 spans="2:27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 spans="2:27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 spans="2:27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 spans="2:27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 spans="2:27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 spans="2:27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 spans="2:27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 spans="2:27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 spans="2:2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 spans="2:27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 spans="2:27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 spans="2:27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 spans="2:27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 spans="2:27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 spans="2:27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 spans="2:27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 spans="2:27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 spans="2:27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 spans="2:2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 spans="2:27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 spans="2:27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 spans="2:27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 spans="2:27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 spans="2:27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 spans="2:27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 spans="2:27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 spans="2:27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 spans="2:27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4.25" customHeight="1" spans="2:2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4.25" customHeight="1" spans="2:27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4.25" customHeight="1" spans="2:27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4.25" customHeight="1" spans="2:27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2:F2"/>
    <mergeCell ref="C21:F21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00"/>
  <sheetViews>
    <sheetView workbookViewId="0">
      <selection activeCell="B32" sqref="B32"/>
    </sheetView>
  </sheetViews>
  <sheetFormatPr defaultColWidth="12.6333333333333" defaultRowHeight="15" customHeight="1" outlineLevelCol="3"/>
  <cols>
    <col min="1" max="1" width="7.63333333333333" customWidth="1"/>
    <col min="2" max="2" width="15.6333333333333" customWidth="1"/>
    <col min="3" max="3" width="17.6333333333333" customWidth="1"/>
    <col min="4" max="4" width="22.1333333333333" customWidth="1"/>
    <col min="5" max="26" width="7.63333333333333" customWidth="1"/>
  </cols>
  <sheetData>
    <row r="1" ht="14.25" customHeight="1"/>
    <row r="2" ht="14.25" customHeight="1" spans="2:4">
      <c r="B2" s="48" t="s">
        <v>49</v>
      </c>
      <c r="C2" s="49"/>
      <c r="D2" s="50"/>
    </row>
    <row r="3" ht="14.25" customHeight="1" spans="2:4">
      <c r="B3" s="51" t="s">
        <v>50</v>
      </c>
      <c r="C3" s="52" t="s">
        <v>51</v>
      </c>
      <c r="D3" s="53" t="s">
        <v>52</v>
      </c>
    </row>
    <row r="4" ht="14.25" customHeight="1" spans="2:4">
      <c r="B4" s="14">
        <v>1</v>
      </c>
      <c r="C4" s="54">
        <f t="shared" ref="C4:C19" si="0">2^B4</f>
        <v>2</v>
      </c>
      <c r="D4" s="55">
        <f t="shared" ref="D4:D19" si="1">(80000000/(2^B4))/1000</f>
        <v>40000</v>
      </c>
    </row>
    <row r="5" ht="14.25" customHeight="1" spans="2:4">
      <c r="B5" s="14">
        <v>2</v>
      </c>
      <c r="C5" s="54">
        <f t="shared" si="0"/>
        <v>4</v>
      </c>
      <c r="D5" s="55">
        <f t="shared" si="1"/>
        <v>20000</v>
      </c>
    </row>
    <row r="6" ht="14.25" customHeight="1" spans="2:4">
      <c r="B6" s="14">
        <v>3</v>
      </c>
      <c r="C6" s="54">
        <f t="shared" si="0"/>
        <v>8</v>
      </c>
      <c r="D6" s="55">
        <f t="shared" si="1"/>
        <v>10000</v>
      </c>
    </row>
    <row r="7" ht="14.25" customHeight="1" spans="2:4">
      <c r="B7" s="14">
        <v>4</v>
      </c>
      <c r="C7" s="54">
        <f t="shared" si="0"/>
        <v>16</v>
      </c>
      <c r="D7" s="55">
        <f t="shared" si="1"/>
        <v>5000</v>
      </c>
    </row>
    <row r="8" ht="14.25" customHeight="1" spans="2:4">
      <c r="B8" s="14">
        <v>5</v>
      </c>
      <c r="C8" s="54">
        <f t="shared" si="0"/>
        <v>32</v>
      </c>
      <c r="D8" s="55">
        <f t="shared" si="1"/>
        <v>2500</v>
      </c>
    </row>
    <row r="9" ht="14.25" customHeight="1" spans="2:4">
      <c r="B9" s="14">
        <v>6</v>
      </c>
      <c r="C9" s="54">
        <f t="shared" si="0"/>
        <v>64</v>
      </c>
      <c r="D9" s="55">
        <f t="shared" si="1"/>
        <v>1250</v>
      </c>
    </row>
    <row r="10" ht="14.25" customHeight="1" spans="2:4">
      <c r="B10" s="14">
        <v>7</v>
      </c>
      <c r="C10" s="54">
        <f t="shared" si="0"/>
        <v>128</v>
      </c>
      <c r="D10" s="55">
        <f t="shared" si="1"/>
        <v>625</v>
      </c>
    </row>
    <row r="11" ht="14.25" customHeight="1" spans="2:4">
      <c r="B11" s="18">
        <v>8</v>
      </c>
      <c r="C11" s="56">
        <f t="shared" si="0"/>
        <v>256</v>
      </c>
      <c r="D11" s="57">
        <f t="shared" si="1"/>
        <v>312.5</v>
      </c>
    </row>
    <row r="12" ht="14.25" customHeight="1" spans="2:4">
      <c r="B12" s="18">
        <v>9</v>
      </c>
      <c r="C12" s="56">
        <f t="shared" si="0"/>
        <v>512</v>
      </c>
      <c r="D12" s="57">
        <f t="shared" si="1"/>
        <v>156.25</v>
      </c>
    </row>
    <row r="13" ht="14.25" customHeight="1" spans="2:4">
      <c r="B13" s="18">
        <v>10</v>
      </c>
      <c r="C13" s="56">
        <f t="shared" si="0"/>
        <v>1024</v>
      </c>
      <c r="D13" s="57">
        <f t="shared" si="1"/>
        <v>78.125</v>
      </c>
    </row>
    <row r="14" ht="14.25" customHeight="1" spans="2:4">
      <c r="B14" s="18">
        <v>11</v>
      </c>
      <c r="C14" s="56">
        <f t="shared" si="0"/>
        <v>2048</v>
      </c>
      <c r="D14" s="57">
        <f t="shared" si="1"/>
        <v>39.0625</v>
      </c>
    </row>
    <row r="15" ht="14.25" customHeight="1" spans="2:4">
      <c r="B15" s="18">
        <v>12</v>
      </c>
      <c r="C15" s="56">
        <f t="shared" si="0"/>
        <v>4096</v>
      </c>
      <c r="D15" s="57">
        <f t="shared" si="1"/>
        <v>19.53125</v>
      </c>
    </row>
    <row r="16" ht="14.25" customHeight="1" spans="2:4">
      <c r="B16" s="14">
        <v>13</v>
      </c>
      <c r="C16" s="54">
        <f t="shared" si="0"/>
        <v>8192</v>
      </c>
      <c r="D16" s="55">
        <f t="shared" si="1"/>
        <v>9.765625</v>
      </c>
    </row>
    <row r="17" ht="14.25" customHeight="1" spans="2:4">
      <c r="B17" s="14">
        <v>14</v>
      </c>
      <c r="C17" s="54">
        <f t="shared" si="0"/>
        <v>16384</v>
      </c>
      <c r="D17" s="55">
        <f t="shared" si="1"/>
        <v>4.8828125</v>
      </c>
    </row>
    <row r="18" ht="14.25" customHeight="1" spans="2:4">
      <c r="B18" s="14">
        <v>15</v>
      </c>
      <c r="C18" s="54">
        <f t="shared" si="0"/>
        <v>32768</v>
      </c>
      <c r="D18" s="55">
        <f t="shared" si="1"/>
        <v>2.44140625</v>
      </c>
    </row>
    <row r="19" ht="14.25" customHeight="1" spans="2:4">
      <c r="B19" s="20">
        <v>16</v>
      </c>
      <c r="C19" s="58">
        <f t="shared" si="0"/>
        <v>65536</v>
      </c>
      <c r="D19" s="59">
        <f t="shared" si="1"/>
        <v>1.220703125</v>
      </c>
    </row>
    <row r="20" ht="14.25" customHeight="1" spans="2:4">
      <c r="B20" s="1"/>
      <c r="C20" s="1"/>
      <c r="D20" s="60"/>
    </row>
    <row r="21" ht="14.25" customHeight="1" spans="2:3">
      <c r="B21" s="1"/>
      <c r="C21" s="1"/>
    </row>
    <row r="22" ht="14.25" customHeight="1" spans="2:3">
      <c r="B22" s="1"/>
      <c r="C22" s="1"/>
    </row>
    <row r="23" ht="14.25" customHeight="1" spans="2:3">
      <c r="B23" s="1"/>
      <c r="C23" s="1"/>
    </row>
    <row r="24" ht="14.25" customHeight="1" spans="2:3">
      <c r="B24" s="1"/>
      <c r="C24" s="1"/>
    </row>
    <row r="25" ht="14.25" customHeight="1" spans="2:3">
      <c r="B25" s="1"/>
      <c r="C25" s="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B19" sqref="B19"/>
    </sheetView>
  </sheetViews>
  <sheetFormatPr defaultColWidth="8.8" defaultRowHeight="13.8" outlineLevelCol="4"/>
  <cols>
    <col min="1" max="1" width="9.2" customWidth="1"/>
    <col min="2" max="2" width="11.5" customWidth="1"/>
    <col min="3" max="3" width="5.6" customWidth="1"/>
    <col min="4" max="4" width="73.5" customWidth="1"/>
    <col min="5" max="5" width="18.9" customWidth="1"/>
  </cols>
  <sheetData>
    <row r="1" ht="14.4" spans="1:5">
      <c r="A1" s="34" t="s">
        <v>53</v>
      </c>
      <c r="B1" s="35"/>
      <c r="C1" s="35"/>
      <c r="D1" s="35"/>
      <c r="E1" s="35"/>
    </row>
    <row r="2" ht="14.4" spans="1:5">
      <c r="A2" s="36"/>
      <c r="B2" s="36"/>
      <c r="C2" s="36"/>
      <c r="D2" s="25" t="s">
        <v>54</v>
      </c>
      <c r="E2" s="26"/>
    </row>
    <row r="3" ht="14.4" spans="1:5">
      <c r="A3" s="37"/>
      <c r="B3" s="37"/>
      <c r="C3" s="37"/>
      <c r="D3" s="27" t="s">
        <v>55</v>
      </c>
      <c r="E3" s="28"/>
    </row>
    <row r="4" ht="14.4" spans="1:5">
      <c r="A4" s="37"/>
      <c r="B4" s="37"/>
      <c r="C4" s="37"/>
      <c r="D4" s="27" t="s">
        <v>56</v>
      </c>
      <c r="E4" s="28"/>
    </row>
    <row r="5" ht="14.4" spans="1:5">
      <c r="A5" s="37"/>
      <c r="B5" s="37"/>
      <c r="C5" s="37"/>
      <c r="D5" s="27" t="s">
        <v>57</v>
      </c>
      <c r="E5" s="28"/>
    </row>
    <row r="6" ht="14.4" spans="1:5">
      <c r="A6" s="37"/>
      <c r="B6" s="37"/>
      <c r="C6" s="37"/>
      <c r="D6" s="27" t="s">
        <v>58</v>
      </c>
      <c r="E6" s="28"/>
    </row>
    <row r="7" ht="14.4" spans="1:5">
      <c r="A7" s="37"/>
      <c r="B7" s="37"/>
      <c r="C7" s="37"/>
      <c r="D7" s="27" t="s">
        <v>59</v>
      </c>
      <c r="E7" s="28"/>
    </row>
    <row r="8" ht="14.4" spans="1:5">
      <c r="A8" s="37"/>
      <c r="B8" s="37"/>
      <c r="C8" s="37"/>
      <c r="D8" s="27" t="s">
        <v>60</v>
      </c>
      <c r="E8" s="28"/>
    </row>
    <row r="9" ht="14.4" spans="1:5">
      <c r="A9" s="37"/>
      <c r="B9" s="37"/>
      <c r="C9" s="37"/>
      <c r="D9" s="27" t="s">
        <v>61</v>
      </c>
      <c r="E9" s="28"/>
    </row>
    <row r="10" ht="14.4" spans="1:5">
      <c r="A10" s="37"/>
      <c r="B10" s="37"/>
      <c r="C10" s="37"/>
      <c r="D10" s="27" t="s">
        <v>62</v>
      </c>
      <c r="E10" s="28"/>
    </row>
    <row r="11" ht="14.4" spans="1:5">
      <c r="A11" s="37"/>
      <c r="B11" s="37"/>
      <c r="C11" s="37"/>
      <c r="D11" s="27" t="s">
        <v>63</v>
      </c>
      <c r="E11" s="28"/>
    </row>
    <row r="12" ht="14.4" spans="1:5">
      <c r="A12" s="37"/>
      <c r="B12" s="37"/>
      <c r="C12" s="37"/>
      <c r="D12" s="27" t="s">
        <v>64</v>
      </c>
      <c r="E12" s="28"/>
    </row>
    <row r="13" ht="14.4" spans="1:5">
      <c r="A13" s="37"/>
      <c r="B13" s="37"/>
      <c r="C13" s="37"/>
      <c r="D13" s="27" t="s">
        <v>65</v>
      </c>
      <c r="E13" s="28"/>
    </row>
    <row r="14" ht="14.4" spans="1:5">
      <c r="A14" s="37"/>
      <c r="B14" s="37"/>
      <c r="C14" s="37"/>
      <c r="D14" s="38" t="s">
        <v>66</v>
      </c>
      <c r="E14" s="39"/>
    </row>
    <row r="15" ht="14.4" spans="1:5">
      <c r="A15" s="37"/>
      <c r="B15" s="37"/>
      <c r="C15" s="37"/>
      <c r="D15" s="38" t="s">
        <v>67</v>
      </c>
      <c r="E15" s="39"/>
    </row>
    <row r="16" ht="14.4" spans="1:5">
      <c r="A16" s="37"/>
      <c r="B16" s="37"/>
      <c r="C16" s="37"/>
      <c r="D16" s="40" t="s">
        <v>68</v>
      </c>
      <c r="E16" s="41"/>
    </row>
    <row r="17" ht="14.4" spans="1:5">
      <c r="A17" s="37"/>
      <c r="B17" s="37"/>
      <c r="C17" s="37"/>
      <c r="D17" s="42" t="s">
        <v>69</v>
      </c>
      <c r="E17" s="43"/>
    </row>
    <row r="18" ht="14.4" spans="1:5">
      <c r="A18" s="44" t="s">
        <v>70</v>
      </c>
      <c r="B18" s="44" t="s">
        <v>71</v>
      </c>
      <c r="C18" s="44" t="s">
        <v>72</v>
      </c>
      <c r="D18" s="44" t="s">
        <v>73</v>
      </c>
      <c r="E18" s="44" t="s">
        <v>74</v>
      </c>
    </row>
    <row r="19" ht="14.4" spans="1:5">
      <c r="A19" s="23" t="s">
        <v>75</v>
      </c>
      <c r="B19" s="23">
        <v>22</v>
      </c>
      <c r="C19" s="23" t="s">
        <v>34</v>
      </c>
      <c r="D19" s="32" t="s">
        <v>76</v>
      </c>
      <c r="E19" s="32" t="s">
        <v>77</v>
      </c>
    </row>
    <row r="20" ht="14.4" spans="1:5">
      <c r="A20" s="23" t="s">
        <v>78</v>
      </c>
      <c r="B20" s="23">
        <v>10</v>
      </c>
      <c r="C20" s="23" t="s">
        <v>79</v>
      </c>
      <c r="D20" s="32" t="s">
        <v>80</v>
      </c>
      <c r="E20" s="32" t="s">
        <v>77</v>
      </c>
    </row>
    <row r="21" ht="14.4" spans="1:5">
      <c r="A21" s="23" t="s">
        <v>81</v>
      </c>
      <c r="B21" s="23">
        <v>39.9</v>
      </c>
      <c r="C21" s="23" t="s">
        <v>82</v>
      </c>
      <c r="D21" s="32" t="s">
        <v>83</v>
      </c>
      <c r="E21" s="32" t="s">
        <v>84</v>
      </c>
    </row>
    <row r="22" ht="14.4" spans="1:5">
      <c r="A22" s="23" t="s">
        <v>85</v>
      </c>
      <c r="B22" s="23">
        <v>24.1</v>
      </c>
      <c r="C22" s="23" t="s">
        <v>82</v>
      </c>
      <c r="D22" s="32" t="s">
        <v>86</v>
      </c>
      <c r="E22" s="32" t="s">
        <v>84</v>
      </c>
    </row>
    <row r="23" ht="14.4" spans="1:5">
      <c r="A23" s="23" t="s">
        <v>87</v>
      </c>
      <c r="B23" s="23">
        <v>14.5</v>
      </c>
      <c r="C23" s="23" t="s">
        <v>82</v>
      </c>
      <c r="D23" s="32" t="s">
        <v>88</v>
      </c>
      <c r="E23" s="32" t="s">
        <v>84</v>
      </c>
    </row>
    <row r="24" ht="14.4" spans="1:5">
      <c r="A24" s="23" t="s">
        <v>89</v>
      </c>
      <c r="B24" s="23">
        <v>125</v>
      </c>
      <c r="C24" s="23" t="s">
        <v>90</v>
      </c>
      <c r="D24" s="32" t="s">
        <v>91</v>
      </c>
      <c r="E24" s="32" t="s">
        <v>92</v>
      </c>
    </row>
    <row r="25" ht="14.4" spans="1:5">
      <c r="A25" s="23" t="s">
        <v>93</v>
      </c>
      <c r="B25" s="23">
        <v>1</v>
      </c>
      <c r="C25" s="23" t="s">
        <v>94</v>
      </c>
      <c r="D25" s="32" t="s">
        <v>95</v>
      </c>
      <c r="E25" s="32" t="s">
        <v>92</v>
      </c>
    </row>
    <row r="26" ht="16.8" spans="1:5">
      <c r="A26" s="23" t="s">
        <v>96</v>
      </c>
      <c r="B26" s="23">
        <v>168</v>
      </c>
      <c r="C26" s="23" t="s">
        <v>97</v>
      </c>
      <c r="D26" s="32" t="s">
        <v>98</v>
      </c>
      <c r="E26" s="32" t="s">
        <v>92</v>
      </c>
    </row>
    <row r="27" ht="16.8" spans="1:5">
      <c r="A27" s="23" t="s">
        <v>99</v>
      </c>
      <c r="B27" s="23">
        <f>(B21/2-B22/2)*B23</f>
        <v>114.55</v>
      </c>
      <c r="C27" s="23" t="s">
        <v>100</v>
      </c>
      <c r="D27" s="33" t="s">
        <v>101</v>
      </c>
      <c r="E27" s="32" t="s">
        <v>84</v>
      </c>
    </row>
    <row r="28" ht="14.4" spans="1:5">
      <c r="A28" s="45" t="s">
        <v>102</v>
      </c>
      <c r="B28" s="46"/>
      <c r="C28" s="46"/>
      <c r="D28" s="46"/>
      <c r="E28" s="47"/>
    </row>
    <row r="29" ht="14.4" spans="1:5">
      <c r="A29" s="23" t="s">
        <v>103</v>
      </c>
      <c r="B29" s="23">
        <f>((B25*0.001)*(B27*0.001))/(SQRT((B19*0.000001)*(B26*0.000000001)))</f>
        <v>59.5839255412098</v>
      </c>
      <c r="C29" s="23" t="s">
        <v>9</v>
      </c>
      <c r="D29" s="32" t="s">
        <v>104</v>
      </c>
      <c r="E29" s="32" t="s">
        <v>105</v>
      </c>
    </row>
    <row r="30" ht="14.4" spans="1:5">
      <c r="A30" s="23" t="s">
        <v>106</v>
      </c>
      <c r="B30" s="23">
        <f>SQRT((B19*0.000001)/((0.0002)*(B24*0.000001)*(B23)*(LN(B21/B22))))</f>
        <v>10.9716314572445</v>
      </c>
      <c r="C30" s="23" t="s">
        <v>107</v>
      </c>
      <c r="D30" s="32" t="s">
        <v>108</v>
      </c>
      <c r="E30" s="32" t="s">
        <v>105</v>
      </c>
    </row>
    <row r="31" ht="14.4" spans="1:5">
      <c r="A31" s="23" t="s">
        <v>109</v>
      </c>
      <c r="B31" s="23">
        <f>0.001*B30*(((2*B23)+B21-B22)+(2*(0.127*(92^((36-B20)/39)))))</f>
        <v>0.548322351129132</v>
      </c>
      <c r="C31" s="23" t="s">
        <v>110</v>
      </c>
      <c r="D31" s="32" t="s">
        <v>111</v>
      </c>
      <c r="E31" s="32" t="s">
        <v>105</v>
      </c>
    </row>
  </sheetData>
  <mergeCells count="19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8:E28"/>
    <mergeCell ref="A2:C17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B32" sqref="B32"/>
    </sheetView>
  </sheetViews>
  <sheetFormatPr defaultColWidth="8.8" defaultRowHeight="13.8" outlineLevelCol="4"/>
  <cols>
    <col min="1" max="1" width="9.2" customWidth="1"/>
    <col min="2" max="2" width="11.5" customWidth="1"/>
    <col min="3" max="3" width="6.3" customWidth="1"/>
    <col min="5" max="5" width="18.9" customWidth="1"/>
  </cols>
  <sheetData>
    <row r="1" ht="14.4" spans="1:5">
      <c r="A1" s="22" t="s">
        <v>53</v>
      </c>
      <c r="B1" s="22"/>
      <c r="C1" s="22"/>
      <c r="D1" s="22"/>
      <c r="E1" s="22"/>
    </row>
    <row r="2" ht="14.4" spans="1:5">
      <c r="A2" s="23"/>
      <c r="B2" s="23"/>
      <c r="C2" s="24"/>
      <c r="D2" s="25" t="s">
        <v>54</v>
      </c>
      <c r="E2" s="26"/>
    </row>
    <row r="3" ht="14.4" spans="1:5">
      <c r="A3" s="23"/>
      <c r="B3" s="23"/>
      <c r="C3" s="24"/>
      <c r="D3" s="27" t="s">
        <v>112</v>
      </c>
      <c r="E3" s="28"/>
    </row>
    <row r="4" ht="14.4" spans="1:5">
      <c r="A4" s="23"/>
      <c r="B4" s="23"/>
      <c r="C4" s="24"/>
      <c r="D4" s="27" t="s">
        <v>112</v>
      </c>
      <c r="E4" s="28"/>
    </row>
    <row r="5" ht="14.4" spans="1:5">
      <c r="A5" s="23"/>
      <c r="B5" s="23"/>
      <c r="C5" s="24"/>
      <c r="D5" s="27" t="s">
        <v>112</v>
      </c>
      <c r="E5" s="28"/>
    </row>
    <row r="6" ht="14.4" spans="1:5">
      <c r="A6" s="23"/>
      <c r="B6" s="23"/>
      <c r="C6" s="24"/>
      <c r="D6" s="27" t="s">
        <v>112</v>
      </c>
      <c r="E6" s="28"/>
    </row>
    <row r="7" ht="14.4" spans="1:5">
      <c r="A7" s="23"/>
      <c r="B7" s="23"/>
      <c r="C7" s="24"/>
      <c r="D7" s="27" t="s">
        <v>112</v>
      </c>
      <c r="E7" s="28"/>
    </row>
    <row r="8" ht="14.4" spans="1:5">
      <c r="A8" s="23"/>
      <c r="B8" s="23"/>
      <c r="C8" s="24"/>
      <c r="D8" s="27" t="s">
        <v>112</v>
      </c>
      <c r="E8" s="28"/>
    </row>
    <row r="9" ht="14.4" spans="1:5">
      <c r="A9" s="23"/>
      <c r="B9" s="23"/>
      <c r="C9" s="24"/>
      <c r="D9" s="27" t="s">
        <v>112</v>
      </c>
      <c r="E9" s="28"/>
    </row>
    <row r="10" ht="14.4" spans="1:5">
      <c r="A10" s="23"/>
      <c r="B10" s="23"/>
      <c r="C10" s="24"/>
      <c r="D10" s="27" t="s">
        <v>112</v>
      </c>
      <c r="E10" s="28"/>
    </row>
    <row r="11" ht="14.4" spans="1:5">
      <c r="A11" s="23"/>
      <c r="B11" s="23"/>
      <c r="C11" s="24"/>
      <c r="D11" s="27" t="s">
        <v>112</v>
      </c>
      <c r="E11" s="28"/>
    </row>
    <row r="12" ht="14.4" spans="1:5">
      <c r="A12" s="23"/>
      <c r="B12" s="23"/>
      <c r="C12" s="24"/>
      <c r="D12" s="27" t="s">
        <v>112</v>
      </c>
      <c r="E12" s="28"/>
    </row>
    <row r="13" ht="14.4" spans="1:5">
      <c r="A13" s="23"/>
      <c r="B13" s="23"/>
      <c r="C13" s="24"/>
      <c r="D13" s="29" t="s">
        <v>112</v>
      </c>
      <c r="E13" s="30"/>
    </row>
    <row r="14" ht="14.4" spans="1:5">
      <c r="A14" s="22" t="s">
        <v>70</v>
      </c>
      <c r="B14" s="22" t="s">
        <v>71</v>
      </c>
      <c r="C14" s="22" t="s">
        <v>72</v>
      </c>
      <c r="D14" s="22" t="s">
        <v>73</v>
      </c>
      <c r="E14" s="22" t="s">
        <v>74</v>
      </c>
    </row>
    <row r="15" ht="14.4" spans="1:5">
      <c r="A15" s="23" t="s">
        <v>75</v>
      </c>
      <c r="B15" s="31">
        <v>22</v>
      </c>
      <c r="C15" s="23" t="s">
        <v>34</v>
      </c>
      <c r="D15" s="32" t="s">
        <v>76</v>
      </c>
      <c r="E15" s="32" t="s">
        <v>77</v>
      </c>
    </row>
    <row r="16" ht="14.4" spans="1:5">
      <c r="A16" s="23" t="s">
        <v>78</v>
      </c>
      <c r="B16" s="23">
        <v>14</v>
      </c>
      <c r="C16" s="23" t="s">
        <v>79</v>
      </c>
      <c r="D16" s="32" t="s">
        <v>113</v>
      </c>
      <c r="E16" s="32" t="s">
        <v>77</v>
      </c>
    </row>
    <row r="17" ht="14.4" spans="1:5">
      <c r="A17" s="23" t="s">
        <v>81</v>
      </c>
      <c r="B17" s="23">
        <v>39.9</v>
      </c>
      <c r="C17" s="23" t="s">
        <v>82</v>
      </c>
      <c r="D17" s="32" t="s">
        <v>83</v>
      </c>
      <c r="E17" s="32" t="s">
        <v>84</v>
      </c>
    </row>
    <row r="18" ht="14.4" spans="1:5">
      <c r="A18" s="23" t="s">
        <v>85</v>
      </c>
      <c r="B18" s="23">
        <v>24.1</v>
      </c>
      <c r="C18" s="23" t="s">
        <v>82</v>
      </c>
      <c r="D18" s="32" t="s">
        <v>86</v>
      </c>
      <c r="E18" s="32" t="s">
        <v>84</v>
      </c>
    </row>
    <row r="19" ht="14.4" spans="1:5">
      <c r="A19" s="23" t="s">
        <v>87</v>
      </c>
      <c r="B19" s="23">
        <v>14.5</v>
      </c>
      <c r="C19" s="23" t="s">
        <v>82</v>
      </c>
      <c r="D19" s="32" t="s">
        <v>88</v>
      </c>
      <c r="E19" s="32" t="s">
        <v>84</v>
      </c>
    </row>
    <row r="20" ht="14.4" spans="1:5">
      <c r="A20" s="23" t="s">
        <v>89</v>
      </c>
      <c r="B20" s="23">
        <v>125</v>
      </c>
      <c r="C20" s="23" t="s">
        <v>90</v>
      </c>
      <c r="D20" s="32" t="s">
        <v>91</v>
      </c>
      <c r="E20" s="32" t="s">
        <v>92</v>
      </c>
    </row>
    <row r="21" ht="14.4" spans="1:5">
      <c r="A21" s="23" t="s">
        <v>93</v>
      </c>
      <c r="B21" s="23">
        <v>1.005</v>
      </c>
      <c r="C21" s="23" t="s">
        <v>94</v>
      </c>
      <c r="D21" s="32" t="s">
        <v>95</v>
      </c>
      <c r="E21" s="32" t="s">
        <v>92</v>
      </c>
    </row>
    <row r="22" ht="14.4" spans="1:5">
      <c r="A22" s="22" t="s">
        <v>114</v>
      </c>
      <c r="B22" s="22"/>
      <c r="C22" s="22"/>
      <c r="D22" s="22"/>
      <c r="E22" s="22"/>
    </row>
    <row r="23" ht="14.4" spans="1:5">
      <c r="A23" s="23" t="s">
        <v>96</v>
      </c>
      <c r="B23" s="23">
        <f>0.2*B20*B19*LN(B17/B18)</f>
        <v>182.759625232213</v>
      </c>
      <c r="C23" s="23" t="s">
        <v>115</v>
      </c>
      <c r="D23" s="32" t="s">
        <v>98</v>
      </c>
      <c r="E23" s="32" t="s">
        <v>92</v>
      </c>
    </row>
    <row r="24" ht="14.4" spans="1:5">
      <c r="A24" s="23" t="s">
        <v>99</v>
      </c>
      <c r="B24" s="23">
        <f>0.5*(B17-B18)*B19</f>
        <v>114.55</v>
      </c>
      <c r="C24" s="23" t="s">
        <v>116</v>
      </c>
      <c r="D24" s="33" t="s">
        <v>101</v>
      </c>
      <c r="E24" s="32" t="s">
        <v>84</v>
      </c>
    </row>
    <row r="25" ht="14.4" spans="1:5">
      <c r="A25" s="22" t="s">
        <v>117</v>
      </c>
      <c r="B25" s="22"/>
      <c r="C25" s="22"/>
      <c r="D25" s="22"/>
      <c r="E25" s="22"/>
    </row>
    <row r="26" ht="14.4" spans="1:5">
      <c r="A26" s="23" t="s">
        <v>103</v>
      </c>
      <c r="B26" s="23">
        <f>((B21*0.001)*(B24*0.001))/(SQRT((B15*0.000001)*(B23*0.000000001)))</f>
        <v>57.412926606568</v>
      </c>
      <c r="C26" s="23" t="s">
        <v>9</v>
      </c>
      <c r="D26" s="32" t="s">
        <v>104</v>
      </c>
      <c r="E26" s="32" t="s">
        <v>105</v>
      </c>
    </row>
    <row r="27" ht="14.4" spans="1:5">
      <c r="A27" s="23" t="s">
        <v>106</v>
      </c>
      <c r="B27" s="23">
        <f>SQRT((B15*0.000001)/((0.0002)*(B20*0.000001)*(B19)*(LN(B17/B18))))</f>
        <v>10.9716314572445</v>
      </c>
      <c r="C27" s="23" t="s">
        <v>107</v>
      </c>
      <c r="D27" s="32" t="s">
        <v>108</v>
      </c>
      <c r="E27" s="32" t="s">
        <v>105</v>
      </c>
    </row>
    <row r="28" ht="14.4" spans="1:5">
      <c r="A28" s="23" t="s">
        <v>109</v>
      </c>
      <c r="B28" s="23">
        <f>0.001*B27*(((2*B19)+B17-B18)+(2*(0.127*(92^((36-B16)/39)))))</f>
        <v>0.527246722762758</v>
      </c>
      <c r="C28" s="23" t="s">
        <v>110</v>
      </c>
      <c r="D28" s="32" t="s">
        <v>111</v>
      </c>
      <c r="E28" s="32" t="s">
        <v>105</v>
      </c>
    </row>
  </sheetData>
  <mergeCells count="16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A22:E22"/>
    <mergeCell ref="A25:E25"/>
    <mergeCell ref="A2:C1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32" sqref="B32"/>
    </sheetView>
  </sheetViews>
  <sheetFormatPr defaultColWidth="12.6333333333333" defaultRowHeight="15" customHeight="1"/>
  <cols>
    <col min="1" max="1" width="7.75" customWidth="1"/>
    <col min="2" max="3" width="16.3833333333333" customWidth="1"/>
    <col min="4" max="4" width="4.88333333333333" customWidth="1"/>
    <col min="5" max="6" width="16.3833333333333" customWidth="1"/>
    <col min="7" max="26" width="7.63333333333333" customWidth="1"/>
  </cols>
  <sheetData>
    <row r="1" ht="14.2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1"/>
      <c r="B2" s="2" t="s">
        <v>118</v>
      </c>
      <c r="C2" s="3"/>
      <c r="D2" s="1"/>
      <c r="E2" s="2" t="s">
        <v>118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 spans="1:26">
      <c r="A3" s="1"/>
      <c r="B3" s="4" t="s">
        <v>119</v>
      </c>
      <c r="C3" s="5">
        <v>5</v>
      </c>
      <c r="D3" s="1"/>
      <c r="E3" s="4" t="s">
        <v>119</v>
      </c>
      <c r="F3" s="5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 spans="1:26">
      <c r="A4" s="1"/>
      <c r="B4" s="6" t="s">
        <v>120</v>
      </c>
      <c r="C4" s="7">
        <f>C3/2</f>
        <v>2.5</v>
      </c>
      <c r="D4" s="1"/>
      <c r="E4" s="6" t="s">
        <v>120</v>
      </c>
      <c r="F4" s="7">
        <f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 spans="1:26">
      <c r="A5" s="1"/>
      <c r="B5" s="6" t="s">
        <v>121</v>
      </c>
      <c r="C5" s="7">
        <v>66</v>
      </c>
      <c r="D5" s="1"/>
      <c r="E5" s="6" t="s">
        <v>121</v>
      </c>
      <c r="F5" s="7">
        <v>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 spans="1:26">
      <c r="A6" s="1"/>
      <c r="B6" s="8" t="s">
        <v>122</v>
      </c>
      <c r="C6" s="9"/>
      <c r="D6" s="1"/>
      <c r="E6" s="8" t="s">
        <v>122</v>
      </c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1"/>
      <c r="B7" s="10" t="s">
        <v>123</v>
      </c>
      <c r="C7" s="11" t="s">
        <v>124</v>
      </c>
      <c r="D7" s="1"/>
      <c r="E7" s="12" t="s">
        <v>123</v>
      </c>
      <c r="F7" s="13" t="s">
        <v>124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 spans="1:26">
      <c r="A8" s="1"/>
      <c r="B8" s="14">
        <v>-35</v>
      </c>
      <c r="C8" s="15">
        <f t="shared" ref="C8:C78" si="0">(B8)*($C$5/1000)+$C$4</f>
        <v>0.19</v>
      </c>
      <c r="D8" s="1"/>
      <c r="E8" s="16">
        <v>-35</v>
      </c>
      <c r="F8" s="17">
        <f t="shared" ref="F8:F22" si="1">(E8)*($C$5/1000)+$C$4</f>
        <v>0.19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spans="1:26">
      <c r="A9" s="1"/>
      <c r="B9" s="14">
        <v>-34</v>
      </c>
      <c r="C9" s="15">
        <f t="shared" si="0"/>
        <v>0.256</v>
      </c>
      <c r="D9" s="1"/>
      <c r="E9" s="18">
        <v>-30</v>
      </c>
      <c r="F9" s="19">
        <f t="shared" si="1"/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 spans="1:26">
      <c r="A10" s="1"/>
      <c r="B10" s="14">
        <v>-33</v>
      </c>
      <c r="C10" s="15">
        <f t="shared" si="0"/>
        <v>0.322</v>
      </c>
      <c r="D10" s="1"/>
      <c r="E10" s="18">
        <v>-25</v>
      </c>
      <c r="F10" s="19">
        <f t="shared" si="1"/>
        <v>0.85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 spans="1:26">
      <c r="A11" s="1"/>
      <c r="B11" s="14">
        <v>-32</v>
      </c>
      <c r="C11" s="15">
        <f t="shared" si="0"/>
        <v>0.388</v>
      </c>
      <c r="D11" s="1"/>
      <c r="E11" s="18">
        <v>-20</v>
      </c>
      <c r="F11" s="19">
        <f t="shared" si="1"/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 spans="1:26">
      <c r="A12" s="1"/>
      <c r="B12" s="14">
        <v>-31</v>
      </c>
      <c r="C12" s="15">
        <f t="shared" si="0"/>
        <v>0.454</v>
      </c>
      <c r="D12" s="1"/>
      <c r="E12" s="18">
        <v>-15</v>
      </c>
      <c r="F12" s="19">
        <f t="shared" si="1"/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 spans="1:26">
      <c r="A13" s="1"/>
      <c r="B13" s="18">
        <v>-30</v>
      </c>
      <c r="C13" s="19">
        <f t="shared" si="0"/>
        <v>0.52</v>
      </c>
      <c r="D13" s="1"/>
      <c r="E13" s="18">
        <v>-10</v>
      </c>
      <c r="F13" s="19">
        <f t="shared" si="1"/>
        <v>1.84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 spans="1:26">
      <c r="A14" s="1"/>
      <c r="B14" s="18">
        <v>-29</v>
      </c>
      <c r="C14" s="19">
        <f t="shared" si="0"/>
        <v>0.586</v>
      </c>
      <c r="D14" s="1"/>
      <c r="E14" s="18">
        <v>-5</v>
      </c>
      <c r="F14" s="19">
        <f t="shared" si="1"/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 spans="1:26">
      <c r="A15" s="1"/>
      <c r="B15" s="18">
        <v>-28</v>
      </c>
      <c r="C15" s="19">
        <f t="shared" si="0"/>
        <v>0.652</v>
      </c>
      <c r="D15" s="1"/>
      <c r="E15" s="18">
        <v>0</v>
      </c>
      <c r="F15" s="19">
        <f t="shared" si="1"/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spans="1:26">
      <c r="A16" s="1"/>
      <c r="B16" s="18">
        <v>-27</v>
      </c>
      <c r="C16" s="19">
        <f t="shared" si="0"/>
        <v>0.718</v>
      </c>
      <c r="D16" s="1"/>
      <c r="E16" s="18">
        <v>5</v>
      </c>
      <c r="F16" s="19">
        <f t="shared" si="1"/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spans="1:26">
      <c r="A17" s="1"/>
      <c r="B17" s="18">
        <v>-26</v>
      </c>
      <c r="C17" s="19">
        <f t="shared" si="0"/>
        <v>0.784</v>
      </c>
      <c r="D17" s="1"/>
      <c r="E17" s="18">
        <v>10</v>
      </c>
      <c r="F17" s="19">
        <f t="shared" si="1"/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spans="1:26">
      <c r="A18" s="1"/>
      <c r="B18" s="18">
        <v>-25</v>
      </c>
      <c r="C18" s="19">
        <f t="shared" si="0"/>
        <v>0.85</v>
      </c>
      <c r="D18" s="1"/>
      <c r="E18" s="18">
        <v>15</v>
      </c>
      <c r="F18" s="19">
        <f t="shared" si="1"/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 spans="1:26">
      <c r="A19" s="1"/>
      <c r="B19" s="18">
        <v>-24</v>
      </c>
      <c r="C19" s="19">
        <f t="shared" si="0"/>
        <v>0.916</v>
      </c>
      <c r="D19" s="1"/>
      <c r="E19" s="18">
        <v>20</v>
      </c>
      <c r="F19" s="19">
        <f t="shared" si="1"/>
        <v>3.82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spans="1:26">
      <c r="A20" s="1"/>
      <c r="B20" s="18">
        <v>-23</v>
      </c>
      <c r="C20" s="19">
        <f t="shared" si="0"/>
        <v>0.982</v>
      </c>
      <c r="D20" s="1"/>
      <c r="E20" s="18">
        <v>25</v>
      </c>
      <c r="F20" s="19">
        <f t="shared" si="1"/>
        <v>4.15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18">
        <v>-22</v>
      </c>
      <c r="C21" s="19">
        <f t="shared" si="0"/>
        <v>1.048</v>
      </c>
      <c r="D21" s="1"/>
      <c r="E21" s="18">
        <v>30</v>
      </c>
      <c r="F21" s="19">
        <f t="shared" si="1"/>
        <v>4.48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8">
        <v>-21</v>
      </c>
      <c r="C22" s="19">
        <f t="shared" si="0"/>
        <v>1.114</v>
      </c>
      <c r="D22" s="1"/>
      <c r="E22" s="20">
        <v>35</v>
      </c>
      <c r="F22" s="21">
        <f t="shared" si="1"/>
        <v>4.81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1"/>
      <c r="B23" s="18">
        <v>-20</v>
      </c>
      <c r="C23" s="19">
        <f t="shared" si="0"/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 spans="1:26">
      <c r="A24" s="1"/>
      <c r="B24" s="18">
        <v>-19</v>
      </c>
      <c r="C24" s="19">
        <f t="shared" si="0"/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 spans="1:26">
      <c r="A25" s="1"/>
      <c r="B25" s="18">
        <v>-18</v>
      </c>
      <c r="C25" s="19">
        <f t="shared" si="0"/>
        <v>1.312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 spans="1:26">
      <c r="A26" s="1"/>
      <c r="B26" s="18">
        <v>-17</v>
      </c>
      <c r="C26" s="19">
        <f t="shared" si="0"/>
        <v>1.378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 spans="1:26">
      <c r="A27" s="1"/>
      <c r="B27" s="18">
        <v>-16</v>
      </c>
      <c r="C27" s="19">
        <f t="shared" si="0"/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 spans="1:26">
      <c r="A28" s="1"/>
      <c r="B28" s="18">
        <v>-15</v>
      </c>
      <c r="C28" s="19">
        <f t="shared" si="0"/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 spans="1:26">
      <c r="A29" s="1"/>
      <c r="B29" s="18">
        <v>-14</v>
      </c>
      <c r="C29" s="19">
        <f t="shared" si="0"/>
        <v>1.576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 spans="1:26">
      <c r="A30" s="1"/>
      <c r="B30" s="18">
        <v>-13</v>
      </c>
      <c r="C30" s="19">
        <f t="shared" si="0"/>
        <v>1.642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 spans="1:26">
      <c r="A31" s="1"/>
      <c r="B31" s="18">
        <v>-12</v>
      </c>
      <c r="C31" s="19">
        <f t="shared" si="0"/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 spans="1:26">
      <c r="A32" s="1"/>
      <c r="B32" s="18">
        <v>-11</v>
      </c>
      <c r="C32" s="19">
        <f t="shared" si="0"/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 spans="1:26">
      <c r="A33" s="1"/>
      <c r="B33" s="18">
        <v>-10</v>
      </c>
      <c r="C33" s="19">
        <f t="shared" si="0"/>
        <v>1.84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 spans="1:26">
      <c r="A34" s="1"/>
      <c r="B34" s="18">
        <v>-9</v>
      </c>
      <c r="C34" s="19">
        <f t="shared" si="0"/>
        <v>1.906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 spans="1:26">
      <c r="A35" s="1"/>
      <c r="B35" s="18">
        <v>-8</v>
      </c>
      <c r="C35" s="19">
        <f t="shared" si="0"/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 spans="1:26">
      <c r="A36" s="1"/>
      <c r="B36" s="18">
        <v>-7</v>
      </c>
      <c r="C36" s="19">
        <f t="shared" si="0"/>
        <v>2.038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 spans="1:26">
      <c r="A37" s="1"/>
      <c r="B37" s="18">
        <v>-6</v>
      </c>
      <c r="C37" s="19">
        <f t="shared" si="0"/>
        <v>2.104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 spans="1:26">
      <c r="A38" s="1"/>
      <c r="B38" s="18">
        <v>-5</v>
      </c>
      <c r="C38" s="19">
        <f t="shared" si="0"/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 spans="1:26">
      <c r="A39" s="1"/>
      <c r="B39" s="18">
        <v>-4</v>
      </c>
      <c r="C39" s="19">
        <f t="shared" si="0"/>
        <v>2.236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 spans="1:26">
      <c r="A40" s="1"/>
      <c r="B40" s="18">
        <v>-3</v>
      </c>
      <c r="C40" s="19">
        <f t="shared" si="0"/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1"/>
      <c r="B41" s="18">
        <v>-2</v>
      </c>
      <c r="C41" s="19">
        <f t="shared" si="0"/>
        <v>2.368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 spans="1:26">
      <c r="A42" s="1"/>
      <c r="B42" s="18">
        <v>-1</v>
      </c>
      <c r="C42" s="19">
        <f t="shared" si="0"/>
        <v>2.434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 spans="1:26">
      <c r="A43" s="1"/>
      <c r="B43" s="18">
        <v>0</v>
      </c>
      <c r="C43" s="19">
        <f t="shared" si="0"/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 spans="1:26">
      <c r="A44" s="1"/>
      <c r="B44" s="18">
        <v>1</v>
      </c>
      <c r="C44" s="19">
        <f t="shared" si="0"/>
        <v>2.566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 spans="1:26">
      <c r="A45" s="1"/>
      <c r="B45" s="18">
        <v>2</v>
      </c>
      <c r="C45" s="19">
        <f t="shared" si="0"/>
        <v>2.632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 spans="1:26">
      <c r="A46" s="1"/>
      <c r="B46" s="18">
        <v>3</v>
      </c>
      <c r="C46" s="19">
        <f t="shared" si="0"/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8">
        <v>4</v>
      </c>
      <c r="C47" s="19">
        <f t="shared" si="0"/>
        <v>2.764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8">
        <v>5</v>
      </c>
      <c r="C48" s="19">
        <f t="shared" si="0"/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8">
        <v>6</v>
      </c>
      <c r="C49" s="19">
        <f t="shared" si="0"/>
        <v>2.896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8">
        <v>7</v>
      </c>
      <c r="C50" s="19">
        <f t="shared" si="0"/>
        <v>2.962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8">
        <v>8</v>
      </c>
      <c r="C51" s="19">
        <f t="shared" si="0"/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8">
        <v>9</v>
      </c>
      <c r="C52" s="19">
        <f t="shared" si="0"/>
        <v>3.094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8">
        <v>10</v>
      </c>
      <c r="C53" s="19">
        <f t="shared" si="0"/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8">
        <v>11</v>
      </c>
      <c r="C54" s="19">
        <f t="shared" si="0"/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8">
        <v>12</v>
      </c>
      <c r="C55" s="19">
        <f t="shared" si="0"/>
        <v>3.292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8">
        <v>13</v>
      </c>
      <c r="C56" s="19">
        <f t="shared" si="0"/>
        <v>3.358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8">
        <v>14</v>
      </c>
      <c r="C57" s="19">
        <f t="shared" si="0"/>
        <v>3.424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8">
        <v>15</v>
      </c>
      <c r="C58" s="19">
        <f t="shared" si="0"/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8">
        <v>16</v>
      </c>
      <c r="C59" s="19">
        <f t="shared" si="0"/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8">
        <v>17</v>
      </c>
      <c r="C60" s="19">
        <f t="shared" si="0"/>
        <v>3.622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8">
        <v>18</v>
      </c>
      <c r="C61" s="19">
        <f t="shared" si="0"/>
        <v>3.688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8">
        <v>19</v>
      </c>
      <c r="C62" s="19">
        <f t="shared" si="0"/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8">
        <v>20</v>
      </c>
      <c r="C63" s="19">
        <f t="shared" si="0"/>
        <v>3.82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8">
        <v>21</v>
      </c>
      <c r="C64" s="19">
        <f t="shared" si="0"/>
        <v>3.886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8">
        <v>22</v>
      </c>
      <c r="C65" s="19">
        <f t="shared" si="0"/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8">
        <v>23</v>
      </c>
      <c r="C66" s="19">
        <f t="shared" si="0"/>
        <v>4.018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8">
        <v>24</v>
      </c>
      <c r="C67" s="19">
        <f t="shared" si="0"/>
        <v>4.084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8">
        <v>25</v>
      </c>
      <c r="C68" s="19">
        <f t="shared" si="0"/>
        <v>4.15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8">
        <v>26</v>
      </c>
      <c r="C69" s="19">
        <f t="shared" si="0"/>
        <v>4.216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8">
        <v>27</v>
      </c>
      <c r="C70" s="19">
        <f t="shared" si="0"/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8">
        <v>28</v>
      </c>
      <c r="C71" s="19">
        <f t="shared" si="0"/>
        <v>4.348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8">
        <v>29</v>
      </c>
      <c r="C72" s="19">
        <f t="shared" si="0"/>
        <v>4.414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8">
        <v>30</v>
      </c>
      <c r="C73" s="19">
        <f t="shared" si="0"/>
        <v>4.48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4">
        <v>31</v>
      </c>
      <c r="C74" s="15">
        <f t="shared" si="0"/>
        <v>4.546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4">
        <v>32</v>
      </c>
      <c r="C75" s="15">
        <f t="shared" si="0"/>
        <v>4.612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4">
        <v>33</v>
      </c>
      <c r="C76" s="15">
        <f t="shared" si="0"/>
        <v>4.678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4">
        <v>34</v>
      </c>
      <c r="C77" s="15">
        <f t="shared" si="0"/>
        <v>4.744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20">
        <v>35</v>
      </c>
      <c r="C78" s="21">
        <f t="shared" si="0"/>
        <v>4.81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ageMargins left="0.7" right="0.7" top="0.75" bottom="0.75" header="0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MPPT BUCK DESIGN CALCULATOR</vt:lpstr>
      <vt:lpstr>SWITCHING FREQUENCY GUIDE</vt:lpstr>
      <vt:lpstr>Toroid Calculator #1</vt:lpstr>
      <vt:lpstr>Toroid Calculator #2</vt:lpstr>
      <vt:lpstr>ACS712-30A THEORETICAL RESPONSE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WPS_1602212408</cp:lastModifiedBy>
  <dcterms:created xsi:type="dcterms:W3CDTF">2021-06-27T18:22:00Z</dcterms:created>
  <dcterms:modified xsi:type="dcterms:W3CDTF">2022-03-07T11:15:41Z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BACC8F30B49F47E49DF6C48266A90D87</vt:lpwstr>
  </property>
  <property fmtid="{D5CDD505-2E9C-101B-9397-08002B2CF9AE}" pid="3" name="KSOProductBuildVer">
    <vt:lpwstr>2052-11.1.0.11294</vt:lpwstr>
  </property>
</Properties>
</file>