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496d41b51a3bd866/Work ^0 Career Documents/Career Projects/(2022 - Project) HR Business Case Competition/"/>
    </mc:Choice>
  </mc:AlternateContent>
  <xr:revisionPtr revIDLastSave="11" documentId="13_ncr:1_{73A45E0A-416D-4548-A52F-B5E33E1CB693}" xr6:coauthVersionLast="47" xr6:coauthVersionMax="47" xr10:uidLastSave="{02F79542-B343-4897-A092-13F59E9CF604}"/>
  <bookViews>
    <workbookView minimized="1" xWindow="-13290" yWindow="4050" windowWidth="13635" windowHeight="9795" xr2:uid="{00000000-000D-0000-FFFF-FFFF00000000}"/>
  </bookViews>
  <sheets>
    <sheet name="Dashboard" sheetId="6" r:id="rId1"/>
    <sheet name="Employees" sheetId="1" r:id="rId2"/>
    <sheet name="Employee Leaves" sheetId="4" r:id="rId3"/>
    <sheet name="Exit Reasons" sheetId="2" r:id="rId4"/>
    <sheet name="Applications" sheetId="3" r:id="rId5"/>
    <sheet name="COA Estimator" sheetId="15" r:id="rId6"/>
    <sheet name="Dashboard Tables" sheetId="10" r:id="rId7"/>
  </sheets>
  <definedNames>
    <definedName name="_xlnm._FilterDatabase" localSheetId="4" hidden="1">Applications!$A$1:$F$1</definedName>
    <definedName name="_xlnm._FilterDatabase" localSheetId="2" hidden="1">'Employee Leaves'!$A$1:$I$144</definedName>
    <definedName name="_xlnm._FilterDatabase" localSheetId="1" hidden="1">Employees!$A$1:$X$1</definedName>
    <definedName name="_xlnm._FilterDatabase" localSheetId="3" hidden="1">'Exit Reasons'!$A$1:$T$1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6" l="1"/>
  <c r="H2" i="4"/>
  <c r="H2" i="1"/>
  <c r="D29" i="15"/>
  <c r="F29" i="15"/>
  <c r="E29" i="15"/>
  <c r="B2" i="15"/>
  <c r="C2" i="15"/>
  <c r="D2" i="15"/>
  <c r="E2" i="15"/>
  <c r="F2" i="15"/>
  <c r="G2" i="15"/>
  <c r="H2" i="15"/>
  <c r="I2" i="15"/>
  <c r="J2" i="15"/>
  <c r="K2" i="15"/>
  <c r="L2" i="15"/>
  <c r="M2" i="15"/>
  <c r="N2" i="15"/>
  <c r="B3" i="15"/>
  <c r="C3" i="15"/>
  <c r="B4" i="15"/>
  <c r="C4" i="15"/>
  <c r="B5" i="15"/>
  <c r="C5" i="15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H25" i="15"/>
  <c r="BR14" i="6"/>
  <c r="BK7" i="6"/>
  <c r="BK8" i="6"/>
  <c r="BK9" i="6"/>
  <c r="BK10" i="6"/>
  <c r="BK6" i="6"/>
  <c r="BK14" i="6"/>
  <c r="BJ7" i="6"/>
  <c r="BJ8" i="6"/>
  <c r="BJ9" i="6"/>
  <c r="BJ10" i="6"/>
  <c r="BJ6" i="6"/>
  <c r="BJ14" i="6"/>
  <c r="BK15" i="6"/>
  <c r="BK16" i="6"/>
  <c r="BK17" i="6"/>
  <c r="BK18" i="6"/>
  <c r="BK22" i="6"/>
  <c r="G3" i="15" s="1"/>
  <c r="BJ15" i="6"/>
  <c r="BJ16" i="6"/>
  <c r="BJ17" i="6"/>
  <c r="BJ18" i="6"/>
  <c r="BJ22" i="6"/>
  <c r="BJ23" i="6"/>
  <c r="F4" i="15" s="1"/>
  <c r="BJ24" i="6"/>
  <c r="F5" i="15" s="1"/>
  <c r="BJ25" i="6"/>
  <c r="F6" i="15" s="1"/>
  <c r="BJ26" i="6"/>
  <c r="F7" i="15" s="1"/>
  <c r="BJ27" i="6"/>
  <c r="F8" i="15" s="1"/>
  <c r="BJ28" i="6"/>
  <c r="F9" i="15" s="1"/>
  <c r="BJ29" i="6"/>
  <c r="F10" i="15" s="1"/>
  <c r="BJ30" i="6"/>
  <c r="F11" i="15" s="1"/>
  <c r="BJ31" i="6"/>
  <c r="F12" i="15" s="1"/>
  <c r="BJ32" i="6"/>
  <c r="F13" i="15" s="1"/>
  <c r="BJ33" i="6"/>
  <c r="F14" i="15" s="1"/>
  <c r="BJ34" i="6"/>
  <c r="F15" i="15" s="1"/>
  <c r="BJ35" i="6"/>
  <c r="F16" i="15" s="1"/>
  <c r="BJ36" i="6"/>
  <c r="F17" i="15" s="1"/>
  <c r="BJ37" i="6"/>
  <c r="F18" i="15" s="1"/>
  <c r="BJ38" i="6"/>
  <c r="F19" i="15" s="1"/>
  <c r="BJ39" i="6"/>
  <c r="F20" i="15" s="1"/>
  <c r="BJ40" i="6"/>
  <c r="F21" i="15" s="1"/>
  <c r="BJ41" i="6"/>
  <c r="F22" i="15" s="1"/>
  <c r="BJ42" i="6"/>
  <c r="F23" i="15" s="1"/>
  <c r="BJ43" i="6"/>
  <c r="F24" i="15" s="1"/>
  <c r="BK23" i="6"/>
  <c r="G4" i="15" s="1"/>
  <c r="BK24" i="6"/>
  <c r="G5" i="15" s="1"/>
  <c r="BK25" i="6"/>
  <c r="G6" i="15" s="1"/>
  <c r="BK26" i="6"/>
  <c r="G7" i="15" s="1"/>
  <c r="BK27" i="6"/>
  <c r="G8" i="15" s="1"/>
  <c r="BK28" i="6"/>
  <c r="G9" i="15" s="1"/>
  <c r="BK29" i="6"/>
  <c r="G10" i="15" s="1"/>
  <c r="BK30" i="6"/>
  <c r="G11" i="15" s="1"/>
  <c r="BK31" i="6"/>
  <c r="G12" i="15" s="1"/>
  <c r="BK32" i="6"/>
  <c r="G13" i="15" s="1"/>
  <c r="BK33" i="6"/>
  <c r="G14" i="15" s="1"/>
  <c r="BK34" i="6"/>
  <c r="G15" i="15" s="1"/>
  <c r="BK35" i="6"/>
  <c r="G16" i="15" s="1"/>
  <c r="BK36" i="6"/>
  <c r="G17" i="15" s="1"/>
  <c r="BK37" i="6"/>
  <c r="G18" i="15" s="1"/>
  <c r="BK38" i="6"/>
  <c r="G19" i="15" s="1"/>
  <c r="BK39" i="6"/>
  <c r="G20" i="15" s="1"/>
  <c r="BK40" i="6"/>
  <c r="G21" i="15" s="1"/>
  <c r="BK41" i="6"/>
  <c r="G22" i="15" s="1"/>
  <c r="BK42" i="6"/>
  <c r="G23" i="15" s="1"/>
  <c r="BK43" i="6"/>
  <c r="G24" i="15" s="1"/>
  <c r="AJ22" i="6"/>
  <c r="AM22" i="6"/>
  <c r="AM23" i="6"/>
  <c r="AJ27" i="6"/>
  <c r="F3" i="15" l="1"/>
  <c r="O3" i="15" s="1"/>
  <c r="O8" i="15"/>
  <c r="P5" i="15"/>
  <c r="O18" i="15"/>
  <c r="O6" i="15"/>
  <c r="P17" i="15"/>
  <c r="P14" i="15"/>
  <c r="P15" i="15"/>
  <c r="P3" i="15"/>
  <c r="P13" i="15"/>
  <c r="P24" i="15"/>
  <c r="P12" i="15"/>
  <c r="P23" i="15"/>
  <c r="P11" i="15"/>
  <c r="P22" i="15"/>
  <c r="P10" i="15"/>
  <c r="P21" i="15"/>
  <c r="P9" i="15"/>
  <c r="P20" i="15"/>
  <c r="P8" i="15"/>
  <c r="P19" i="15"/>
  <c r="P7" i="15"/>
  <c r="P18" i="15"/>
  <c r="P6" i="15"/>
  <c r="P16" i="15"/>
  <c r="P4" i="15"/>
  <c r="O19" i="15"/>
  <c r="O7" i="15"/>
  <c r="O17" i="15"/>
  <c r="O5" i="15"/>
  <c r="O16" i="15"/>
  <c r="O4" i="15"/>
  <c r="O15" i="15"/>
  <c r="O14" i="15"/>
  <c r="O13" i="15"/>
  <c r="O24" i="15"/>
  <c r="O12" i="15"/>
  <c r="O23" i="15"/>
  <c r="O11" i="15"/>
  <c r="O22" i="15"/>
  <c r="O10" i="15"/>
  <c r="O21" i="15"/>
  <c r="O9" i="15"/>
  <c r="O20" i="15"/>
  <c r="BJ11" i="6"/>
  <c r="BJ44" i="6"/>
  <c r="F25" i="15" s="1"/>
  <c r="BK11" i="6"/>
  <c r="BK19" i="6"/>
  <c r="BJ19" i="6"/>
  <c r="BK44" i="6"/>
  <c r="G25" i="15" s="1"/>
  <c r="AK23" i="6" l="1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22" i="6"/>
  <c r="AJ23" i="6"/>
  <c r="AJ24" i="6"/>
  <c r="AJ25" i="6"/>
  <c r="AJ26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O13" i="6"/>
  <c r="AP8" i="6"/>
  <c r="AP9" i="6"/>
  <c r="AP10" i="6"/>
  <c r="AP11" i="6"/>
  <c r="AP12" i="6"/>
  <c r="AP13" i="6"/>
  <c r="AP14" i="6"/>
  <c r="AP15" i="6"/>
  <c r="AP16" i="6"/>
  <c r="AP17" i="6"/>
  <c r="AP18" i="6"/>
  <c r="AP7" i="6"/>
  <c r="AO8" i="6"/>
  <c r="AQ8" i="6" s="1"/>
  <c r="AO9" i="6"/>
  <c r="AQ9" i="6" s="1"/>
  <c r="AO10" i="6"/>
  <c r="AO11" i="6"/>
  <c r="AQ11" i="6" s="1"/>
  <c r="AO12" i="6"/>
  <c r="AQ12" i="6" s="1"/>
  <c r="AO14" i="6"/>
  <c r="AO15" i="6"/>
  <c r="AO16" i="6"/>
  <c r="AO17" i="6"/>
  <c r="AO18" i="6"/>
  <c r="AO7" i="6"/>
  <c r="AQ7" i="6" s="1"/>
  <c r="AM7" i="6"/>
  <c r="AL10" i="6"/>
  <c r="AL8" i="6"/>
  <c r="AM8" i="6"/>
  <c r="AL9" i="6"/>
  <c r="AM9" i="6"/>
  <c r="AM10" i="6"/>
  <c r="AL11" i="6"/>
  <c r="AM11" i="6"/>
  <c r="AL12" i="6"/>
  <c r="AM12" i="6"/>
  <c r="AL13" i="6"/>
  <c r="AM13" i="6"/>
  <c r="AL14" i="6"/>
  <c r="AM14" i="6"/>
  <c r="AL15" i="6"/>
  <c r="AM15" i="6"/>
  <c r="AL16" i="6"/>
  <c r="AM16" i="6"/>
  <c r="AL17" i="6"/>
  <c r="AM17" i="6"/>
  <c r="AL18" i="6"/>
  <c r="AM18" i="6"/>
  <c r="AL7" i="6"/>
  <c r="AK8" i="6"/>
  <c r="AK9" i="6"/>
  <c r="AK10" i="6"/>
  <c r="AK11" i="6"/>
  <c r="AK12" i="6"/>
  <c r="AK13" i="6"/>
  <c r="AK14" i="6"/>
  <c r="AK15" i="6"/>
  <c r="AK16" i="6"/>
  <c r="AK17" i="6"/>
  <c r="AK18" i="6"/>
  <c r="AK7" i="6"/>
  <c r="AN7" i="6" s="1"/>
  <c r="AN22" i="6"/>
  <c r="AO22" i="6"/>
  <c r="AP22" i="6"/>
  <c r="AQ22" i="6"/>
  <c r="AR22" i="6"/>
  <c r="AN23" i="6"/>
  <c r="AO23" i="6"/>
  <c r="AP23" i="6"/>
  <c r="AQ23" i="6"/>
  <c r="AR23" i="6"/>
  <c r="AN24" i="6"/>
  <c r="AO24" i="6"/>
  <c r="AP24" i="6"/>
  <c r="AQ24" i="6"/>
  <c r="AR24" i="6"/>
  <c r="AN25" i="6"/>
  <c r="AO25" i="6"/>
  <c r="AP25" i="6"/>
  <c r="AQ25" i="6"/>
  <c r="AR25" i="6"/>
  <c r="AN26" i="6"/>
  <c r="AO26" i="6"/>
  <c r="AP26" i="6"/>
  <c r="AQ26" i="6"/>
  <c r="AR26" i="6"/>
  <c r="AN27" i="6"/>
  <c r="AO27" i="6"/>
  <c r="AP27" i="6"/>
  <c r="AQ27" i="6"/>
  <c r="AR27" i="6"/>
  <c r="AN28" i="6"/>
  <c r="AO28" i="6"/>
  <c r="AP28" i="6"/>
  <c r="AQ28" i="6"/>
  <c r="AR28" i="6"/>
  <c r="AN29" i="6"/>
  <c r="AO29" i="6"/>
  <c r="AP29" i="6"/>
  <c r="AQ29" i="6"/>
  <c r="AR29" i="6"/>
  <c r="AN30" i="6"/>
  <c r="AO30" i="6"/>
  <c r="AP30" i="6"/>
  <c r="AQ30" i="6"/>
  <c r="AR30" i="6"/>
  <c r="AN31" i="6"/>
  <c r="AO31" i="6"/>
  <c r="AP31" i="6"/>
  <c r="AQ31" i="6"/>
  <c r="AR31" i="6"/>
  <c r="AN32" i="6"/>
  <c r="AO32" i="6"/>
  <c r="AP32" i="6"/>
  <c r="AQ32" i="6"/>
  <c r="AR32" i="6"/>
  <c r="AN33" i="6"/>
  <c r="AO33" i="6"/>
  <c r="AP33" i="6"/>
  <c r="AQ33" i="6"/>
  <c r="AR33" i="6"/>
  <c r="AN34" i="6"/>
  <c r="AO34" i="6"/>
  <c r="AP34" i="6"/>
  <c r="AQ34" i="6"/>
  <c r="AR34" i="6"/>
  <c r="AN35" i="6"/>
  <c r="AO35" i="6"/>
  <c r="AP35" i="6"/>
  <c r="AQ35" i="6"/>
  <c r="AR35" i="6"/>
  <c r="AN36" i="6"/>
  <c r="AO36" i="6"/>
  <c r="AP36" i="6"/>
  <c r="AQ36" i="6"/>
  <c r="AR36" i="6"/>
  <c r="AN37" i="6"/>
  <c r="AO37" i="6"/>
  <c r="AP37" i="6"/>
  <c r="AQ37" i="6"/>
  <c r="AR37" i="6"/>
  <c r="AN38" i="6"/>
  <c r="AO38" i="6"/>
  <c r="AP38" i="6"/>
  <c r="AQ38" i="6"/>
  <c r="AR38" i="6"/>
  <c r="AN39" i="6"/>
  <c r="AO39" i="6"/>
  <c r="AP39" i="6"/>
  <c r="AQ39" i="6"/>
  <c r="AR39" i="6"/>
  <c r="AN40" i="6"/>
  <c r="AO40" i="6"/>
  <c r="AP40" i="6"/>
  <c r="AQ40" i="6"/>
  <c r="AR40" i="6"/>
  <c r="AN41" i="6"/>
  <c r="AO41" i="6"/>
  <c r="AP41" i="6"/>
  <c r="AQ41" i="6"/>
  <c r="AR41" i="6"/>
  <c r="AN42" i="6"/>
  <c r="AO42" i="6"/>
  <c r="AP42" i="6"/>
  <c r="AQ42" i="6"/>
  <c r="AR42" i="6"/>
  <c r="AN43" i="6"/>
  <c r="AO43" i="6"/>
  <c r="AP43" i="6"/>
  <c r="AQ43" i="6"/>
  <c r="AR4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H15" i="6"/>
  <c r="AH16" i="6"/>
  <c r="AH17" i="6"/>
  <c r="AH18" i="6"/>
  <c r="AH14" i="6"/>
  <c r="AG15" i="6"/>
  <c r="AG16" i="6"/>
  <c r="AG17" i="6"/>
  <c r="AG18" i="6"/>
  <c r="AG14" i="6"/>
  <c r="AH7" i="6"/>
  <c r="AH8" i="6"/>
  <c r="AH9" i="6"/>
  <c r="AH10" i="6"/>
  <c r="AH6" i="6"/>
  <c r="AG7" i="6"/>
  <c r="AG8" i="6"/>
  <c r="AG9" i="6"/>
  <c r="AG10" i="6"/>
  <c r="AG6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J2" i="1"/>
  <c r="BR6" i="6"/>
  <c r="P14" i="1"/>
  <c r="P31" i="1"/>
  <c r="P20" i="1"/>
  <c r="P35" i="1"/>
  <c r="P2" i="1"/>
  <c r="P103" i="1"/>
  <c r="P211" i="1"/>
  <c r="P3" i="1"/>
  <c r="P4" i="1"/>
  <c r="P5" i="1"/>
  <c r="P61" i="1"/>
  <c r="P6" i="1"/>
  <c r="P7" i="1"/>
  <c r="P8" i="1"/>
  <c r="P21" i="1"/>
  <c r="P190" i="1"/>
  <c r="P9" i="1"/>
  <c r="P30" i="1"/>
  <c r="P90" i="1"/>
  <c r="P124" i="1"/>
  <c r="P157" i="1"/>
  <c r="P201" i="1"/>
  <c r="P10" i="1"/>
  <c r="P11" i="1"/>
  <c r="P12" i="1"/>
  <c r="P13" i="1"/>
  <c r="P15" i="1"/>
  <c r="P16" i="1"/>
  <c r="P17" i="1"/>
  <c r="P18" i="1"/>
  <c r="P19" i="1"/>
  <c r="P102" i="1"/>
  <c r="P109" i="1"/>
  <c r="P208" i="1"/>
  <c r="P22" i="1"/>
  <c r="P23" i="1"/>
  <c r="P24" i="1"/>
  <c r="P107" i="1"/>
  <c r="P144" i="1"/>
  <c r="P164" i="1"/>
  <c r="P25" i="1"/>
  <c r="P26" i="1"/>
  <c r="P27" i="1"/>
  <c r="P28" i="1"/>
  <c r="P29" i="1"/>
  <c r="P74" i="1"/>
  <c r="P172" i="1"/>
  <c r="P32" i="1"/>
  <c r="P100" i="1"/>
  <c r="P122" i="1"/>
  <c r="P210" i="1"/>
  <c r="P53" i="1"/>
  <c r="P49" i="1"/>
  <c r="P33" i="1"/>
  <c r="P34" i="1"/>
  <c r="P36" i="1"/>
  <c r="P37" i="1"/>
  <c r="P38" i="1"/>
  <c r="P39" i="1"/>
  <c r="P40" i="1"/>
  <c r="P41" i="1"/>
  <c r="P42" i="1"/>
  <c r="P43" i="1"/>
  <c r="P44" i="1"/>
  <c r="P78" i="1"/>
  <c r="P83" i="1"/>
  <c r="P88" i="1"/>
  <c r="P93" i="1"/>
  <c r="P154" i="1"/>
  <c r="P153" i="1"/>
  <c r="P45" i="1"/>
  <c r="P46" i="1"/>
  <c r="P137" i="1"/>
  <c r="P143" i="1"/>
  <c r="P158" i="1"/>
  <c r="P160" i="1"/>
  <c r="P168" i="1"/>
  <c r="P199" i="1"/>
  <c r="P205" i="1"/>
  <c r="P206" i="1"/>
  <c r="P47" i="1"/>
  <c r="P48" i="1"/>
  <c r="P50" i="1"/>
  <c r="P51" i="1"/>
  <c r="P52" i="1"/>
  <c r="P54" i="1"/>
  <c r="P55" i="1"/>
  <c r="P56" i="1"/>
  <c r="P57" i="1"/>
  <c r="P58" i="1"/>
  <c r="P59" i="1"/>
  <c r="P60" i="1"/>
  <c r="P62" i="1"/>
  <c r="P63" i="1"/>
  <c r="P64" i="1"/>
  <c r="P65" i="1"/>
  <c r="P66" i="1"/>
  <c r="P76" i="1"/>
  <c r="P136" i="1"/>
  <c r="P145" i="1"/>
  <c r="P146" i="1"/>
  <c r="P159" i="1"/>
  <c r="P169" i="1"/>
  <c r="P67" i="1"/>
  <c r="P68" i="1"/>
  <c r="P69" i="1"/>
  <c r="P70" i="1"/>
  <c r="P71" i="1"/>
  <c r="P72" i="1"/>
  <c r="P85" i="1"/>
  <c r="P140" i="1"/>
  <c r="P162" i="1"/>
  <c r="P191" i="1"/>
  <c r="P86" i="1"/>
  <c r="P73" i="1"/>
  <c r="P185" i="1"/>
  <c r="P132" i="1"/>
  <c r="P176" i="1"/>
  <c r="P75" i="1"/>
  <c r="P77" i="1"/>
  <c r="P79" i="1"/>
  <c r="P80" i="1"/>
  <c r="P81" i="1"/>
  <c r="P82" i="1"/>
  <c r="P84" i="1"/>
  <c r="P87" i="1"/>
  <c r="P89" i="1"/>
  <c r="P91" i="1"/>
  <c r="P92" i="1"/>
  <c r="P94" i="1"/>
  <c r="P95" i="1"/>
  <c r="P97" i="1"/>
  <c r="P98" i="1"/>
  <c r="P99" i="1"/>
  <c r="P101" i="1"/>
  <c r="P104" i="1"/>
  <c r="P105" i="1"/>
  <c r="P106" i="1"/>
  <c r="P108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3" i="1"/>
  <c r="P125" i="1"/>
  <c r="P126" i="1"/>
  <c r="P127" i="1"/>
  <c r="P128" i="1"/>
  <c r="P129" i="1"/>
  <c r="P130" i="1"/>
  <c r="P131" i="1"/>
  <c r="P133" i="1"/>
  <c r="P134" i="1"/>
  <c r="P135" i="1"/>
  <c r="P138" i="1"/>
  <c r="P139" i="1"/>
  <c r="P141" i="1"/>
  <c r="P142" i="1"/>
  <c r="P147" i="1"/>
  <c r="P148" i="1"/>
  <c r="P149" i="1"/>
  <c r="P150" i="1"/>
  <c r="P151" i="1"/>
  <c r="P152" i="1"/>
  <c r="P155" i="1"/>
  <c r="P156" i="1"/>
  <c r="P161" i="1"/>
  <c r="P163" i="1"/>
  <c r="P165" i="1"/>
  <c r="P166" i="1"/>
  <c r="P167" i="1"/>
  <c r="P170" i="1"/>
  <c r="P171" i="1"/>
  <c r="P173" i="1"/>
  <c r="P174" i="1"/>
  <c r="P175" i="1"/>
  <c r="P177" i="1"/>
  <c r="P178" i="1"/>
  <c r="P179" i="1"/>
  <c r="P180" i="1"/>
  <c r="P181" i="1"/>
  <c r="P182" i="1"/>
  <c r="P183" i="1"/>
  <c r="P184" i="1"/>
  <c r="P186" i="1"/>
  <c r="P187" i="1"/>
  <c r="P188" i="1"/>
  <c r="P189" i="1"/>
  <c r="P192" i="1"/>
  <c r="P193" i="1"/>
  <c r="P194" i="1"/>
  <c r="P195" i="1"/>
  <c r="P196" i="1"/>
  <c r="P197" i="1"/>
  <c r="P198" i="1"/>
  <c r="P200" i="1"/>
  <c r="P202" i="1"/>
  <c r="P203" i="1"/>
  <c r="P204" i="1"/>
  <c r="P207" i="1"/>
  <c r="P209" i="1"/>
  <c r="P96" i="1"/>
  <c r="M14" i="1"/>
  <c r="O14" i="1" s="1"/>
  <c r="M31" i="1"/>
  <c r="O31" i="1" s="1"/>
  <c r="M20" i="1"/>
  <c r="O20" i="1" s="1"/>
  <c r="M35" i="1"/>
  <c r="O35" i="1" s="1"/>
  <c r="M2" i="1"/>
  <c r="O2" i="1" s="1"/>
  <c r="M103" i="1"/>
  <c r="O103" i="1" s="1"/>
  <c r="M211" i="1"/>
  <c r="O211" i="1" s="1"/>
  <c r="M3" i="1"/>
  <c r="O3" i="1" s="1"/>
  <c r="M4" i="1"/>
  <c r="O4" i="1" s="1"/>
  <c r="M5" i="1"/>
  <c r="O5" i="1" s="1"/>
  <c r="M61" i="1"/>
  <c r="O61" i="1" s="1"/>
  <c r="M6" i="1"/>
  <c r="O6" i="1" s="1"/>
  <c r="M7" i="1"/>
  <c r="O7" i="1" s="1"/>
  <c r="M8" i="1"/>
  <c r="O8" i="1" s="1"/>
  <c r="M21" i="1"/>
  <c r="O21" i="1" s="1"/>
  <c r="M190" i="1"/>
  <c r="O190" i="1" s="1"/>
  <c r="M9" i="1"/>
  <c r="O9" i="1" s="1"/>
  <c r="M30" i="1"/>
  <c r="O30" i="1" s="1"/>
  <c r="M90" i="1"/>
  <c r="O90" i="1" s="1"/>
  <c r="M124" i="1"/>
  <c r="O124" i="1" s="1"/>
  <c r="M157" i="1"/>
  <c r="O157" i="1" s="1"/>
  <c r="M201" i="1"/>
  <c r="O201" i="1" s="1"/>
  <c r="M10" i="1"/>
  <c r="O10" i="1" s="1"/>
  <c r="M11" i="1"/>
  <c r="O11" i="1" s="1"/>
  <c r="M12" i="1"/>
  <c r="O12" i="1" s="1"/>
  <c r="M13" i="1"/>
  <c r="O13" i="1" s="1"/>
  <c r="M15" i="1"/>
  <c r="O15" i="1" s="1"/>
  <c r="M16" i="1"/>
  <c r="O16" i="1" s="1"/>
  <c r="M17" i="1"/>
  <c r="O17" i="1" s="1"/>
  <c r="M18" i="1"/>
  <c r="O18" i="1" s="1"/>
  <c r="M19" i="1"/>
  <c r="O19" i="1" s="1"/>
  <c r="M102" i="1"/>
  <c r="O102" i="1" s="1"/>
  <c r="M109" i="1"/>
  <c r="O109" i="1" s="1"/>
  <c r="M208" i="1"/>
  <c r="O208" i="1" s="1"/>
  <c r="M22" i="1"/>
  <c r="O22" i="1" s="1"/>
  <c r="M23" i="1"/>
  <c r="O23" i="1" s="1"/>
  <c r="M24" i="1"/>
  <c r="O24" i="1" s="1"/>
  <c r="M107" i="1"/>
  <c r="O107" i="1" s="1"/>
  <c r="M144" i="1"/>
  <c r="O144" i="1" s="1"/>
  <c r="M164" i="1"/>
  <c r="O164" i="1" s="1"/>
  <c r="M25" i="1"/>
  <c r="O25" i="1" s="1"/>
  <c r="M26" i="1"/>
  <c r="O26" i="1" s="1"/>
  <c r="M27" i="1"/>
  <c r="O27" i="1" s="1"/>
  <c r="M28" i="1"/>
  <c r="O28" i="1" s="1"/>
  <c r="M29" i="1"/>
  <c r="O29" i="1" s="1"/>
  <c r="M74" i="1"/>
  <c r="O74" i="1" s="1"/>
  <c r="M172" i="1"/>
  <c r="O172" i="1" s="1"/>
  <c r="M32" i="1"/>
  <c r="O32" i="1" s="1"/>
  <c r="M100" i="1"/>
  <c r="O100" i="1" s="1"/>
  <c r="M122" i="1"/>
  <c r="O122" i="1" s="1"/>
  <c r="M210" i="1"/>
  <c r="O210" i="1" s="1"/>
  <c r="M53" i="1"/>
  <c r="O53" i="1" s="1"/>
  <c r="M49" i="1"/>
  <c r="O49" i="1" s="1"/>
  <c r="M33" i="1"/>
  <c r="O33" i="1" s="1"/>
  <c r="M34" i="1"/>
  <c r="O34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78" i="1"/>
  <c r="O78" i="1" s="1"/>
  <c r="M83" i="1"/>
  <c r="O83" i="1" s="1"/>
  <c r="M88" i="1"/>
  <c r="O88" i="1" s="1"/>
  <c r="M93" i="1"/>
  <c r="O93" i="1" s="1"/>
  <c r="M154" i="1"/>
  <c r="O154" i="1" s="1"/>
  <c r="M153" i="1"/>
  <c r="O153" i="1" s="1"/>
  <c r="M45" i="1"/>
  <c r="O45" i="1" s="1"/>
  <c r="M46" i="1"/>
  <c r="O46" i="1" s="1"/>
  <c r="M137" i="1"/>
  <c r="O137" i="1" s="1"/>
  <c r="M143" i="1"/>
  <c r="O143" i="1" s="1"/>
  <c r="M158" i="1"/>
  <c r="O158" i="1" s="1"/>
  <c r="M160" i="1"/>
  <c r="O160" i="1" s="1"/>
  <c r="M168" i="1"/>
  <c r="O168" i="1" s="1"/>
  <c r="M199" i="1"/>
  <c r="O199" i="1" s="1"/>
  <c r="M205" i="1"/>
  <c r="O205" i="1" s="1"/>
  <c r="M206" i="1"/>
  <c r="O206" i="1" s="1"/>
  <c r="M47" i="1"/>
  <c r="O47" i="1" s="1"/>
  <c r="M48" i="1"/>
  <c r="O48" i="1" s="1"/>
  <c r="M50" i="1"/>
  <c r="O50" i="1" s="1"/>
  <c r="M51" i="1"/>
  <c r="O51" i="1" s="1"/>
  <c r="M52" i="1"/>
  <c r="O52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2" i="1"/>
  <c r="O62" i="1" s="1"/>
  <c r="M63" i="1"/>
  <c r="O63" i="1" s="1"/>
  <c r="M64" i="1"/>
  <c r="O64" i="1" s="1"/>
  <c r="M65" i="1"/>
  <c r="O65" i="1" s="1"/>
  <c r="M66" i="1"/>
  <c r="O66" i="1" s="1"/>
  <c r="M76" i="1"/>
  <c r="O76" i="1" s="1"/>
  <c r="M136" i="1"/>
  <c r="O136" i="1" s="1"/>
  <c r="M145" i="1"/>
  <c r="O145" i="1" s="1"/>
  <c r="M146" i="1"/>
  <c r="O146" i="1" s="1"/>
  <c r="M159" i="1"/>
  <c r="O159" i="1" s="1"/>
  <c r="M169" i="1"/>
  <c r="O169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85" i="1"/>
  <c r="O85" i="1" s="1"/>
  <c r="M140" i="1"/>
  <c r="O140" i="1" s="1"/>
  <c r="M162" i="1"/>
  <c r="O162" i="1" s="1"/>
  <c r="M191" i="1"/>
  <c r="O191" i="1" s="1"/>
  <c r="M86" i="1"/>
  <c r="O86" i="1" s="1"/>
  <c r="M73" i="1"/>
  <c r="O73" i="1" s="1"/>
  <c r="M185" i="1"/>
  <c r="O185" i="1" s="1"/>
  <c r="M132" i="1"/>
  <c r="O132" i="1" s="1"/>
  <c r="M176" i="1"/>
  <c r="O176" i="1" s="1"/>
  <c r="M75" i="1"/>
  <c r="O75" i="1" s="1"/>
  <c r="M77" i="1"/>
  <c r="O77" i="1" s="1"/>
  <c r="M79" i="1"/>
  <c r="O79" i="1" s="1"/>
  <c r="M80" i="1"/>
  <c r="O80" i="1" s="1"/>
  <c r="M81" i="1"/>
  <c r="O81" i="1" s="1"/>
  <c r="M82" i="1"/>
  <c r="O82" i="1" s="1"/>
  <c r="M84" i="1"/>
  <c r="O84" i="1" s="1"/>
  <c r="M87" i="1"/>
  <c r="O87" i="1" s="1"/>
  <c r="M89" i="1"/>
  <c r="O89" i="1" s="1"/>
  <c r="M91" i="1"/>
  <c r="O91" i="1" s="1"/>
  <c r="M92" i="1"/>
  <c r="O92" i="1" s="1"/>
  <c r="M94" i="1"/>
  <c r="O94" i="1" s="1"/>
  <c r="M95" i="1"/>
  <c r="O95" i="1" s="1"/>
  <c r="M97" i="1"/>
  <c r="O97" i="1" s="1"/>
  <c r="M98" i="1"/>
  <c r="O98" i="1" s="1"/>
  <c r="M99" i="1"/>
  <c r="O99" i="1" s="1"/>
  <c r="M101" i="1"/>
  <c r="O101" i="1" s="1"/>
  <c r="M104" i="1"/>
  <c r="O104" i="1" s="1"/>
  <c r="M105" i="1"/>
  <c r="O105" i="1" s="1"/>
  <c r="M106" i="1"/>
  <c r="O106" i="1" s="1"/>
  <c r="M108" i="1"/>
  <c r="O108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17" i="1"/>
  <c r="O117" i="1" s="1"/>
  <c r="M118" i="1"/>
  <c r="O118" i="1" s="1"/>
  <c r="M119" i="1"/>
  <c r="O119" i="1" s="1"/>
  <c r="M120" i="1"/>
  <c r="O120" i="1" s="1"/>
  <c r="M121" i="1"/>
  <c r="O121" i="1" s="1"/>
  <c r="M123" i="1"/>
  <c r="O123" i="1" s="1"/>
  <c r="M125" i="1"/>
  <c r="O125" i="1" s="1"/>
  <c r="M126" i="1"/>
  <c r="O126" i="1" s="1"/>
  <c r="M127" i="1"/>
  <c r="O127" i="1" s="1"/>
  <c r="M128" i="1"/>
  <c r="O128" i="1" s="1"/>
  <c r="M129" i="1"/>
  <c r="O129" i="1" s="1"/>
  <c r="M130" i="1"/>
  <c r="O130" i="1" s="1"/>
  <c r="M131" i="1"/>
  <c r="O131" i="1" s="1"/>
  <c r="M133" i="1"/>
  <c r="O133" i="1" s="1"/>
  <c r="M134" i="1"/>
  <c r="O134" i="1" s="1"/>
  <c r="M135" i="1"/>
  <c r="O135" i="1" s="1"/>
  <c r="M138" i="1"/>
  <c r="O138" i="1" s="1"/>
  <c r="M139" i="1"/>
  <c r="O139" i="1" s="1"/>
  <c r="M141" i="1"/>
  <c r="O141" i="1" s="1"/>
  <c r="M142" i="1"/>
  <c r="O142" i="1" s="1"/>
  <c r="M147" i="1"/>
  <c r="O147" i="1" s="1"/>
  <c r="M148" i="1"/>
  <c r="O148" i="1" s="1"/>
  <c r="M149" i="1"/>
  <c r="O149" i="1" s="1"/>
  <c r="M150" i="1"/>
  <c r="O150" i="1" s="1"/>
  <c r="M151" i="1"/>
  <c r="O151" i="1" s="1"/>
  <c r="M152" i="1"/>
  <c r="O152" i="1" s="1"/>
  <c r="M155" i="1"/>
  <c r="O155" i="1" s="1"/>
  <c r="M156" i="1"/>
  <c r="O156" i="1" s="1"/>
  <c r="M161" i="1"/>
  <c r="O161" i="1" s="1"/>
  <c r="M163" i="1"/>
  <c r="O163" i="1" s="1"/>
  <c r="M165" i="1"/>
  <c r="O165" i="1" s="1"/>
  <c r="M166" i="1"/>
  <c r="O166" i="1" s="1"/>
  <c r="M167" i="1"/>
  <c r="O167" i="1" s="1"/>
  <c r="M170" i="1"/>
  <c r="O170" i="1" s="1"/>
  <c r="M171" i="1"/>
  <c r="O171" i="1" s="1"/>
  <c r="M173" i="1"/>
  <c r="O173" i="1" s="1"/>
  <c r="M174" i="1"/>
  <c r="O174" i="1" s="1"/>
  <c r="M175" i="1"/>
  <c r="O175" i="1" s="1"/>
  <c r="M177" i="1"/>
  <c r="O177" i="1" s="1"/>
  <c r="M178" i="1"/>
  <c r="O178" i="1" s="1"/>
  <c r="M179" i="1"/>
  <c r="O179" i="1" s="1"/>
  <c r="M180" i="1"/>
  <c r="O180" i="1" s="1"/>
  <c r="M181" i="1"/>
  <c r="O181" i="1" s="1"/>
  <c r="M182" i="1"/>
  <c r="O182" i="1" s="1"/>
  <c r="M183" i="1"/>
  <c r="O183" i="1" s="1"/>
  <c r="M184" i="1"/>
  <c r="O184" i="1" s="1"/>
  <c r="M186" i="1"/>
  <c r="O186" i="1" s="1"/>
  <c r="M187" i="1"/>
  <c r="O187" i="1" s="1"/>
  <c r="M188" i="1"/>
  <c r="O188" i="1" s="1"/>
  <c r="M189" i="1"/>
  <c r="O189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200" i="1"/>
  <c r="O200" i="1" s="1"/>
  <c r="M202" i="1"/>
  <c r="O202" i="1" s="1"/>
  <c r="M203" i="1"/>
  <c r="O203" i="1" s="1"/>
  <c r="M204" i="1"/>
  <c r="O204" i="1" s="1"/>
  <c r="M207" i="1"/>
  <c r="O207" i="1" s="1"/>
  <c r="M209" i="1"/>
  <c r="O209" i="1" s="1"/>
  <c r="M96" i="1"/>
  <c r="O96" i="1" s="1"/>
  <c r="L14" i="1"/>
  <c r="L31" i="1"/>
  <c r="L20" i="1"/>
  <c r="L35" i="1"/>
  <c r="L2" i="1"/>
  <c r="L103" i="1"/>
  <c r="L211" i="1"/>
  <c r="L3" i="1"/>
  <c r="L4" i="1"/>
  <c r="L5" i="1"/>
  <c r="L61" i="1"/>
  <c r="L6" i="1"/>
  <c r="L7" i="1"/>
  <c r="L8" i="1"/>
  <c r="L21" i="1"/>
  <c r="L190" i="1"/>
  <c r="L9" i="1"/>
  <c r="L30" i="1"/>
  <c r="L90" i="1"/>
  <c r="L124" i="1"/>
  <c r="L157" i="1"/>
  <c r="L201" i="1"/>
  <c r="L10" i="1"/>
  <c r="L11" i="1"/>
  <c r="L12" i="1"/>
  <c r="L13" i="1"/>
  <c r="L15" i="1"/>
  <c r="L16" i="1"/>
  <c r="L17" i="1"/>
  <c r="L18" i="1"/>
  <c r="L19" i="1"/>
  <c r="L102" i="1"/>
  <c r="L109" i="1"/>
  <c r="L208" i="1"/>
  <c r="L22" i="1"/>
  <c r="L23" i="1"/>
  <c r="L24" i="1"/>
  <c r="L107" i="1"/>
  <c r="L144" i="1"/>
  <c r="L164" i="1"/>
  <c r="L25" i="1"/>
  <c r="L26" i="1"/>
  <c r="L27" i="1"/>
  <c r="L28" i="1"/>
  <c r="L29" i="1"/>
  <c r="L74" i="1"/>
  <c r="L172" i="1"/>
  <c r="L32" i="1"/>
  <c r="L100" i="1"/>
  <c r="L122" i="1"/>
  <c r="L210" i="1"/>
  <c r="L53" i="1"/>
  <c r="L49" i="1"/>
  <c r="L33" i="1"/>
  <c r="L34" i="1"/>
  <c r="L36" i="1"/>
  <c r="L37" i="1"/>
  <c r="L38" i="1"/>
  <c r="L39" i="1"/>
  <c r="L40" i="1"/>
  <c r="L41" i="1"/>
  <c r="L42" i="1"/>
  <c r="L43" i="1"/>
  <c r="L44" i="1"/>
  <c r="L78" i="1"/>
  <c r="L83" i="1"/>
  <c r="L88" i="1"/>
  <c r="L93" i="1"/>
  <c r="L154" i="1"/>
  <c r="L153" i="1"/>
  <c r="L45" i="1"/>
  <c r="L46" i="1"/>
  <c r="L137" i="1"/>
  <c r="L143" i="1"/>
  <c r="L158" i="1"/>
  <c r="L160" i="1"/>
  <c r="L168" i="1"/>
  <c r="L199" i="1"/>
  <c r="L205" i="1"/>
  <c r="L206" i="1"/>
  <c r="L47" i="1"/>
  <c r="L48" i="1"/>
  <c r="L50" i="1"/>
  <c r="L51" i="1"/>
  <c r="L52" i="1"/>
  <c r="L54" i="1"/>
  <c r="L55" i="1"/>
  <c r="L56" i="1"/>
  <c r="L57" i="1"/>
  <c r="L58" i="1"/>
  <c r="L59" i="1"/>
  <c r="L60" i="1"/>
  <c r="L62" i="1"/>
  <c r="L63" i="1"/>
  <c r="L64" i="1"/>
  <c r="L65" i="1"/>
  <c r="L66" i="1"/>
  <c r="L76" i="1"/>
  <c r="L136" i="1"/>
  <c r="L145" i="1"/>
  <c r="L146" i="1"/>
  <c r="L159" i="1"/>
  <c r="L169" i="1"/>
  <c r="L67" i="1"/>
  <c r="L68" i="1"/>
  <c r="L69" i="1"/>
  <c r="L70" i="1"/>
  <c r="L71" i="1"/>
  <c r="L72" i="1"/>
  <c r="L85" i="1"/>
  <c r="L140" i="1"/>
  <c r="L162" i="1"/>
  <c r="L191" i="1"/>
  <c r="L86" i="1"/>
  <c r="L73" i="1"/>
  <c r="L185" i="1"/>
  <c r="L132" i="1"/>
  <c r="L176" i="1"/>
  <c r="L75" i="1"/>
  <c r="L77" i="1"/>
  <c r="L79" i="1"/>
  <c r="L80" i="1"/>
  <c r="L81" i="1"/>
  <c r="L82" i="1"/>
  <c r="L84" i="1"/>
  <c r="L87" i="1"/>
  <c r="L89" i="1"/>
  <c r="L91" i="1"/>
  <c r="L92" i="1"/>
  <c r="L94" i="1"/>
  <c r="L95" i="1"/>
  <c r="L97" i="1"/>
  <c r="L98" i="1"/>
  <c r="L99" i="1"/>
  <c r="L101" i="1"/>
  <c r="L104" i="1"/>
  <c r="L105" i="1"/>
  <c r="L106" i="1"/>
  <c r="L108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3" i="1"/>
  <c r="L125" i="1"/>
  <c r="L126" i="1"/>
  <c r="L127" i="1"/>
  <c r="L128" i="1"/>
  <c r="L129" i="1"/>
  <c r="L130" i="1"/>
  <c r="L131" i="1"/>
  <c r="L133" i="1"/>
  <c r="L134" i="1"/>
  <c r="L135" i="1"/>
  <c r="L138" i="1"/>
  <c r="L139" i="1"/>
  <c r="L141" i="1"/>
  <c r="L142" i="1"/>
  <c r="L147" i="1"/>
  <c r="L148" i="1"/>
  <c r="L149" i="1"/>
  <c r="L150" i="1"/>
  <c r="L151" i="1"/>
  <c r="L152" i="1"/>
  <c r="L155" i="1"/>
  <c r="L156" i="1"/>
  <c r="L161" i="1"/>
  <c r="L163" i="1"/>
  <c r="L165" i="1"/>
  <c r="L166" i="1"/>
  <c r="L167" i="1"/>
  <c r="L170" i="1"/>
  <c r="L171" i="1"/>
  <c r="L173" i="1"/>
  <c r="L174" i="1"/>
  <c r="L175" i="1"/>
  <c r="L177" i="1"/>
  <c r="L178" i="1"/>
  <c r="L179" i="1"/>
  <c r="L180" i="1"/>
  <c r="L181" i="1"/>
  <c r="L182" i="1"/>
  <c r="L183" i="1"/>
  <c r="L184" i="1"/>
  <c r="L186" i="1"/>
  <c r="L187" i="1"/>
  <c r="L188" i="1"/>
  <c r="L189" i="1"/>
  <c r="L192" i="1"/>
  <c r="L193" i="1"/>
  <c r="L194" i="1"/>
  <c r="L195" i="1"/>
  <c r="L196" i="1"/>
  <c r="L197" i="1"/>
  <c r="L198" i="1"/>
  <c r="L200" i="1"/>
  <c r="L202" i="1"/>
  <c r="L203" i="1"/>
  <c r="L204" i="1"/>
  <c r="L207" i="1"/>
  <c r="L209" i="1"/>
  <c r="L96" i="1"/>
  <c r="K14" i="1"/>
  <c r="K31" i="1"/>
  <c r="K20" i="1"/>
  <c r="K35" i="1"/>
  <c r="K2" i="1"/>
  <c r="K103" i="1"/>
  <c r="K211" i="1"/>
  <c r="K3" i="1"/>
  <c r="K4" i="1"/>
  <c r="K5" i="1"/>
  <c r="K61" i="1"/>
  <c r="K6" i="1"/>
  <c r="K7" i="1"/>
  <c r="K8" i="1"/>
  <c r="K21" i="1"/>
  <c r="K190" i="1"/>
  <c r="K9" i="1"/>
  <c r="K30" i="1"/>
  <c r="K90" i="1"/>
  <c r="K124" i="1"/>
  <c r="K157" i="1"/>
  <c r="K201" i="1"/>
  <c r="K10" i="1"/>
  <c r="K11" i="1"/>
  <c r="K12" i="1"/>
  <c r="K13" i="1"/>
  <c r="K15" i="1"/>
  <c r="K16" i="1"/>
  <c r="K17" i="1"/>
  <c r="K18" i="1"/>
  <c r="K19" i="1"/>
  <c r="K102" i="1"/>
  <c r="K109" i="1"/>
  <c r="K208" i="1"/>
  <c r="K22" i="1"/>
  <c r="K23" i="1"/>
  <c r="K24" i="1"/>
  <c r="K107" i="1"/>
  <c r="K144" i="1"/>
  <c r="K164" i="1"/>
  <c r="K25" i="1"/>
  <c r="K26" i="1"/>
  <c r="K27" i="1"/>
  <c r="K28" i="1"/>
  <c r="K29" i="1"/>
  <c r="K74" i="1"/>
  <c r="K172" i="1"/>
  <c r="K32" i="1"/>
  <c r="K100" i="1"/>
  <c r="K122" i="1"/>
  <c r="K210" i="1"/>
  <c r="K53" i="1"/>
  <c r="K49" i="1"/>
  <c r="K33" i="1"/>
  <c r="K34" i="1"/>
  <c r="K36" i="1"/>
  <c r="K37" i="1"/>
  <c r="K38" i="1"/>
  <c r="K39" i="1"/>
  <c r="K40" i="1"/>
  <c r="K41" i="1"/>
  <c r="K42" i="1"/>
  <c r="K43" i="1"/>
  <c r="K44" i="1"/>
  <c r="K78" i="1"/>
  <c r="K83" i="1"/>
  <c r="K88" i="1"/>
  <c r="K93" i="1"/>
  <c r="K154" i="1"/>
  <c r="K153" i="1"/>
  <c r="K45" i="1"/>
  <c r="K46" i="1"/>
  <c r="K137" i="1"/>
  <c r="K143" i="1"/>
  <c r="K158" i="1"/>
  <c r="K160" i="1"/>
  <c r="K168" i="1"/>
  <c r="K199" i="1"/>
  <c r="K205" i="1"/>
  <c r="K206" i="1"/>
  <c r="K47" i="1"/>
  <c r="K48" i="1"/>
  <c r="K50" i="1"/>
  <c r="K51" i="1"/>
  <c r="K52" i="1"/>
  <c r="K54" i="1"/>
  <c r="K55" i="1"/>
  <c r="K56" i="1"/>
  <c r="K57" i="1"/>
  <c r="K58" i="1"/>
  <c r="K59" i="1"/>
  <c r="K60" i="1"/>
  <c r="K62" i="1"/>
  <c r="K63" i="1"/>
  <c r="K64" i="1"/>
  <c r="K65" i="1"/>
  <c r="K66" i="1"/>
  <c r="K76" i="1"/>
  <c r="K136" i="1"/>
  <c r="K145" i="1"/>
  <c r="K146" i="1"/>
  <c r="K159" i="1"/>
  <c r="K169" i="1"/>
  <c r="K67" i="1"/>
  <c r="K68" i="1"/>
  <c r="K69" i="1"/>
  <c r="K70" i="1"/>
  <c r="K71" i="1"/>
  <c r="K72" i="1"/>
  <c r="K85" i="1"/>
  <c r="K140" i="1"/>
  <c r="K162" i="1"/>
  <c r="K191" i="1"/>
  <c r="K86" i="1"/>
  <c r="K73" i="1"/>
  <c r="K185" i="1"/>
  <c r="K132" i="1"/>
  <c r="K176" i="1"/>
  <c r="K75" i="1"/>
  <c r="K77" i="1"/>
  <c r="K79" i="1"/>
  <c r="K80" i="1"/>
  <c r="K81" i="1"/>
  <c r="K82" i="1"/>
  <c r="K84" i="1"/>
  <c r="K87" i="1"/>
  <c r="K89" i="1"/>
  <c r="K91" i="1"/>
  <c r="K92" i="1"/>
  <c r="K94" i="1"/>
  <c r="K95" i="1"/>
  <c r="K97" i="1"/>
  <c r="K98" i="1"/>
  <c r="K99" i="1"/>
  <c r="K101" i="1"/>
  <c r="K104" i="1"/>
  <c r="K105" i="1"/>
  <c r="K106" i="1"/>
  <c r="K108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3" i="1"/>
  <c r="K125" i="1"/>
  <c r="K126" i="1"/>
  <c r="K127" i="1"/>
  <c r="K128" i="1"/>
  <c r="K129" i="1"/>
  <c r="K130" i="1"/>
  <c r="K131" i="1"/>
  <c r="K133" i="1"/>
  <c r="K134" i="1"/>
  <c r="K135" i="1"/>
  <c r="K138" i="1"/>
  <c r="K139" i="1"/>
  <c r="K141" i="1"/>
  <c r="K142" i="1"/>
  <c r="K147" i="1"/>
  <c r="K148" i="1"/>
  <c r="K149" i="1"/>
  <c r="K150" i="1"/>
  <c r="K151" i="1"/>
  <c r="K152" i="1"/>
  <c r="K155" i="1"/>
  <c r="K156" i="1"/>
  <c r="K161" i="1"/>
  <c r="K163" i="1"/>
  <c r="K165" i="1"/>
  <c r="K166" i="1"/>
  <c r="K167" i="1"/>
  <c r="K170" i="1"/>
  <c r="K171" i="1"/>
  <c r="K173" i="1"/>
  <c r="K174" i="1"/>
  <c r="K175" i="1"/>
  <c r="K177" i="1"/>
  <c r="K178" i="1"/>
  <c r="K179" i="1"/>
  <c r="K180" i="1"/>
  <c r="K181" i="1"/>
  <c r="K182" i="1"/>
  <c r="K183" i="1"/>
  <c r="K184" i="1"/>
  <c r="K186" i="1"/>
  <c r="K187" i="1"/>
  <c r="K188" i="1"/>
  <c r="K189" i="1"/>
  <c r="K192" i="1"/>
  <c r="K193" i="1"/>
  <c r="K194" i="1"/>
  <c r="K195" i="1"/>
  <c r="K196" i="1"/>
  <c r="K197" i="1"/>
  <c r="K198" i="1"/>
  <c r="K200" i="1"/>
  <c r="K202" i="1"/>
  <c r="K203" i="1"/>
  <c r="K204" i="1"/>
  <c r="K207" i="1"/>
  <c r="K209" i="1"/>
  <c r="K96" i="1"/>
  <c r="H14" i="1"/>
  <c r="J14" i="1" s="1"/>
  <c r="H31" i="1"/>
  <c r="J31" i="1" s="1"/>
  <c r="H20" i="1"/>
  <c r="J20" i="1" s="1"/>
  <c r="H35" i="1"/>
  <c r="J35" i="1" s="1"/>
  <c r="H103" i="1"/>
  <c r="J103" i="1" s="1"/>
  <c r="H211" i="1"/>
  <c r="J211" i="1" s="1"/>
  <c r="H3" i="1"/>
  <c r="J3" i="1" s="1"/>
  <c r="H4" i="1"/>
  <c r="J4" i="1" s="1"/>
  <c r="H5" i="1"/>
  <c r="J5" i="1" s="1"/>
  <c r="H61" i="1"/>
  <c r="J61" i="1" s="1"/>
  <c r="H6" i="1"/>
  <c r="J6" i="1" s="1"/>
  <c r="H7" i="1"/>
  <c r="J7" i="1" s="1"/>
  <c r="H8" i="1"/>
  <c r="J8" i="1" s="1"/>
  <c r="H21" i="1"/>
  <c r="J21" i="1" s="1"/>
  <c r="H190" i="1"/>
  <c r="J190" i="1" s="1"/>
  <c r="H9" i="1"/>
  <c r="J9" i="1" s="1"/>
  <c r="H30" i="1"/>
  <c r="J30" i="1" s="1"/>
  <c r="H90" i="1"/>
  <c r="J90" i="1" s="1"/>
  <c r="H124" i="1"/>
  <c r="J124" i="1" s="1"/>
  <c r="H157" i="1"/>
  <c r="J157" i="1" s="1"/>
  <c r="H201" i="1"/>
  <c r="J201" i="1" s="1"/>
  <c r="H10" i="1"/>
  <c r="J10" i="1" s="1"/>
  <c r="H11" i="1"/>
  <c r="J11" i="1" s="1"/>
  <c r="H12" i="1"/>
  <c r="J12" i="1" s="1"/>
  <c r="H13" i="1"/>
  <c r="J13" i="1" s="1"/>
  <c r="H15" i="1"/>
  <c r="J15" i="1" s="1"/>
  <c r="H16" i="1"/>
  <c r="J16" i="1" s="1"/>
  <c r="H17" i="1"/>
  <c r="J17" i="1" s="1"/>
  <c r="H18" i="1"/>
  <c r="J18" i="1" s="1"/>
  <c r="H19" i="1"/>
  <c r="J19" i="1" s="1"/>
  <c r="H102" i="1"/>
  <c r="J102" i="1" s="1"/>
  <c r="H109" i="1"/>
  <c r="J109" i="1" s="1"/>
  <c r="H208" i="1"/>
  <c r="J208" i="1" s="1"/>
  <c r="H22" i="1"/>
  <c r="J22" i="1" s="1"/>
  <c r="H23" i="1"/>
  <c r="J23" i="1" s="1"/>
  <c r="H24" i="1"/>
  <c r="J24" i="1" s="1"/>
  <c r="H107" i="1"/>
  <c r="J107" i="1" s="1"/>
  <c r="H144" i="1"/>
  <c r="J144" i="1" s="1"/>
  <c r="H164" i="1"/>
  <c r="J164" i="1" s="1"/>
  <c r="H25" i="1"/>
  <c r="J25" i="1" s="1"/>
  <c r="H26" i="1"/>
  <c r="J26" i="1" s="1"/>
  <c r="H27" i="1"/>
  <c r="J27" i="1" s="1"/>
  <c r="H28" i="1"/>
  <c r="J28" i="1" s="1"/>
  <c r="H29" i="1"/>
  <c r="J29" i="1" s="1"/>
  <c r="H74" i="1"/>
  <c r="J74" i="1" s="1"/>
  <c r="H172" i="1"/>
  <c r="J172" i="1" s="1"/>
  <c r="H32" i="1"/>
  <c r="J32" i="1" s="1"/>
  <c r="H100" i="1"/>
  <c r="J100" i="1" s="1"/>
  <c r="H122" i="1"/>
  <c r="J122" i="1" s="1"/>
  <c r="H210" i="1"/>
  <c r="J210" i="1" s="1"/>
  <c r="H53" i="1"/>
  <c r="J53" i="1" s="1"/>
  <c r="H49" i="1"/>
  <c r="J49" i="1" s="1"/>
  <c r="H33" i="1"/>
  <c r="J33" i="1" s="1"/>
  <c r="H34" i="1"/>
  <c r="J34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78" i="1"/>
  <c r="J78" i="1" s="1"/>
  <c r="H83" i="1"/>
  <c r="J83" i="1" s="1"/>
  <c r="H88" i="1"/>
  <c r="J88" i="1" s="1"/>
  <c r="H93" i="1"/>
  <c r="J93" i="1" s="1"/>
  <c r="H154" i="1"/>
  <c r="J154" i="1" s="1"/>
  <c r="H153" i="1"/>
  <c r="J153" i="1" s="1"/>
  <c r="H45" i="1"/>
  <c r="J45" i="1" s="1"/>
  <c r="H46" i="1"/>
  <c r="J46" i="1" s="1"/>
  <c r="H137" i="1"/>
  <c r="J137" i="1" s="1"/>
  <c r="H143" i="1"/>
  <c r="J143" i="1" s="1"/>
  <c r="H158" i="1"/>
  <c r="J158" i="1" s="1"/>
  <c r="H160" i="1"/>
  <c r="J160" i="1" s="1"/>
  <c r="H168" i="1"/>
  <c r="J168" i="1" s="1"/>
  <c r="H199" i="1"/>
  <c r="J199" i="1" s="1"/>
  <c r="H205" i="1"/>
  <c r="J205" i="1" s="1"/>
  <c r="H206" i="1"/>
  <c r="J206" i="1" s="1"/>
  <c r="H47" i="1"/>
  <c r="J47" i="1" s="1"/>
  <c r="H48" i="1"/>
  <c r="J48" i="1" s="1"/>
  <c r="H50" i="1"/>
  <c r="J50" i="1" s="1"/>
  <c r="H51" i="1"/>
  <c r="J51" i="1" s="1"/>
  <c r="H52" i="1"/>
  <c r="J52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2" i="1"/>
  <c r="J62" i="1" s="1"/>
  <c r="H63" i="1"/>
  <c r="J63" i="1" s="1"/>
  <c r="H64" i="1"/>
  <c r="J64" i="1" s="1"/>
  <c r="H65" i="1"/>
  <c r="J65" i="1" s="1"/>
  <c r="H66" i="1"/>
  <c r="J66" i="1" s="1"/>
  <c r="H76" i="1"/>
  <c r="J76" i="1" s="1"/>
  <c r="H136" i="1"/>
  <c r="J136" i="1" s="1"/>
  <c r="H145" i="1"/>
  <c r="J145" i="1" s="1"/>
  <c r="H146" i="1"/>
  <c r="J146" i="1" s="1"/>
  <c r="H159" i="1"/>
  <c r="J159" i="1" s="1"/>
  <c r="H169" i="1"/>
  <c r="J169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85" i="1"/>
  <c r="J85" i="1" s="1"/>
  <c r="H140" i="1"/>
  <c r="J140" i="1" s="1"/>
  <c r="H162" i="1"/>
  <c r="J162" i="1" s="1"/>
  <c r="H191" i="1"/>
  <c r="J191" i="1" s="1"/>
  <c r="H86" i="1"/>
  <c r="J86" i="1" s="1"/>
  <c r="H73" i="1"/>
  <c r="J73" i="1" s="1"/>
  <c r="H185" i="1"/>
  <c r="J185" i="1" s="1"/>
  <c r="H132" i="1"/>
  <c r="J132" i="1" s="1"/>
  <c r="H176" i="1"/>
  <c r="J176" i="1" s="1"/>
  <c r="H75" i="1"/>
  <c r="J75" i="1" s="1"/>
  <c r="H77" i="1"/>
  <c r="J77" i="1" s="1"/>
  <c r="H79" i="1"/>
  <c r="J79" i="1" s="1"/>
  <c r="H80" i="1"/>
  <c r="J80" i="1" s="1"/>
  <c r="H81" i="1"/>
  <c r="J81" i="1" s="1"/>
  <c r="H82" i="1"/>
  <c r="J82" i="1" s="1"/>
  <c r="H84" i="1"/>
  <c r="J84" i="1" s="1"/>
  <c r="H87" i="1"/>
  <c r="J87" i="1" s="1"/>
  <c r="H89" i="1"/>
  <c r="J89" i="1" s="1"/>
  <c r="H91" i="1"/>
  <c r="J91" i="1" s="1"/>
  <c r="H92" i="1"/>
  <c r="J92" i="1" s="1"/>
  <c r="H94" i="1"/>
  <c r="J94" i="1" s="1"/>
  <c r="H95" i="1"/>
  <c r="J95" i="1" s="1"/>
  <c r="H97" i="1"/>
  <c r="J97" i="1" s="1"/>
  <c r="H98" i="1"/>
  <c r="J98" i="1" s="1"/>
  <c r="H99" i="1"/>
  <c r="J99" i="1" s="1"/>
  <c r="H101" i="1"/>
  <c r="J101" i="1" s="1"/>
  <c r="H104" i="1"/>
  <c r="J104" i="1" s="1"/>
  <c r="H105" i="1"/>
  <c r="J105" i="1" s="1"/>
  <c r="H106" i="1"/>
  <c r="J106" i="1" s="1"/>
  <c r="H108" i="1"/>
  <c r="J108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3" i="1"/>
  <c r="J123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3" i="1"/>
  <c r="J133" i="1" s="1"/>
  <c r="H134" i="1"/>
  <c r="J134" i="1" s="1"/>
  <c r="H135" i="1"/>
  <c r="J135" i="1" s="1"/>
  <c r="H138" i="1"/>
  <c r="J138" i="1" s="1"/>
  <c r="H139" i="1"/>
  <c r="J139" i="1" s="1"/>
  <c r="H141" i="1"/>
  <c r="J141" i="1" s="1"/>
  <c r="H142" i="1"/>
  <c r="J142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5" i="1"/>
  <c r="J155" i="1" s="1"/>
  <c r="H156" i="1"/>
  <c r="J156" i="1" s="1"/>
  <c r="H161" i="1"/>
  <c r="J161" i="1" s="1"/>
  <c r="H163" i="1"/>
  <c r="J163" i="1" s="1"/>
  <c r="H165" i="1"/>
  <c r="J165" i="1" s="1"/>
  <c r="H166" i="1"/>
  <c r="J166" i="1" s="1"/>
  <c r="H167" i="1"/>
  <c r="J167" i="1" s="1"/>
  <c r="H170" i="1"/>
  <c r="J170" i="1" s="1"/>
  <c r="H171" i="1"/>
  <c r="J171" i="1" s="1"/>
  <c r="H173" i="1"/>
  <c r="J173" i="1" s="1"/>
  <c r="H174" i="1"/>
  <c r="J174" i="1" s="1"/>
  <c r="H175" i="1"/>
  <c r="J175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6" i="1"/>
  <c r="J186" i="1" s="1"/>
  <c r="H187" i="1"/>
  <c r="J187" i="1" s="1"/>
  <c r="H188" i="1"/>
  <c r="J188" i="1" s="1"/>
  <c r="H189" i="1"/>
  <c r="J189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200" i="1"/>
  <c r="J200" i="1" s="1"/>
  <c r="H202" i="1"/>
  <c r="J202" i="1" s="1"/>
  <c r="H203" i="1"/>
  <c r="J203" i="1" s="1"/>
  <c r="H204" i="1"/>
  <c r="J204" i="1" s="1"/>
  <c r="H207" i="1"/>
  <c r="J207" i="1" s="1"/>
  <c r="H209" i="1"/>
  <c r="J209" i="1" s="1"/>
  <c r="H96" i="1"/>
  <c r="J96" i="1" s="1"/>
  <c r="Q96" i="1"/>
  <c r="Q14" i="1"/>
  <c r="Q31" i="1"/>
  <c r="Q20" i="1"/>
  <c r="Q35" i="1"/>
  <c r="Q2" i="1"/>
  <c r="Q103" i="1"/>
  <c r="Q211" i="1"/>
  <c r="Q3" i="1"/>
  <c r="Q4" i="1"/>
  <c r="Q5" i="1"/>
  <c r="Q6" i="1"/>
  <c r="Q61" i="1"/>
  <c r="Q7" i="1"/>
  <c r="Q8" i="1"/>
  <c r="Q21" i="1"/>
  <c r="Q9" i="1"/>
  <c r="Q190" i="1"/>
  <c r="Q30" i="1"/>
  <c r="Q10" i="1"/>
  <c r="Q90" i="1"/>
  <c r="Q11" i="1"/>
  <c r="Q12" i="1"/>
  <c r="Q13" i="1"/>
  <c r="Q15" i="1"/>
  <c r="Q124" i="1"/>
  <c r="Q16" i="1"/>
  <c r="Q17" i="1"/>
  <c r="Q18" i="1"/>
  <c r="Q157" i="1"/>
  <c r="Q19" i="1"/>
  <c r="Q201" i="1"/>
  <c r="Q102" i="1"/>
  <c r="Q109" i="1"/>
  <c r="Q22" i="1"/>
  <c r="Q23" i="1"/>
  <c r="Q24" i="1"/>
  <c r="Q208" i="1"/>
  <c r="Q25" i="1"/>
  <c r="Q107" i="1"/>
  <c r="Q26" i="1"/>
  <c r="Q27" i="1"/>
  <c r="Q28" i="1"/>
  <c r="Q29" i="1"/>
  <c r="Q144" i="1"/>
  <c r="Q74" i="1"/>
  <c r="Q164" i="1"/>
  <c r="Q172" i="1"/>
  <c r="Q32" i="1"/>
  <c r="Q49" i="1"/>
  <c r="Q33" i="1"/>
  <c r="Q100" i="1"/>
  <c r="Q34" i="1"/>
  <c r="Q53" i="1"/>
  <c r="Q122" i="1"/>
  <c r="Q36" i="1"/>
  <c r="Q37" i="1"/>
  <c r="Q38" i="1"/>
  <c r="Q39" i="1"/>
  <c r="Q40" i="1"/>
  <c r="Q41" i="1"/>
  <c r="Q42" i="1"/>
  <c r="Q43" i="1"/>
  <c r="Q44" i="1"/>
  <c r="Q210" i="1"/>
  <c r="Q78" i="1"/>
  <c r="Q83" i="1"/>
  <c r="Q88" i="1"/>
  <c r="Q93" i="1"/>
  <c r="Q45" i="1"/>
  <c r="Q153" i="1"/>
  <c r="Q154" i="1"/>
  <c r="Q46" i="1"/>
  <c r="Q47" i="1"/>
  <c r="Q48" i="1"/>
  <c r="Q50" i="1"/>
  <c r="Q51" i="1"/>
  <c r="Q52" i="1"/>
  <c r="Q54" i="1"/>
  <c r="Q55" i="1"/>
  <c r="Q56" i="1"/>
  <c r="Q57" i="1"/>
  <c r="Q137" i="1"/>
  <c r="Q58" i="1"/>
  <c r="Q59" i="1"/>
  <c r="Q60" i="1"/>
  <c r="Q143" i="1"/>
  <c r="Q62" i="1"/>
  <c r="Q63" i="1"/>
  <c r="Q158" i="1"/>
  <c r="Q160" i="1"/>
  <c r="Q64" i="1"/>
  <c r="Q168" i="1"/>
  <c r="Q65" i="1"/>
  <c r="Q66" i="1"/>
  <c r="Q199" i="1"/>
  <c r="Q205" i="1"/>
  <c r="Q206" i="1"/>
  <c r="Q76" i="1"/>
  <c r="Q67" i="1"/>
  <c r="Q68" i="1"/>
  <c r="Q69" i="1"/>
  <c r="Q136" i="1"/>
  <c r="Q70" i="1"/>
  <c r="Q71" i="1"/>
  <c r="Q145" i="1"/>
  <c r="Q146" i="1"/>
  <c r="Q72" i="1"/>
  <c r="Q159" i="1"/>
  <c r="Q169" i="1"/>
  <c r="Q85" i="1"/>
  <c r="Q86" i="1"/>
  <c r="Q73" i="1"/>
  <c r="Q140" i="1"/>
  <c r="Q162" i="1"/>
  <c r="Q185" i="1"/>
  <c r="Q191" i="1"/>
  <c r="Q132" i="1"/>
  <c r="Q176" i="1"/>
  <c r="Q75" i="1"/>
  <c r="Q77" i="1"/>
  <c r="Q79" i="1"/>
  <c r="Q80" i="1"/>
  <c r="Q81" i="1"/>
  <c r="Q82" i="1"/>
  <c r="Q84" i="1"/>
  <c r="Q87" i="1"/>
  <c r="Q89" i="1"/>
  <c r="Q91" i="1"/>
  <c r="Q92" i="1"/>
  <c r="Q94" i="1"/>
  <c r="Q95" i="1"/>
  <c r="Q97" i="1"/>
  <c r="Q98" i="1"/>
  <c r="Q99" i="1"/>
  <c r="Q101" i="1"/>
  <c r="Q104" i="1"/>
  <c r="Q105" i="1"/>
  <c r="Q106" i="1"/>
  <c r="Q108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3" i="1"/>
  <c r="Q125" i="1"/>
  <c r="Q126" i="1"/>
  <c r="Q127" i="1"/>
  <c r="Q128" i="1"/>
  <c r="Q129" i="1"/>
  <c r="Q130" i="1"/>
  <c r="Q131" i="1"/>
  <c r="Q133" i="1"/>
  <c r="Q134" i="1"/>
  <c r="Q135" i="1"/>
  <c r="Q138" i="1"/>
  <c r="Q139" i="1"/>
  <c r="Q141" i="1"/>
  <c r="Q142" i="1"/>
  <c r="Q147" i="1"/>
  <c r="Q148" i="1"/>
  <c r="Q149" i="1"/>
  <c r="Q150" i="1"/>
  <c r="Q151" i="1"/>
  <c r="Q152" i="1"/>
  <c r="Q155" i="1"/>
  <c r="Q156" i="1"/>
  <c r="Q161" i="1"/>
  <c r="Q163" i="1"/>
  <c r="Q165" i="1"/>
  <c r="Q166" i="1"/>
  <c r="Q167" i="1"/>
  <c r="Q170" i="1"/>
  <c r="Q171" i="1"/>
  <c r="Q173" i="1"/>
  <c r="Q174" i="1"/>
  <c r="Q175" i="1"/>
  <c r="Q177" i="1"/>
  <c r="Q178" i="1"/>
  <c r="Q179" i="1"/>
  <c r="Q180" i="1"/>
  <c r="Q181" i="1"/>
  <c r="Q182" i="1"/>
  <c r="Q183" i="1"/>
  <c r="Q184" i="1"/>
  <c r="Q186" i="1"/>
  <c r="Q187" i="1"/>
  <c r="Q188" i="1"/>
  <c r="Q189" i="1"/>
  <c r="Q192" i="1"/>
  <c r="Q193" i="1"/>
  <c r="Q194" i="1"/>
  <c r="Q195" i="1"/>
  <c r="Q196" i="1"/>
  <c r="Q197" i="1"/>
  <c r="Q198" i="1"/>
  <c r="Q200" i="1"/>
  <c r="Q202" i="1"/>
  <c r="Q203" i="1"/>
  <c r="Q204" i="1"/>
  <c r="Q207" i="1"/>
  <c r="Q209" i="1"/>
  <c r="AN10" i="6" l="1"/>
  <c r="AQ10" i="6"/>
  <c r="AR10" i="6" s="1"/>
  <c r="AN16" i="6"/>
  <c r="AN11" i="6"/>
  <c r="AR11" i="6" s="1"/>
  <c r="AN17" i="6"/>
  <c r="AQ14" i="6"/>
  <c r="AN9" i="6"/>
  <c r="AR9" i="6" s="1"/>
  <c r="AN8" i="6"/>
  <c r="AR8" i="6" s="1"/>
  <c r="AQ17" i="6"/>
  <c r="AR17" i="6" s="1"/>
  <c r="AN15" i="6"/>
  <c r="AQ15" i="6"/>
  <c r="AN12" i="6"/>
  <c r="AR12" i="6" s="1"/>
  <c r="AQ18" i="6"/>
  <c r="AN13" i="6"/>
  <c r="AN18" i="6"/>
  <c r="AQ16" i="6"/>
  <c r="AN14" i="6"/>
  <c r="AQ13" i="6"/>
  <c r="AR7" i="6"/>
  <c r="AM19" i="6"/>
  <c r="AP19" i="6"/>
  <c r="AK19" i="6"/>
  <c r="AL19" i="6"/>
  <c r="AQ44" i="6"/>
  <c r="AJ44" i="6"/>
  <c r="AO19" i="6"/>
  <c r="AR44" i="6"/>
  <c r="AN44" i="6"/>
  <c r="AO44" i="6"/>
  <c r="AP44" i="6"/>
  <c r="AM44" i="6"/>
  <c r="AZ19" i="6"/>
  <c r="AY19" i="6" s="1"/>
  <c r="BC19" i="6" s="1"/>
  <c r="AZ24" i="6"/>
  <c r="AY24" i="6" s="1"/>
  <c r="BB21" i="6" s="1"/>
  <c r="AZ25" i="6"/>
  <c r="AY25" i="6" s="1"/>
  <c r="BB22" i="6" s="1"/>
  <c r="AZ26" i="6"/>
  <c r="AY26" i="6" s="1"/>
  <c r="BB23" i="6" s="1"/>
  <c r="AZ27" i="6"/>
  <c r="AY27" i="6" s="1"/>
  <c r="BB24" i="6" s="1"/>
  <c r="AZ28" i="6"/>
  <c r="AY28" i="6" s="1"/>
  <c r="BB25" i="6" s="1"/>
  <c r="AZ29" i="6"/>
  <c r="AY29" i="6" s="1"/>
  <c r="BB26" i="6" s="1"/>
  <c r="AZ30" i="6"/>
  <c r="AY30" i="6" s="1"/>
  <c r="BB27" i="6" s="1"/>
  <c r="AZ31" i="6"/>
  <c r="AY31" i="6" s="1"/>
  <c r="BB28" i="6" s="1"/>
  <c r="AZ32" i="6"/>
  <c r="AY32" i="6" s="1"/>
  <c r="BB29" i="6" s="1"/>
  <c r="AZ23" i="6"/>
  <c r="AZ18" i="6"/>
  <c r="AY18" i="6" s="1"/>
  <c r="BC18" i="6" s="1"/>
  <c r="AZ17" i="6"/>
  <c r="AY17" i="6" s="1"/>
  <c r="BC17" i="6" s="1"/>
  <c r="AZ16" i="6"/>
  <c r="AY16" i="6" s="1"/>
  <c r="BC16" i="6" s="1"/>
  <c r="AZ15" i="6"/>
  <c r="AY15" i="6" s="1"/>
  <c r="BC15" i="6" s="1"/>
  <c r="AZ14" i="6"/>
  <c r="AY14" i="6" s="1"/>
  <c r="BC14" i="6" s="1"/>
  <c r="AZ13" i="6"/>
  <c r="AY13" i="6" s="1"/>
  <c r="BC13" i="6" s="1"/>
  <c r="AZ12" i="6"/>
  <c r="AY12" i="6" s="1"/>
  <c r="BC12" i="6" s="1"/>
  <c r="AZ11" i="6"/>
  <c r="AY11" i="6" s="1"/>
  <c r="BC11" i="6" s="1"/>
  <c r="AZ10" i="6"/>
  <c r="CL14" i="6"/>
  <c r="CD10" i="6"/>
  <c r="CC19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22" i="6"/>
  <c r="Y22" i="6" s="1"/>
  <c r="BP22" i="6"/>
  <c r="BV22" i="6" s="1"/>
  <c r="BQ22" i="6"/>
  <c r="BQ28" i="6"/>
  <c r="BT6" i="6"/>
  <c r="BR18" i="6"/>
  <c r="BT18" i="6" s="1"/>
  <c r="BR17" i="6"/>
  <c r="BT17" i="6" s="1"/>
  <c r="BR15" i="6"/>
  <c r="BT15" i="6" s="1"/>
  <c r="BR16" i="6"/>
  <c r="BT16" i="6" s="1"/>
  <c r="BR8" i="6"/>
  <c r="BT8" i="6" s="1"/>
  <c r="BR7" i="6"/>
  <c r="BT7" i="6" s="1"/>
  <c r="BR9" i="6"/>
  <c r="BT9" i="6" s="1"/>
  <c r="BR10" i="6"/>
  <c r="BT10" i="6" s="1"/>
  <c r="BQ43" i="6"/>
  <c r="BP43" i="6"/>
  <c r="H24" i="15" s="1"/>
  <c r="BQ42" i="6"/>
  <c r="BP42" i="6"/>
  <c r="H23" i="15" s="1"/>
  <c r="BQ41" i="6"/>
  <c r="BP41" i="6"/>
  <c r="H22" i="15" s="1"/>
  <c r="BQ40" i="6"/>
  <c r="BP40" i="6"/>
  <c r="H21" i="15" s="1"/>
  <c r="BQ39" i="6"/>
  <c r="BP39" i="6"/>
  <c r="H20" i="15" s="1"/>
  <c r="BQ38" i="6"/>
  <c r="BP38" i="6"/>
  <c r="H19" i="15" s="1"/>
  <c r="BQ37" i="6"/>
  <c r="BP37" i="6"/>
  <c r="H18" i="15" s="1"/>
  <c r="BQ36" i="6"/>
  <c r="BP36" i="6"/>
  <c r="H17" i="15" s="1"/>
  <c r="BQ35" i="6"/>
  <c r="BP35" i="6"/>
  <c r="H16" i="15" s="1"/>
  <c r="BQ34" i="6"/>
  <c r="BP34" i="6"/>
  <c r="H15" i="15" s="1"/>
  <c r="BQ33" i="6"/>
  <c r="BP33" i="6"/>
  <c r="H14" i="15" s="1"/>
  <c r="BQ32" i="6"/>
  <c r="BP32" i="6"/>
  <c r="H13" i="15" s="1"/>
  <c r="BQ31" i="6"/>
  <c r="BP31" i="6"/>
  <c r="H12" i="15" s="1"/>
  <c r="BQ30" i="6"/>
  <c r="BP30" i="6"/>
  <c r="H11" i="15" s="1"/>
  <c r="BQ29" i="6"/>
  <c r="BP29" i="6"/>
  <c r="H10" i="15" s="1"/>
  <c r="BP28" i="6"/>
  <c r="H9" i="15" s="1"/>
  <c r="BQ27" i="6"/>
  <c r="BP27" i="6"/>
  <c r="H8" i="15" s="1"/>
  <c r="BQ26" i="6"/>
  <c r="BP26" i="6"/>
  <c r="H7" i="15" s="1"/>
  <c r="BQ25" i="6"/>
  <c r="BP25" i="6"/>
  <c r="H6" i="15" s="1"/>
  <c r="BQ24" i="6"/>
  <c r="BP24" i="6"/>
  <c r="H5" i="15" s="1"/>
  <c r="BQ23" i="6"/>
  <c r="BP23" i="6"/>
  <c r="AR14" i="6" l="1"/>
  <c r="R12" i="15"/>
  <c r="Q12" i="15"/>
  <c r="R18" i="15"/>
  <c r="Q18" i="15"/>
  <c r="Q24" i="15"/>
  <c r="R24" i="15"/>
  <c r="R6" i="15"/>
  <c r="Q6" i="15"/>
  <c r="R13" i="15"/>
  <c r="Q13" i="15"/>
  <c r="Q19" i="15"/>
  <c r="R19" i="15"/>
  <c r="Q14" i="15"/>
  <c r="R14" i="15"/>
  <c r="R20" i="15"/>
  <c r="Q20" i="15"/>
  <c r="R8" i="15"/>
  <c r="Q8" i="15"/>
  <c r="Q15" i="15"/>
  <c r="R15" i="15"/>
  <c r="R21" i="15"/>
  <c r="Q21" i="15"/>
  <c r="Q9" i="15"/>
  <c r="R9" i="15"/>
  <c r="Q10" i="15"/>
  <c r="R10" i="15"/>
  <c r="R16" i="15"/>
  <c r="Q16" i="15"/>
  <c r="R22" i="15"/>
  <c r="Q22" i="15"/>
  <c r="BV23" i="6"/>
  <c r="J4" i="15" s="1"/>
  <c r="H4" i="15"/>
  <c r="Q11" i="15"/>
  <c r="R11" i="15"/>
  <c r="Q17" i="15"/>
  <c r="R17" i="15"/>
  <c r="Q23" i="15"/>
  <c r="R23" i="15"/>
  <c r="Q5" i="15"/>
  <c r="R5" i="15"/>
  <c r="R7" i="15"/>
  <c r="Q7" i="15"/>
  <c r="BV14" i="6"/>
  <c r="H3" i="15"/>
  <c r="Q3" i="15" s="1"/>
  <c r="J3" i="15"/>
  <c r="BX24" i="6"/>
  <c r="L5" i="15" s="1"/>
  <c r="BW24" i="6"/>
  <c r="K5" i="15" s="1"/>
  <c r="BV24" i="6"/>
  <c r="J5" i="15" s="1"/>
  <c r="BX31" i="6"/>
  <c r="L12" i="15" s="1"/>
  <c r="BW31" i="6"/>
  <c r="K12" i="15" s="1"/>
  <c r="BV31" i="6"/>
  <c r="J12" i="15" s="1"/>
  <c r="BX37" i="6"/>
  <c r="L18" i="15" s="1"/>
  <c r="BV37" i="6"/>
  <c r="J18" i="15" s="1"/>
  <c r="BW37" i="6"/>
  <c r="K18" i="15" s="1"/>
  <c r="BX43" i="6"/>
  <c r="L24" i="15" s="1"/>
  <c r="BW43" i="6"/>
  <c r="BV43" i="6"/>
  <c r="BX25" i="6"/>
  <c r="L6" i="15" s="1"/>
  <c r="BV25" i="6"/>
  <c r="J6" i="15" s="1"/>
  <c r="BW25" i="6"/>
  <c r="K6" i="15" s="1"/>
  <c r="BX32" i="6"/>
  <c r="L13" i="15" s="1"/>
  <c r="BW32" i="6"/>
  <c r="K13" i="15" s="1"/>
  <c r="BV32" i="6"/>
  <c r="J13" i="15" s="1"/>
  <c r="BX38" i="6"/>
  <c r="L19" i="15" s="1"/>
  <c r="BW38" i="6"/>
  <c r="K19" i="15" s="1"/>
  <c r="BV38" i="6"/>
  <c r="J19" i="15" s="1"/>
  <c r="BX26" i="6"/>
  <c r="L7" i="15" s="1"/>
  <c r="BW26" i="6"/>
  <c r="K7" i="15" s="1"/>
  <c r="BV26" i="6"/>
  <c r="J7" i="15" s="1"/>
  <c r="BW22" i="6"/>
  <c r="K3" i="15" s="1"/>
  <c r="BX22" i="6"/>
  <c r="BX33" i="6"/>
  <c r="L14" i="15" s="1"/>
  <c r="BV33" i="6"/>
  <c r="J14" i="15" s="1"/>
  <c r="BW33" i="6"/>
  <c r="K14" i="15" s="1"/>
  <c r="BX39" i="6"/>
  <c r="L20" i="15" s="1"/>
  <c r="BV39" i="6"/>
  <c r="J20" i="15" s="1"/>
  <c r="BW39" i="6"/>
  <c r="K20" i="15" s="1"/>
  <c r="BX27" i="6"/>
  <c r="L8" i="15" s="1"/>
  <c r="BV27" i="6"/>
  <c r="J8" i="15" s="1"/>
  <c r="BW27" i="6"/>
  <c r="K8" i="15" s="1"/>
  <c r="BX34" i="6"/>
  <c r="L15" i="15" s="1"/>
  <c r="BV34" i="6"/>
  <c r="J15" i="15" s="1"/>
  <c r="BW34" i="6"/>
  <c r="K15" i="15" s="1"/>
  <c r="BX40" i="6"/>
  <c r="L21" i="15" s="1"/>
  <c r="BW40" i="6"/>
  <c r="K21" i="15" s="1"/>
  <c r="BV40" i="6"/>
  <c r="J21" i="15" s="1"/>
  <c r="BX28" i="6"/>
  <c r="L9" i="15" s="1"/>
  <c r="BW28" i="6"/>
  <c r="K9" i="15" s="1"/>
  <c r="BV28" i="6"/>
  <c r="J9" i="15" s="1"/>
  <c r="BX29" i="6"/>
  <c r="L10" i="15" s="1"/>
  <c r="BW29" i="6"/>
  <c r="K10" i="15" s="1"/>
  <c r="BV29" i="6"/>
  <c r="J10" i="15" s="1"/>
  <c r="BX35" i="6"/>
  <c r="L16" i="15" s="1"/>
  <c r="BW35" i="6"/>
  <c r="K16" i="15" s="1"/>
  <c r="BV35" i="6"/>
  <c r="J16" i="15" s="1"/>
  <c r="BX41" i="6"/>
  <c r="L22" i="15" s="1"/>
  <c r="BW41" i="6"/>
  <c r="K22" i="15" s="1"/>
  <c r="BV41" i="6"/>
  <c r="J22" i="15" s="1"/>
  <c r="BX23" i="6"/>
  <c r="L4" i="15" s="1"/>
  <c r="BW23" i="6"/>
  <c r="K4" i="15" s="1"/>
  <c r="BX30" i="6"/>
  <c r="L11" i="15" s="1"/>
  <c r="BV30" i="6"/>
  <c r="J11" i="15" s="1"/>
  <c r="BW30" i="6"/>
  <c r="K11" i="15" s="1"/>
  <c r="BX36" i="6"/>
  <c r="L17" i="15" s="1"/>
  <c r="BV36" i="6"/>
  <c r="J17" i="15" s="1"/>
  <c r="BW36" i="6"/>
  <c r="K17" i="15" s="1"/>
  <c r="BX42" i="6"/>
  <c r="L23" i="15" s="1"/>
  <c r="BW42" i="6"/>
  <c r="K23" i="15" s="1"/>
  <c r="BV42" i="6"/>
  <c r="J23" i="15" s="1"/>
  <c r="AR13" i="6"/>
  <c r="AR18" i="6"/>
  <c r="AN19" i="6"/>
  <c r="AR15" i="6"/>
  <c r="AQ19" i="6"/>
  <c r="AR16" i="6"/>
  <c r="AR19" i="6" s="1"/>
  <c r="AX19" i="6"/>
  <c r="AV23" i="6"/>
  <c r="BC20" i="6" s="1"/>
  <c r="AY23" i="6"/>
  <c r="BB20" i="6" s="1"/>
  <c r="AU19" i="6"/>
  <c r="AV19" i="6"/>
  <c r="BB19" i="6" s="1"/>
  <c r="AY10" i="6"/>
  <c r="BC10" i="6" s="1"/>
  <c r="AV10" i="6"/>
  <c r="BB10" i="6" s="1"/>
  <c r="AW19" i="6"/>
  <c r="AU10" i="6"/>
  <c r="AU23" i="6"/>
  <c r="AW23" i="6"/>
  <c r="AX23" i="6"/>
  <c r="AV32" i="6"/>
  <c r="BC29" i="6" s="1"/>
  <c r="AU32" i="6"/>
  <c r="AW32" i="6"/>
  <c r="AX32" i="6"/>
  <c r="AV31" i="6"/>
  <c r="BC28" i="6" s="1"/>
  <c r="AU31" i="6"/>
  <c r="AW31" i="6"/>
  <c r="AX31" i="6"/>
  <c r="AV30" i="6"/>
  <c r="BC27" i="6" s="1"/>
  <c r="AU30" i="6"/>
  <c r="AW30" i="6"/>
  <c r="AX30" i="6"/>
  <c r="AV29" i="6"/>
  <c r="BC26" i="6" s="1"/>
  <c r="AU29" i="6"/>
  <c r="AW29" i="6"/>
  <c r="AX29" i="6"/>
  <c r="AV28" i="6"/>
  <c r="BC25" i="6" s="1"/>
  <c r="AU28" i="6"/>
  <c r="AW28" i="6"/>
  <c r="AX28" i="6"/>
  <c r="AW27" i="6"/>
  <c r="AX27" i="6"/>
  <c r="AV27" i="6"/>
  <c r="BC24" i="6" s="1"/>
  <c r="AU27" i="6"/>
  <c r="AW26" i="6"/>
  <c r="AX26" i="6"/>
  <c r="AU26" i="6"/>
  <c r="AV26" i="6"/>
  <c r="BC23" i="6" s="1"/>
  <c r="AX25" i="6"/>
  <c r="AV25" i="6"/>
  <c r="BC22" i="6" s="1"/>
  <c r="AU25" i="6"/>
  <c r="AW25" i="6"/>
  <c r="AX24" i="6"/>
  <c r="AV24" i="6"/>
  <c r="BC21" i="6" s="1"/>
  <c r="AU24" i="6"/>
  <c r="AW24" i="6"/>
  <c r="AX10" i="6"/>
  <c r="AW10" i="6"/>
  <c r="AW11" i="6"/>
  <c r="AU11" i="6"/>
  <c r="AX11" i="6"/>
  <c r="AV11" i="6"/>
  <c r="BB11" i="6" s="1"/>
  <c r="AW12" i="6"/>
  <c r="AU12" i="6"/>
  <c r="AX12" i="6"/>
  <c r="AV12" i="6"/>
  <c r="BB12" i="6" s="1"/>
  <c r="AW13" i="6"/>
  <c r="AU13" i="6"/>
  <c r="AX13" i="6"/>
  <c r="AV13" i="6"/>
  <c r="BB13" i="6" s="1"/>
  <c r="AX14" i="6"/>
  <c r="AV14" i="6"/>
  <c r="BB14" i="6" s="1"/>
  <c r="AW14" i="6"/>
  <c r="AU14" i="6"/>
  <c r="AX15" i="6"/>
  <c r="AV15" i="6"/>
  <c r="BB15" i="6" s="1"/>
  <c r="AW15" i="6"/>
  <c r="AU15" i="6"/>
  <c r="AX16" i="6"/>
  <c r="AV16" i="6"/>
  <c r="BB16" i="6" s="1"/>
  <c r="AW16" i="6"/>
  <c r="AU16" i="6"/>
  <c r="AU17" i="6"/>
  <c r="AX17" i="6"/>
  <c r="AV17" i="6"/>
  <c r="BB17" i="6" s="1"/>
  <c r="AW17" i="6"/>
  <c r="AU18" i="6"/>
  <c r="AX18" i="6"/>
  <c r="AV18" i="6"/>
  <c r="BB18" i="6" s="1"/>
  <c r="AW18" i="6"/>
  <c r="CD11" i="6"/>
  <c r="CD12" i="6"/>
  <c r="BT14" i="6"/>
  <c r="BT19" i="6" s="1"/>
  <c r="BR11" i="6"/>
  <c r="BR19" i="6"/>
  <c r="L3" i="15" l="1"/>
  <c r="S13" i="15"/>
  <c r="S16" i="15"/>
  <c r="S20" i="15"/>
  <c r="S21" i="15"/>
  <c r="S7" i="15"/>
  <c r="S22" i="15"/>
  <c r="S12" i="15"/>
  <c r="S17" i="15"/>
  <c r="S19" i="15"/>
  <c r="S5" i="15"/>
  <c r="S18" i="15"/>
  <c r="S9" i="15"/>
  <c r="S23" i="15"/>
  <c r="S10" i="15"/>
  <c r="BV18" i="6"/>
  <c r="J24" i="15"/>
  <c r="S11" i="15"/>
  <c r="BW18" i="6"/>
  <c r="K24" i="15"/>
  <c r="R3" i="15"/>
  <c r="Q4" i="15"/>
  <c r="Q25" i="15" s="1"/>
  <c r="R4" i="15"/>
  <c r="S15" i="15"/>
  <c r="S6" i="15"/>
  <c r="S8" i="15"/>
  <c r="S24" i="15"/>
  <c r="S14" i="15"/>
  <c r="BV16" i="6"/>
  <c r="BW16" i="6"/>
  <c r="BV17" i="6"/>
  <c r="BW17" i="6"/>
  <c r="BV15" i="6"/>
  <c r="BW15" i="6"/>
  <c r="BW14" i="6"/>
  <c r="BV44" i="6"/>
  <c r="BW44" i="6"/>
  <c r="AT6" i="6"/>
  <c r="AY6" i="6"/>
  <c r="BT11" i="6"/>
  <c r="U33" i="1"/>
  <c r="V33" i="1"/>
  <c r="U95" i="1"/>
  <c r="V95" i="1"/>
  <c r="U96" i="1"/>
  <c r="V96" i="1"/>
  <c r="U98" i="1"/>
  <c r="V98" i="1"/>
  <c r="U67" i="1"/>
  <c r="V67" i="1"/>
  <c r="U99" i="1"/>
  <c r="V99" i="1"/>
  <c r="U100" i="1"/>
  <c r="V100" i="1"/>
  <c r="U101" i="1"/>
  <c r="V101" i="1"/>
  <c r="U50" i="1"/>
  <c r="V50" i="1"/>
  <c r="U7" i="1"/>
  <c r="V7" i="1"/>
  <c r="U102" i="1"/>
  <c r="V102" i="1"/>
  <c r="U103" i="1"/>
  <c r="V103" i="1"/>
  <c r="U104" i="1"/>
  <c r="V104" i="1"/>
  <c r="U25" i="1"/>
  <c r="V25" i="1"/>
  <c r="U51" i="1"/>
  <c r="V51" i="1"/>
  <c r="U11" i="1"/>
  <c r="V11" i="1"/>
  <c r="U105" i="1"/>
  <c r="V105" i="1"/>
  <c r="U52" i="1"/>
  <c r="V52" i="1"/>
  <c r="U106" i="1"/>
  <c r="V106" i="1"/>
  <c r="U12" i="1"/>
  <c r="V12" i="1"/>
  <c r="U34" i="1"/>
  <c r="V34" i="1"/>
  <c r="U97" i="1"/>
  <c r="V97" i="1"/>
  <c r="U128" i="1"/>
  <c r="V128" i="1"/>
  <c r="U45" i="1"/>
  <c r="V45" i="1"/>
  <c r="U139" i="1"/>
  <c r="V139" i="1"/>
  <c r="U18" i="1"/>
  <c r="V18" i="1"/>
  <c r="U159" i="1"/>
  <c r="V159" i="1"/>
  <c r="U179" i="1"/>
  <c r="V179" i="1"/>
  <c r="U120" i="1"/>
  <c r="V120" i="1"/>
  <c r="U3" i="1"/>
  <c r="V3" i="1"/>
  <c r="U38" i="1"/>
  <c r="V38" i="1"/>
  <c r="U74" i="1"/>
  <c r="V74" i="1"/>
  <c r="U172" i="1"/>
  <c r="V172" i="1"/>
  <c r="U57" i="1"/>
  <c r="V57" i="1"/>
  <c r="U36" i="1"/>
  <c r="V36" i="1"/>
  <c r="U17" i="1"/>
  <c r="V17" i="1"/>
  <c r="U70" i="1"/>
  <c r="V70" i="1"/>
  <c r="U60" i="1"/>
  <c r="V60" i="1"/>
  <c r="U145" i="1"/>
  <c r="V145" i="1"/>
  <c r="V121" i="1"/>
  <c r="U121" i="1"/>
  <c r="V147" i="1"/>
  <c r="U147" i="1"/>
  <c r="U37" i="1"/>
  <c r="V37" i="1"/>
  <c r="U72" i="1"/>
  <c r="V72" i="1"/>
  <c r="U152" i="1"/>
  <c r="V152" i="1"/>
  <c r="U165" i="1"/>
  <c r="V165" i="1"/>
  <c r="U166" i="1"/>
  <c r="V166" i="1"/>
  <c r="U190" i="1"/>
  <c r="V190" i="1"/>
  <c r="U119" i="1"/>
  <c r="V119" i="1"/>
  <c r="U124" i="1"/>
  <c r="V124" i="1"/>
  <c r="U127" i="1"/>
  <c r="V127" i="1"/>
  <c r="U138" i="1"/>
  <c r="V138" i="1"/>
  <c r="U153" i="1"/>
  <c r="V153" i="1"/>
  <c r="U180" i="1"/>
  <c r="V180" i="1"/>
  <c r="U122" i="1"/>
  <c r="V122" i="1"/>
  <c r="U68" i="1"/>
  <c r="V68" i="1"/>
  <c r="U26" i="1"/>
  <c r="V26" i="1"/>
  <c r="U58" i="1"/>
  <c r="V58" i="1"/>
  <c r="U22" i="1"/>
  <c r="V22" i="1"/>
  <c r="U61" i="1"/>
  <c r="V61" i="1"/>
  <c r="U148" i="1"/>
  <c r="V148" i="1"/>
  <c r="U30" i="1"/>
  <c r="V30" i="1"/>
  <c r="U158" i="1"/>
  <c r="V158" i="1"/>
  <c r="U181" i="1"/>
  <c r="V181" i="1"/>
  <c r="U65" i="1"/>
  <c r="V65" i="1"/>
  <c r="V134" i="1"/>
  <c r="U134" i="1"/>
  <c r="V126" i="1"/>
  <c r="U126" i="1"/>
  <c r="V125" i="1"/>
  <c r="U125" i="1"/>
  <c r="U151" i="1"/>
  <c r="V151" i="1"/>
  <c r="U156" i="1"/>
  <c r="V156" i="1"/>
  <c r="U142" i="1"/>
  <c r="V142" i="1"/>
  <c r="U146" i="1"/>
  <c r="V146" i="1"/>
  <c r="U118" i="1"/>
  <c r="V118" i="1"/>
  <c r="U8" i="1"/>
  <c r="V8" i="1"/>
  <c r="U15" i="1"/>
  <c r="V15" i="1"/>
  <c r="U129" i="1"/>
  <c r="V129" i="1"/>
  <c r="U131" i="1"/>
  <c r="V131" i="1"/>
  <c r="U6" i="1"/>
  <c r="V6" i="1"/>
  <c r="U29" i="1"/>
  <c r="V29" i="1"/>
  <c r="U63" i="1"/>
  <c r="V63" i="1"/>
  <c r="U157" i="1"/>
  <c r="V157" i="1"/>
  <c r="U163" i="1"/>
  <c r="V163" i="1"/>
  <c r="U164" i="1"/>
  <c r="V164" i="1"/>
  <c r="U174" i="1"/>
  <c r="V174" i="1"/>
  <c r="U9" i="1"/>
  <c r="V9" i="1"/>
  <c r="U185" i="1"/>
  <c r="V185" i="1"/>
  <c r="U189" i="1"/>
  <c r="V189" i="1"/>
  <c r="U183" i="1"/>
  <c r="V183" i="1"/>
  <c r="U161" i="1"/>
  <c r="V161" i="1"/>
  <c r="U187" i="1"/>
  <c r="V187" i="1"/>
  <c r="U175" i="1"/>
  <c r="V175" i="1"/>
  <c r="U19" i="1"/>
  <c r="V19" i="1"/>
  <c r="U55" i="1"/>
  <c r="V55" i="1"/>
  <c r="U132" i="1"/>
  <c r="V132" i="1"/>
  <c r="U56" i="1"/>
  <c r="V56" i="1"/>
  <c r="U69" i="1"/>
  <c r="V69" i="1"/>
  <c r="U39" i="1"/>
  <c r="V39" i="1"/>
  <c r="U4" i="1"/>
  <c r="V4" i="1"/>
  <c r="U41" i="1"/>
  <c r="V41" i="1"/>
  <c r="U42" i="1"/>
  <c r="V42" i="1"/>
  <c r="U5" i="1"/>
  <c r="V5" i="1"/>
  <c r="U155" i="1"/>
  <c r="V155" i="1"/>
  <c r="U23" i="1"/>
  <c r="V23" i="1"/>
  <c r="U64" i="1"/>
  <c r="V64" i="1"/>
  <c r="U169" i="1"/>
  <c r="V169" i="1"/>
  <c r="U186" i="1"/>
  <c r="V186" i="1"/>
  <c r="U149" i="1"/>
  <c r="V149" i="1"/>
  <c r="U28" i="1"/>
  <c r="V28" i="1"/>
  <c r="U141" i="1"/>
  <c r="V141" i="1"/>
  <c r="U43" i="1"/>
  <c r="V43" i="1"/>
  <c r="U170" i="1"/>
  <c r="V170" i="1"/>
  <c r="U188" i="1"/>
  <c r="V188" i="1"/>
  <c r="U27" i="1"/>
  <c r="V27" i="1"/>
  <c r="U130" i="1"/>
  <c r="V130" i="1"/>
  <c r="U16" i="1"/>
  <c r="V16" i="1"/>
  <c r="U140" i="1"/>
  <c r="V140" i="1"/>
  <c r="U62" i="1"/>
  <c r="V62" i="1"/>
  <c r="U171" i="1"/>
  <c r="V171" i="1"/>
  <c r="U177" i="1"/>
  <c r="V177" i="1"/>
  <c r="U182" i="1"/>
  <c r="V182" i="1"/>
  <c r="U184" i="1"/>
  <c r="V184" i="1"/>
  <c r="U135" i="1"/>
  <c r="V135" i="1"/>
  <c r="U137" i="1"/>
  <c r="V137" i="1"/>
  <c r="U40" i="1"/>
  <c r="V40" i="1"/>
  <c r="U71" i="1"/>
  <c r="V71" i="1"/>
  <c r="U143" i="1"/>
  <c r="V143" i="1"/>
  <c r="U144" i="1"/>
  <c r="V144" i="1"/>
  <c r="U154" i="1"/>
  <c r="V154" i="1"/>
  <c r="U160" i="1"/>
  <c r="V160" i="1"/>
  <c r="U162" i="1"/>
  <c r="V162" i="1"/>
  <c r="U167" i="1"/>
  <c r="V167" i="1"/>
  <c r="U173" i="1"/>
  <c r="V173" i="1"/>
  <c r="U117" i="1"/>
  <c r="V117" i="1"/>
  <c r="U123" i="1"/>
  <c r="V123" i="1"/>
  <c r="U133" i="1"/>
  <c r="V133" i="1"/>
  <c r="U73" i="1"/>
  <c r="V73" i="1"/>
  <c r="U59" i="1"/>
  <c r="V59" i="1"/>
  <c r="U2" i="1"/>
  <c r="V2" i="1"/>
  <c r="U150" i="1"/>
  <c r="V150" i="1"/>
  <c r="U31" i="1"/>
  <c r="V31" i="1"/>
  <c r="U168" i="1"/>
  <c r="V168" i="1"/>
  <c r="U176" i="1"/>
  <c r="V176" i="1"/>
  <c r="U178" i="1"/>
  <c r="V178" i="1"/>
  <c r="U136" i="1"/>
  <c r="V136" i="1"/>
  <c r="V94" i="1"/>
  <c r="U94" i="1"/>
  <c r="V92" i="1"/>
  <c r="U92" i="1"/>
  <c r="V49" i="1"/>
  <c r="U49" i="1"/>
  <c r="V85" i="1"/>
  <c r="U85" i="1"/>
  <c r="V84" i="1"/>
  <c r="U84" i="1"/>
  <c r="V82" i="1"/>
  <c r="U82" i="1"/>
  <c r="U78" i="1"/>
  <c r="V78" i="1"/>
  <c r="U48" i="1"/>
  <c r="V48" i="1"/>
  <c r="U87" i="1"/>
  <c r="V87" i="1"/>
  <c r="U89" i="1"/>
  <c r="V89" i="1"/>
  <c r="V80" i="1"/>
  <c r="U80" i="1"/>
  <c r="U79" i="1"/>
  <c r="V79" i="1"/>
  <c r="U77" i="1"/>
  <c r="V77" i="1"/>
  <c r="U81" i="1"/>
  <c r="V81" i="1"/>
  <c r="U86" i="1"/>
  <c r="V86" i="1"/>
  <c r="U88" i="1"/>
  <c r="V88" i="1"/>
  <c r="U91" i="1"/>
  <c r="V91" i="1"/>
  <c r="U93" i="1"/>
  <c r="V93" i="1"/>
  <c r="U76" i="1"/>
  <c r="V76" i="1"/>
  <c r="U83" i="1"/>
  <c r="V83" i="1"/>
  <c r="U10" i="1"/>
  <c r="V10" i="1"/>
  <c r="U47" i="1"/>
  <c r="V47" i="1"/>
  <c r="U75" i="1"/>
  <c r="V75" i="1"/>
  <c r="U90" i="1"/>
  <c r="V90" i="1"/>
  <c r="U53" i="1"/>
  <c r="V53" i="1"/>
  <c r="U108" i="1"/>
  <c r="V108" i="1"/>
  <c r="U110" i="1"/>
  <c r="V110" i="1"/>
  <c r="U112" i="1"/>
  <c r="V112" i="1"/>
  <c r="U113" i="1"/>
  <c r="V113" i="1"/>
  <c r="U13" i="1"/>
  <c r="V13" i="1"/>
  <c r="U114" i="1"/>
  <c r="V114" i="1"/>
  <c r="U115" i="1"/>
  <c r="V115" i="1"/>
  <c r="U116" i="1"/>
  <c r="V116" i="1"/>
  <c r="U107" i="1"/>
  <c r="V107" i="1"/>
  <c r="U109" i="1"/>
  <c r="V109" i="1"/>
  <c r="U35" i="1"/>
  <c r="V35" i="1"/>
  <c r="U14" i="1"/>
  <c r="V14" i="1"/>
  <c r="U111" i="1"/>
  <c r="V111" i="1"/>
  <c r="U54" i="1"/>
  <c r="V54" i="1"/>
  <c r="U193" i="1"/>
  <c r="V193" i="1"/>
  <c r="U197" i="1"/>
  <c r="V197" i="1"/>
  <c r="U21" i="1"/>
  <c r="V21" i="1"/>
  <c r="U205" i="1"/>
  <c r="V205" i="1"/>
  <c r="U208" i="1"/>
  <c r="V208" i="1"/>
  <c r="U46" i="1"/>
  <c r="V46" i="1"/>
  <c r="U211" i="1"/>
  <c r="V211" i="1"/>
  <c r="U200" i="1"/>
  <c r="V200" i="1"/>
  <c r="U201" i="1"/>
  <c r="V201" i="1"/>
  <c r="U207" i="1"/>
  <c r="V207" i="1"/>
  <c r="U209" i="1"/>
  <c r="V209" i="1"/>
  <c r="U196" i="1"/>
  <c r="V196" i="1"/>
  <c r="U192" i="1"/>
  <c r="V192" i="1"/>
  <c r="U204" i="1"/>
  <c r="V204" i="1"/>
  <c r="U191" i="1"/>
  <c r="V191" i="1"/>
  <c r="U20" i="1"/>
  <c r="V20" i="1"/>
  <c r="U194" i="1"/>
  <c r="V194" i="1"/>
  <c r="U195" i="1"/>
  <c r="V195" i="1"/>
  <c r="U66" i="1"/>
  <c r="V66" i="1"/>
  <c r="U198" i="1"/>
  <c r="V198" i="1"/>
  <c r="U199" i="1"/>
  <c r="V199" i="1"/>
  <c r="U202" i="1"/>
  <c r="V202" i="1"/>
  <c r="U44" i="1"/>
  <c r="V44" i="1"/>
  <c r="U206" i="1"/>
  <c r="V206" i="1"/>
  <c r="U210" i="1"/>
  <c r="V210" i="1"/>
  <c r="U32" i="1"/>
  <c r="V32" i="1"/>
  <c r="V24" i="1"/>
  <c r="U24" i="1"/>
  <c r="V203" i="1"/>
  <c r="U203" i="1"/>
  <c r="B2" i="10"/>
  <c r="C2" i="10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J2" i="10"/>
  <c r="S200" i="1"/>
  <c r="S147" i="1"/>
  <c r="S136" i="1"/>
  <c r="S149" i="1"/>
  <c r="S151" i="1"/>
  <c r="S156" i="1"/>
  <c r="S83" i="1"/>
  <c r="S10" i="1"/>
  <c r="S97" i="1"/>
  <c r="S201" i="1"/>
  <c r="S142" i="1"/>
  <c r="S183" i="1"/>
  <c r="S207" i="1"/>
  <c r="S53" i="1"/>
  <c r="S209" i="1"/>
  <c r="S161" i="1"/>
  <c r="S196" i="1"/>
  <c r="S203" i="1"/>
  <c r="S187" i="1"/>
  <c r="S146" i="1"/>
  <c r="S192" i="1"/>
  <c r="S204" i="1"/>
  <c r="S175" i="1"/>
  <c r="S19" i="1"/>
  <c r="S47" i="1"/>
  <c r="S75" i="1"/>
  <c r="S76" i="1"/>
  <c r="S78" i="1"/>
  <c r="S77" i="1"/>
  <c r="S86" i="1"/>
  <c r="S49" i="1"/>
  <c r="S157" i="1"/>
  <c r="S191" i="1"/>
  <c r="S160" i="1"/>
  <c r="S176" i="1"/>
  <c r="S65" i="1"/>
  <c r="S18" i="1"/>
  <c r="S182" i="1"/>
  <c r="S159" i="1"/>
  <c r="S7" i="1"/>
  <c r="S190" i="1"/>
  <c r="S172" i="1"/>
  <c r="S87" i="1"/>
  <c r="S88" i="1"/>
  <c r="S20" i="1"/>
  <c r="S169" i="1"/>
  <c r="S74" i="1"/>
  <c r="S158" i="1"/>
  <c r="S173" i="1"/>
  <c r="S89" i="1"/>
  <c r="S170" i="1"/>
  <c r="S181" i="1"/>
  <c r="S44" i="1"/>
  <c r="S96" i="1"/>
  <c r="S62" i="1"/>
  <c r="S61" i="1"/>
  <c r="S31" i="1"/>
  <c r="S178" i="1"/>
  <c r="S211" i="1"/>
  <c r="S30" i="1"/>
  <c r="S194" i="1"/>
  <c r="S43" i="1"/>
  <c r="S153" i="1"/>
  <c r="S162" i="1"/>
  <c r="S152" i="1"/>
  <c r="S66" i="1"/>
  <c r="S179" i="1"/>
  <c r="S29" i="1"/>
  <c r="S24" i="1"/>
  <c r="S39" i="1"/>
  <c r="S4" i="1"/>
  <c r="S85" i="1"/>
  <c r="S90" i="1"/>
  <c r="S91" i="1"/>
  <c r="S103" i="1"/>
  <c r="S34" i="1"/>
  <c r="S13" i="1"/>
  <c r="S122" i="1"/>
  <c r="S123" i="1"/>
  <c r="S130" i="1"/>
  <c r="S70" i="1"/>
  <c r="S59" i="1"/>
  <c r="S22" i="1"/>
  <c r="S174" i="1"/>
  <c r="S32" i="1"/>
  <c r="S72" i="1"/>
  <c r="S2" i="1"/>
  <c r="S185" i="1"/>
  <c r="S82" i="1"/>
  <c r="S101" i="1"/>
  <c r="S52" i="1"/>
  <c r="S54" i="1"/>
  <c r="S121" i="1"/>
  <c r="S127" i="1"/>
  <c r="S56" i="1"/>
  <c r="S69" i="1"/>
  <c r="S17" i="1"/>
  <c r="S154" i="1"/>
  <c r="S46" i="1"/>
  <c r="S9" i="1"/>
  <c r="S41" i="1"/>
  <c r="S180" i="1"/>
  <c r="S210" i="1"/>
  <c r="S198" i="1"/>
  <c r="S129" i="1"/>
  <c r="S50" i="1"/>
  <c r="S117" i="1"/>
  <c r="S120" i="1"/>
  <c r="S128" i="1"/>
  <c r="S68" i="1"/>
  <c r="S133" i="1"/>
  <c r="S138" i="1"/>
  <c r="S58" i="1"/>
  <c r="S5" i="1"/>
  <c r="S177" i="1"/>
  <c r="S166" i="1"/>
  <c r="S168" i="1"/>
  <c r="S63" i="1"/>
  <c r="S199" i="1"/>
  <c r="S36" i="1"/>
  <c r="S137" i="1"/>
  <c r="S60" i="1"/>
  <c r="S51" i="1"/>
  <c r="S42" i="1"/>
  <c r="S109" i="1"/>
  <c r="S131" i="1"/>
  <c r="S26" i="1"/>
  <c r="S37" i="1"/>
  <c r="S16" i="1"/>
  <c r="S205" i="1"/>
  <c r="S165" i="1"/>
  <c r="S104" i="1"/>
  <c r="S110" i="1"/>
  <c r="S150" i="1"/>
  <c r="S195" i="1"/>
  <c r="S197" i="1"/>
  <c r="S116" i="1"/>
  <c r="S14" i="1"/>
  <c r="S40" i="1"/>
  <c r="S23" i="1"/>
  <c r="S163" i="1"/>
  <c r="S202" i="1"/>
  <c r="S189" i="1"/>
  <c r="S145" i="1"/>
  <c r="S108" i="1"/>
  <c r="S188" i="1"/>
  <c r="S15" i="1"/>
  <c r="S92" i="1"/>
  <c r="S112" i="1"/>
  <c r="S134" i="1"/>
  <c r="S135" i="1"/>
  <c r="S73" i="1"/>
  <c r="S25" i="1"/>
  <c r="S81" i="1"/>
  <c r="S33" i="1"/>
  <c r="S95" i="1"/>
  <c r="S100" i="1"/>
  <c r="S11" i="1"/>
  <c r="S105" i="1"/>
  <c r="S106" i="1"/>
  <c r="S12" i="1"/>
  <c r="S107" i="1"/>
  <c r="S111" i="1"/>
  <c r="S113" i="1"/>
  <c r="S114" i="1"/>
  <c r="S119" i="1"/>
  <c r="S8" i="1"/>
  <c r="S124" i="1"/>
  <c r="S125" i="1"/>
  <c r="S132" i="1"/>
  <c r="S57" i="1"/>
  <c r="S45" i="1"/>
  <c r="S3" i="1"/>
  <c r="S139" i="1"/>
  <c r="S140" i="1"/>
  <c r="S141" i="1"/>
  <c r="S208" i="1"/>
  <c r="S184" i="1"/>
  <c r="S164" i="1"/>
  <c r="S84" i="1"/>
  <c r="S98" i="1"/>
  <c r="S102" i="1"/>
  <c r="S35" i="1"/>
  <c r="S115" i="1"/>
  <c r="S38" i="1"/>
  <c r="S27" i="1"/>
  <c r="S6" i="1"/>
  <c r="S143" i="1"/>
  <c r="S206" i="1"/>
  <c r="S148" i="1"/>
  <c r="S55" i="1"/>
  <c r="S48" i="1"/>
  <c r="S93" i="1"/>
  <c r="S99" i="1"/>
  <c r="S118" i="1"/>
  <c r="S126" i="1"/>
  <c r="S28" i="1"/>
  <c r="S94" i="1"/>
  <c r="S171" i="1"/>
  <c r="S144" i="1"/>
  <c r="S186" i="1"/>
  <c r="S64" i="1"/>
  <c r="S193" i="1"/>
  <c r="S71" i="1"/>
  <c r="S167" i="1"/>
  <c r="S155" i="1"/>
  <c r="S21" i="1"/>
  <c r="S67" i="1"/>
  <c r="S80" i="1"/>
  <c r="S79" i="1"/>
  <c r="CD13" i="6"/>
  <c r="Y29" i="6"/>
  <c r="R25" i="15" l="1"/>
  <c r="BW19" i="6"/>
  <c r="F17" i="6"/>
  <c r="K25" i="15"/>
  <c r="F16" i="6"/>
  <c r="J25" i="15"/>
  <c r="S4" i="15"/>
  <c r="BV19" i="6"/>
  <c r="S3" i="15"/>
  <c r="L16" i="6"/>
  <c r="L17" i="6"/>
  <c r="BS6" i="6"/>
  <c r="BS9" i="6"/>
  <c r="BS18" i="6"/>
  <c r="BS10" i="6"/>
  <c r="BS8" i="6"/>
  <c r="BS15" i="6"/>
  <c r="BS16" i="6"/>
  <c r="BS7" i="6"/>
  <c r="BS17" i="6"/>
  <c r="BS14" i="6"/>
  <c r="BI22" i="6"/>
  <c r="Y28" i="6"/>
  <c r="BI28" i="6"/>
  <c r="E9" i="15" s="1"/>
  <c r="Y34" i="6"/>
  <c r="BI34" i="6"/>
  <c r="E15" i="15" s="1"/>
  <c r="Y40" i="6"/>
  <c r="BI40" i="6"/>
  <c r="E21" i="15" s="1"/>
  <c r="Y23" i="6"/>
  <c r="BI23" i="6"/>
  <c r="E4" i="15" s="1"/>
  <c r="BI29" i="6"/>
  <c r="E10" i="15" s="1"/>
  <c r="Y35" i="6"/>
  <c r="BI35" i="6"/>
  <c r="E16" i="15" s="1"/>
  <c r="Y41" i="6"/>
  <c r="BI41" i="6"/>
  <c r="E22" i="15" s="1"/>
  <c r="Y24" i="6"/>
  <c r="BI24" i="6"/>
  <c r="E5" i="15" s="1"/>
  <c r="Y30" i="6"/>
  <c r="BI30" i="6"/>
  <c r="E11" i="15" s="1"/>
  <c r="Y36" i="6"/>
  <c r="BI36" i="6"/>
  <c r="E17" i="15" s="1"/>
  <c r="Y42" i="6"/>
  <c r="BI42" i="6"/>
  <c r="E23" i="15" s="1"/>
  <c r="Y25" i="6"/>
  <c r="BI25" i="6"/>
  <c r="E6" i="15" s="1"/>
  <c r="Y31" i="6"/>
  <c r="BI31" i="6"/>
  <c r="E12" i="15" s="1"/>
  <c r="Y37" i="6"/>
  <c r="BI37" i="6"/>
  <c r="E18" i="15" s="1"/>
  <c r="Y43" i="6"/>
  <c r="BI43" i="6"/>
  <c r="E24" i="15" s="1"/>
  <c r="Y16" i="6"/>
  <c r="BI16" i="6"/>
  <c r="Y18" i="6"/>
  <c r="BI18" i="6"/>
  <c r="Y6" i="6"/>
  <c r="BI6" i="6"/>
  <c r="Y7" i="6"/>
  <c r="BI7" i="6"/>
  <c r="Y8" i="6"/>
  <c r="BI8" i="6"/>
  <c r="Y9" i="6"/>
  <c r="BI9" i="6"/>
  <c r="Y14" i="6"/>
  <c r="BI14" i="6"/>
  <c r="Y10" i="6"/>
  <c r="BI10" i="6"/>
  <c r="Y15" i="6"/>
  <c r="BI15" i="6"/>
  <c r="Y26" i="6"/>
  <c r="BI26" i="6"/>
  <c r="E7" i="15" s="1"/>
  <c r="Y32" i="6"/>
  <c r="BI32" i="6"/>
  <c r="E13" i="15" s="1"/>
  <c r="Y38" i="6"/>
  <c r="BI38" i="6"/>
  <c r="E19" i="15" s="1"/>
  <c r="Y17" i="6"/>
  <c r="BI17" i="6"/>
  <c r="Y27" i="6"/>
  <c r="BI27" i="6"/>
  <c r="E8" i="15" s="1"/>
  <c r="Y33" i="6"/>
  <c r="BI33" i="6"/>
  <c r="E14" i="15" s="1"/>
  <c r="Y39" i="6"/>
  <c r="BI39" i="6"/>
  <c r="E20" i="15" s="1"/>
  <c r="AG11" i="6"/>
  <c r="AG44" i="6"/>
  <c r="AH44" i="6"/>
  <c r="AH11" i="6"/>
  <c r="Y11" i="6" s="1"/>
  <c r="F9" i="6" s="1"/>
  <c r="AH19" i="6"/>
  <c r="AG19" i="6"/>
  <c r="E3" i="15" l="1"/>
  <c r="BU22" i="6"/>
  <c r="BY22" i="6" s="1"/>
  <c r="S25" i="15"/>
  <c r="BU38" i="6"/>
  <c r="I19" i="15" s="1"/>
  <c r="T19" i="15" s="1"/>
  <c r="BU28" i="6"/>
  <c r="I9" i="15" s="1"/>
  <c r="T9" i="15" s="1"/>
  <c r="BU40" i="6"/>
  <c r="I21" i="15" s="1"/>
  <c r="T21" i="15" s="1"/>
  <c r="BU24" i="6"/>
  <c r="I5" i="15" s="1"/>
  <c r="T5" i="15" s="1"/>
  <c r="BU39" i="6"/>
  <c r="I20" i="15" s="1"/>
  <c r="T20" i="15" s="1"/>
  <c r="BU31" i="6"/>
  <c r="I12" i="15" s="1"/>
  <c r="T12" i="15" s="1"/>
  <c r="CD14" i="6"/>
  <c r="CD15" i="6" s="1"/>
  <c r="BU41" i="6"/>
  <c r="I22" i="15" s="1"/>
  <c r="T22" i="15" s="1"/>
  <c r="BU32" i="6"/>
  <c r="I13" i="15" s="1"/>
  <c r="T13" i="15" s="1"/>
  <c r="BU37" i="6"/>
  <c r="I18" i="15" s="1"/>
  <c r="T18" i="15" s="1"/>
  <c r="BU27" i="6"/>
  <c r="I8" i="15" s="1"/>
  <c r="T8" i="15" s="1"/>
  <c r="BU23" i="6"/>
  <c r="I4" i="15" s="1"/>
  <c r="T4" i="15" s="1"/>
  <c r="BU43" i="6"/>
  <c r="BX18" i="6"/>
  <c r="BU30" i="6"/>
  <c r="I11" i="15" s="1"/>
  <c r="T11" i="15" s="1"/>
  <c r="BU34" i="6"/>
  <c r="I15" i="15" s="1"/>
  <c r="T15" i="15" s="1"/>
  <c r="BU33" i="6"/>
  <c r="I14" i="15" s="1"/>
  <c r="T14" i="15" s="1"/>
  <c r="BU25" i="6"/>
  <c r="I6" i="15" s="1"/>
  <c r="T6" i="15" s="1"/>
  <c r="BU35" i="6"/>
  <c r="I16" i="15" s="1"/>
  <c r="T16" i="15" s="1"/>
  <c r="BU42" i="6"/>
  <c r="I23" i="15" s="1"/>
  <c r="T23" i="15" s="1"/>
  <c r="BU36" i="6"/>
  <c r="I17" i="15" s="1"/>
  <c r="T17" i="15" s="1"/>
  <c r="BU29" i="6"/>
  <c r="I10" i="15" s="1"/>
  <c r="T10" i="15" s="1"/>
  <c r="BU26" i="6"/>
  <c r="I7" i="15" s="1"/>
  <c r="T7" i="15" s="1"/>
  <c r="BS11" i="6"/>
  <c r="BS19" i="6"/>
  <c r="Y19" i="6"/>
  <c r="Y44" i="6"/>
  <c r="BI19" i="6"/>
  <c r="BI11" i="6"/>
  <c r="BI44" i="6"/>
  <c r="E25" i="15" s="1"/>
  <c r="CL43" i="6"/>
  <c r="CK43" i="6"/>
  <c r="CJ43" i="6"/>
  <c r="CL42" i="6"/>
  <c r="CK42" i="6"/>
  <c r="CJ42" i="6"/>
  <c r="CL41" i="6"/>
  <c r="CK41" i="6"/>
  <c r="CJ41" i="6"/>
  <c r="CL40" i="6"/>
  <c r="CK40" i="6"/>
  <c r="CJ40" i="6"/>
  <c r="CL39" i="6"/>
  <c r="X39" i="6" s="1"/>
  <c r="CK39" i="6"/>
  <c r="CJ39" i="6"/>
  <c r="CL38" i="6"/>
  <c r="CK38" i="6"/>
  <c r="CJ38" i="6"/>
  <c r="CL37" i="6"/>
  <c r="CK37" i="6"/>
  <c r="CJ37" i="6"/>
  <c r="CL36" i="6"/>
  <c r="CK36" i="6"/>
  <c r="CJ36" i="6"/>
  <c r="CL35" i="6"/>
  <c r="CK35" i="6"/>
  <c r="CJ35" i="6"/>
  <c r="CL34" i="6"/>
  <c r="CK34" i="6"/>
  <c r="CJ34" i="6"/>
  <c r="CL33" i="6"/>
  <c r="CK33" i="6"/>
  <c r="CJ33" i="6"/>
  <c r="CL32" i="6"/>
  <c r="CK32" i="6"/>
  <c r="CJ32" i="6"/>
  <c r="CL31" i="6"/>
  <c r="CK31" i="6"/>
  <c r="CJ31" i="6"/>
  <c r="CL30" i="6"/>
  <c r="CK30" i="6"/>
  <c r="CJ30" i="6"/>
  <c r="CL29" i="6"/>
  <c r="CK29" i="6"/>
  <c r="CJ29" i="6"/>
  <c r="CL28" i="6"/>
  <c r="CK28" i="6"/>
  <c r="CJ28" i="6"/>
  <c r="CL27" i="6"/>
  <c r="CK27" i="6"/>
  <c r="CJ27" i="6"/>
  <c r="CL26" i="6"/>
  <c r="CK26" i="6"/>
  <c r="CJ26" i="6"/>
  <c r="CL25" i="6"/>
  <c r="CK25" i="6"/>
  <c r="CJ25" i="6"/>
  <c r="CL24" i="6"/>
  <c r="CK24" i="6"/>
  <c r="CJ24" i="6"/>
  <c r="CL23" i="6"/>
  <c r="CK23" i="6"/>
  <c r="CJ23" i="6"/>
  <c r="CL22" i="6"/>
  <c r="CK22" i="6"/>
  <c r="CJ22" i="6"/>
  <c r="CL18" i="6"/>
  <c r="CK18" i="6"/>
  <c r="CJ18" i="6"/>
  <c r="CL17" i="6"/>
  <c r="CK17" i="6"/>
  <c r="CJ17" i="6"/>
  <c r="CL16" i="6"/>
  <c r="CK16" i="6"/>
  <c r="CJ16" i="6"/>
  <c r="CL15" i="6"/>
  <c r="CK15" i="6"/>
  <c r="CJ15" i="6"/>
  <c r="CK14" i="6"/>
  <c r="CJ14" i="6"/>
  <c r="CL10" i="6"/>
  <c r="CK10" i="6"/>
  <c r="CJ10" i="6"/>
  <c r="CL9" i="6"/>
  <c r="CK9" i="6"/>
  <c r="CJ9" i="6"/>
  <c r="CL8" i="6"/>
  <c r="CK8" i="6"/>
  <c r="CJ8" i="6"/>
  <c r="CL7" i="6"/>
  <c r="CK7" i="6"/>
  <c r="CJ7" i="6"/>
  <c r="CL6" i="6"/>
  <c r="BH6" i="6" s="1"/>
  <c r="BO6" i="6" s="1"/>
  <c r="CK6" i="6"/>
  <c r="CJ6" i="6"/>
  <c r="BU18" i="6" l="1"/>
  <c r="I24" i="15"/>
  <c r="T24" i="15" s="1"/>
  <c r="M3" i="15"/>
  <c r="I3" i="15"/>
  <c r="T3" i="15" s="1"/>
  <c r="BU16" i="6"/>
  <c r="BU17" i="6"/>
  <c r="BU15" i="6"/>
  <c r="CD18" i="6"/>
  <c r="BX17" i="6"/>
  <c r="BX15" i="6"/>
  <c r="BX14" i="6"/>
  <c r="BY23" i="6"/>
  <c r="BY35" i="6"/>
  <c r="M16" i="15" s="1"/>
  <c r="BY37" i="6"/>
  <c r="M18" i="15" s="1"/>
  <c r="BY29" i="6"/>
  <c r="M10" i="15" s="1"/>
  <c r="CD17" i="6"/>
  <c r="BY31" i="6"/>
  <c r="M12" i="15" s="1"/>
  <c r="BU44" i="6"/>
  <c r="BY25" i="6"/>
  <c r="M6" i="15" s="1"/>
  <c r="BY39" i="6"/>
  <c r="M20" i="15" s="1"/>
  <c r="BY26" i="6"/>
  <c r="M7" i="15" s="1"/>
  <c r="BY33" i="6"/>
  <c r="M14" i="15" s="1"/>
  <c r="BY24" i="6"/>
  <c r="M5" i="15" s="1"/>
  <c r="BY34" i="6"/>
  <c r="M15" i="15" s="1"/>
  <c r="BY40" i="6"/>
  <c r="M21" i="15" s="1"/>
  <c r="BY36" i="6"/>
  <c r="M17" i="15" s="1"/>
  <c r="BY30" i="6"/>
  <c r="M11" i="15" s="1"/>
  <c r="BY32" i="6"/>
  <c r="M13" i="15" s="1"/>
  <c r="BY28" i="6"/>
  <c r="M9" i="15" s="1"/>
  <c r="BY42" i="6"/>
  <c r="M23" i="15" s="1"/>
  <c r="BY43" i="6"/>
  <c r="M24" i="15" s="1"/>
  <c r="BY41" i="6"/>
  <c r="M22" i="15" s="1"/>
  <c r="BY38" i="6"/>
  <c r="M19" i="15" s="1"/>
  <c r="BN6" i="6"/>
  <c r="BQ6" i="6"/>
  <c r="BP6" i="6"/>
  <c r="X10" i="6"/>
  <c r="BH10" i="6"/>
  <c r="X17" i="6"/>
  <c r="BH17" i="6"/>
  <c r="X24" i="6"/>
  <c r="AL24" i="6" s="1"/>
  <c r="BH24" i="6"/>
  <c r="D5" i="15" s="1"/>
  <c r="U5" i="15" s="1"/>
  <c r="X28" i="6"/>
  <c r="AL28" i="6" s="1"/>
  <c r="BH28" i="6"/>
  <c r="D9" i="15" s="1"/>
  <c r="U9" i="15" s="1"/>
  <c r="X32" i="6"/>
  <c r="AL32" i="6" s="1"/>
  <c r="BH32" i="6"/>
  <c r="D13" i="15" s="1"/>
  <c r="U13" i="15" s="1"/>
  <c r="X36" i="6"/>
  <c r="AL36" i="6" s="1"/>
  <c r="BH36" i="6"/>
  <c r="D17" i="15" s="1"/>
  <c r="U17" i="15" s="1"/>
  <c r="X40" i="6"/>
  <c r="AL40" i="6" s="1"/>
  <c r="BH40" i="6"/>
  <c r="D21" i="15" s="1"/>
  <c r="U21" i="15" s="1"/>
  <c r="X7" i="6"/>
  <c r="BH7" i="6"/>
  <c r="X14" i="6"/>
  <c r="AB14" i="6" s="1"/>
  <c r="BH14" i="6"/>
  <c r="X18" i="6"/>
  <c r="BH18" i="6"/>
  <c r="X25" i="6"/>
  <c r="AL25" i="6" s="1"/>
  <c r="BH25" i="6"/>
  <c r="D6" i="15" s="1"/>
  <c r="U6" i="15" s="1"/>
  <c r="X29" i="6"/>
  <c r="AL29" i="6" s="1"/>
  <c r="BH29" i="6"/>
  <c r="D10" i="15" s="1"/>
  <c r="U10" i="15" s="1"/>
  <c r="X33" i="6"/>
  <c r="AL33" i="6" s="1"/>
  <c r="BH33" i="6"/>
  <c r="D14" i="15" s="1"/>
  <c r="U14" i="15" s="1"/>
  <c r="X37" i="6"/>
  <c r="AL37" i="6" s="1"/>
  <c r="BH37" i="6"/>
  <c r="D18" i="15" s="1"/>
  <c r="U18" i="15" s="1"/>
  <c r="X41" i="6"/>
  <c r="AL41" i="6" s="1"/>
  <c r="BH41" i="6"/>
  <c r="D22" i="15" s="1"/>
  <c r="U22" i="15" s="1"/>
  <c r="X8" i="6"/>
  <c r="CR8" i="6" s="1"/>
  <c r="BH8" i="6"/>
  <c r="X15" i="6"/>
  <c r="BH15" i="6"/>
  <c r="X22" i="6"/>
  <c r="BH22" i="6"/>
  <c r="X26" i="6"/>
  <c r="AL26" i="6" s="1"/>
  <c r="BH26" i="6"/>
  <c r="D7" i="15" s="1"/>
  <c r="U7" i="15" s="1"/>
  <c r="X30" i="6"/>
  <c r="AL30" i="6" s="1"/>
  <c r="BH30" i="6"/>
  <c r="D11" i="15" s="1"/>
  <c r="U11" i="15" s="1"/>
  <c r="X34" i="6"/>
  <c r="AL34" i="6" s="1"/>
  <c r="BH34" i="6"/>
  <c r="D15" i="15" s="1"/>
  <c r="U15" i="15" s="1"/>
  <c r="X38" i="6"/>
  <c r="AL38" i="6" s="1"/>
  <c r="BH38" i="6"/>
  <c r="D19" i="15" s="1"/>
  <c r="U19" i="15" s="1"/>
  <c r="X42" i="6"/>
  <c r="AL42" i="6" s="1"/>
  <c r="BH42" i="6"/>
  <c r="D23" i="15" s="1"/>
  <c r="U23" i="15" s="1"/>
  <c r="X9" i="6"/>
  <c r="CR9" i="6" s="1"/>
  <c r="BH9" i="6"/>
  <c r="X16" i="6"/>
  <c r="BH16" i="6"/>
  <c r="BN16" i="6" s="1"/>
  <c r="X23" i="6"/>
  <c r="AL23" i="6" s="1"/>
  <c r="BH23" i="6"/>
  <c r="D4" i="15" s="1"/>
  <c r="U4" i="15" s="1"/>
  <c r="X27" i="6"/>
  <c r="AL27" i="6" s="1"/>
  <c r="BH27" i="6"/>
  <c r="D8" i="15" s="1"/>
  <c r="U8" i="15" s="1"/>
  <c r="X31" i="6"/>
  <c r="AL31" i="6" s="1"/>
  <c r="BH31" i="6"/>
  <c r="D12" i="15" s="1"/>
  <c r="U12" i="15" s="1"/>
  <c r="X35" i="6"/>
  <c r="AL35" i="6" s="1"/>
  <c r="BH35" i="6"/>
  <c r="D16" i="15" s="1"/>
  <c r="U16" i="15" s="1"/>
  <c r="AL39" i="6"/>
  <c r="BH39" i="6"/>
  <c r="D20" i="15" s="1"/>
  <c r="U20" i="15" s="1"/>
  <c r="X43" i="6"/>
  <c r="AL43" i="6" s="1"/>
  <c r="BH43" i="6"/>
  <c r="X6" i="6"/>
  <c r="AA6" i="6" s="1"/>
  <c r="CK44" i="6"/>
  <c r="CJ44" i="6"/>
  <c r="CJ19" i="6"/>
  <c r="CK11" i="6"/>
  <c r="CL19" i="6"/>
  <c r="CI31" i="6"/>
  <c r="CQ31" i="6" s="1"/>
  <c r="CI35" i="6"/>
  <c r="CQ35" i="6" s="1"/>
  <c r="CI39" i="6"/>
  <c r="CQ39" i="6" s="1"/>
  <c r="CI8" i="6"/>
  <c r="CQ8" i="6" s="1"/>
  <c r="CK19" i="6"/>
  <c r="CI15" i="6"/>
  <c r="CQ15" i="6" s="1"/>
  <c r="CL44" i="6"/>
  <c r="CI26" i="6"/>
  <c r="CQ26" i="6" s="1"/>
  <c r="CI30" i="6"/>
  <c r="CQ30" i="6" s="1"/>
  <c r="CI34" i="6"/>
  <c r="CQ34" i="6" s="1"/>
  <c r="CI38" i="6"/>
  <c r="CQ38" i="6" s="1"/>
  <c r="CI42" i="6"/>
  <c r="CQ42" i="6" s="1"/>
  <c r="CI7" i="6"/>
  <c r="CQ7" i="6" s="1"/>
  <c r="CI18" i="6"/>
  <c r="CQ18" i="6" s="1"/>
  <c r="CI25" i="6"/>
  <c r="CQ25" i="6" s="1"/>
  <c r="CI29" i="6"/>
  <c r="CQ29" i="6" s="1"/>
  <c r="CI33" i="6"/>
  <c r="CQ33" i="6" s="1"/>
  <c r="CI37" i="6"/>
  <c r="CQ37" i="6" s="1"/>
  <c r="CI41" i="6"/>
  <c r="CQ41" i="6" s="1"/>
  <c r="CJ11" i="6"/>
  <c r="CI6" i="6"/>
  <c r="CQ6" i="6" s="1"/>
  <c r="CI10" i="6"/>
  <c r="CQ10" i="6" s="1"/>
  <c r="CI17" i="6"/>
  <c r="CQ17" i="6" s="1"/>
  <c r="CI24" i="6"/>
  <c r="CQ24" i="6" s="1"/>
  <c r="CI28" i="6"/>
  <c r="CQ28" i="6" s="1"/>
  <c r="CI32" i="6"/>
  <c r="CQ32" i="6" s="1"/>
  <c r="CI36" i="6"/>
  <c r="CQ36" i="6" s="1"/>
  <c r="CI40" i="6"/>
  <c r="CQ40" i="6" s="1"/>
  <c r="CI9" i="6"/>
  <c r="CQ9" i="6" s="1"/>
  <c r="CI16" i="6"/>
  <c r="CQ16" i="6" s="1"/>
  <c r="CI23" i="6"/>
  <c r="CQ23" i="6" s="1"/>
  <c r="CI27" i="6"/>
  <c r="CQ27" i="6" s="1"/>
  <c r="CI43" i="6"/>
  <c r="CQ43" i="6" s="1"/>
  <c r="CL11" i="6"/>
  <c r="X11" i="6" s="1"/>
  <c r="F8" i="6" s="1"/>
  <c r="CI14" i="6"/>
  <c r="CQ14" i="6" s="1"/>
  <c r="CI22" i="6"/>
  <c r="CQ22" i="6" s="1"/>
  <c r="H3" i="4"/>
  <c r="H6" i="4"/>
  <c r="H23" i="4"/>
  <c r="H33" i="4"/>
  <c r="H43" i="4"/>
  <c r="H57" i="4"/>
  <c r="H60" i="4"/>
  <c r="H61" i="4"/>
  <c r="H63" i="4"/>
  <c r="H65" i="4"/>
  <c r="H72" i="4"/>
  <c r="H75" i="4"/>
  <c r="H76" i="4"/>
  <c r="H83" i="4"/>
  <c r="H87" i="4"/>
  <c r="H100" i="4"/>
  <c r="H103" i="4"/>
  <c r="H115" i="4"/>
  <c r="H120" i="4"/>
  <c r="H18" i="4"/>
  <c r="H25" i="4"/>
  <c r="H27" i="4"/>
  <c r="H30" i="4"/>
  <c r="H34" i="4"/>
  <c r="H39" i="4"/>
  <c r="H40" i="4"/>
  <c r="H41" i="4"/>
  <c r="H50" i="4"/>
  <c r="H51" i="4"/>
  <c r="H56" i="4"/>
  <c r="H78" i="4"/>
  <c r="H84" i="4"/>
  <c r="H92" i="4"/>
  <c r="H94" i="4"/>
  <c r="H96" i="4"/>
  <c r="H97" i="4"/>
  <c r="H99" i="4"/>
  <c r="H102" i="4"/>
  <c r="H107" i="4"/>
  <c r="H133" i="4"/>
  <c r="H139" i="4"/>
  <c r="H7" i="4"/>
  <c r="H9" i="4"/>
  <c r="H11" i="4"/>
  <c r="H13" i="4"/>
  <c r="H17" i="4"/>
  <c r="H24" i="4"/>
  <c r="H35" i="4"/>
  <c r="H36" i="4"/>
  <c r="H48" i="4"/>
  <c r="H64" i="4"/>
  <c r="H86" i="4"/>
  <c r="H85" i="4"/>
  <c r="H89" i="4"/>
  <c r="H98" i="4"/>
  <c r="H109" i="4"/>
  <c r="H111" i="4"/>
  <c r="H114" i="4"/>
  <c r="H119" i="4"/>
  <c r="H123" i="4"/>
  <c r="H125" i="4"/>
  <c r="H126" i="4"/>
  <c r="H129" i="4"/>
  <c r="H130" i="4"/>
  <c r="H134" i="4"/>
  <c r="H144" i="4"/>
  <c r="H4" i="4"/>
  <c r="H5" i="4"/>
  <c r="H16" i="4"/>
  <c r="H20" i="4"/>
  <c r="H21" i="4"/>
  <c r="H31" i="4"/>
  <c r="H37" i="4"/>
  <c r="H38" i="4"/>
  <c r="H44" i="4"/>
  <c r="H46" i="4"/>
  <c r="H47" i="4"/>
  <c r="H52" i="4"/>
  <c r="H55" i="4"/>
  <c r="H66" i="4"/>
  <c r="H70" i="4"/>
  <c r="H71" i="4"/>
  <c r="H77" i="4"/>
  <c r="H82" i="4"/>
  <c r="H88" i="4"/>
  <c r="H91" i="4"/>
  <c r="H93" i="4"/>
  <c r="H101" i="4"/>
  <c r="H104" i="4"/>
  <c r="H106" i="4"/>
  <c r="H108" i="4"/>
  <c r="H112" i="4"/>
  <c r="H113" i="4"/>
  <c r="H122" i="4"/>
  <c r="H135" i="4"/>
  <c r="H141" i="4"/>
  <c r="H143" i="4"/>
  <c r="H8" i="4"/>
  <c r="H14" i="4"/>
  <c r="H15" i="4"/>
  <c r="H19" i="4"/>
  <c r="H22" i="4"/>
  <c r="H26" i="4"/>
  <c r="H28" i="4"/>
  <c r="H32" i="4"/>
  <c r="H45" i="4"/>
  <c r="H49" i="4"/>
  <c r="H53" i="4"/>
  <c r="H54" i="4"/>
  <c r="H58" i="4"/>
  <c r="H59" i="4"/>
  <c r="H62" i="4"/>
  <c r="H67" i="4"/>
  <c r="H68" i="4"/>
  <c r="H80" i="4"/>
  <c r="H105" i="4"/>
  <c r="H116" i="4"/>
  <c r="H117" i="4"/>
  <c r="H118" i="4"/>
  <c r="H121" i="4"/>
  <c r="H131" i="4"/>
  <c r="H10" i="4"/>
  <c r="H12" i="4"/>
  <c r="H29" i="4"/>
  <c r="H42" i="4"/>
  <c r="H69" i="4"/>
  <c r="H73" i="4"/>
  <c r="H74" i="4"/>
  <c r="H79" i="4"/>
  <c r="H81" i="4"/>
  <c r="H90" i="4"/>
  <c r="H95" i="4"/>
  <c r="H110" i="4"/>
  <c r="H124" i="4"/>
  <c r="H127" i="4"/>
  <c r="H128" i="4"/>
  <c r="H132" i="4"/>
  <c r="H136" i="4"/>
  <c r="H137" i="4"/>
  <c r="H138" i="4"/>
  <c r="H140" i="4"/>
  <c r="H142" i="4"/>
  <c r="I25" i="15" l="1"/>
  <c r="F15" i="6"/>
  <c r="AL22" i="6"/>
  <c r="AA22" i="6"/>
  <c r="T25" i="15"/>
  <c r="L15" i="6" s="1"/>
  <c r="BY14" i="6"/>
  <c r="BZ14" i="6" s="1"/>
  <c r="M4" i="15"/>
  <c r="BZ22" i="6"/>
  <c r="N3" i="15" s="1"/>
  <c r="D3" i="15"/>
  <c r="U3" i="15" s="1"/>
  <c r="BL43" i="6"/>
  <c r="BO18" i="6" s="1"/>
  <c r="BP18" i="6" s="1"/>
  <c r="D24" i="15"/>
  <c r="U24" i="15" s="1"/>
  <c r="F13" i="6"/>
  <c r="F12" i="6"/>
  <c r="F11" i="6"/>
  <c r="BZ24" i="6"/>
  <c r="N5" i="15" s="1"/>
  <c r="BZ35" i="6"/>
  <c r="N16" i="15" s="1"/>
  <c r="CR6" i="6"/>
  <c r="BZ36" i="6"/>
  <c r="N17" i="15" s="1"/>
  <c r="BZ34" i="6"/>
  <c r="N15" i="15" s="1"/>
  <c r="BZ37" i="6"/>
  <c r="N18" i="15" s="1"/>
  <c r="BZ33" i="6"/>
  <c r="N14" i="15" s="1"/>
  <c r="BZ23" i="6"/>
  <c r="N4" i="15" s="1"/>
  <c r="BZ38" i="6"/>
  <c r="N19" i="15" s="1"/>
  <c r="BZ26" i="6"/>
  <c r="N7" i="15" s="1"/>
  <c r="BZ41" i="6"/>
  <c r="N22" i="15" s="1"/>
  <c r="BZ39" i="6"/>
  <c r="N20" i="15" s="1"/>
  <c r="BY18" i="6"/>
  <c r="BZ18" i="6" s="1"/>
  <c r="BZ43" i="6"/>
  <c r="N24" i="15" s="1"/>
  <c r="BZ42" i="6"/>
  <c r="N23" i="15" s="1"/>
  <c r="BZ25" i="6"/>
  <c r="N6" i="15" s="1"/>
  <c r="BZ28" i="6"/>
  <c r="N9" i="15" s="1"/>
  <c r="BZ32" i="6"/>
  <c r="N13" i="15" s="1"/>
  <c r="BZ31" i="6"/>
  <c r="N12" i="15" s="1"/>
  <c r="BZ30" i="6"/>
  <c r="N11" i="15" s="1"/>
  <c r="BZ29" i="6"/>
  <c r="N10" i="15" s="1"/>
  <c r="BZ40" i="6"/>
  <c r="N21" i="15" s="1"/>
  <c r="AK44" i="6"/>
  <c r="CR31" i="6"/>
  <c r="CR23" i="6"/>
  <c r="CR38" i="6"/>
  <c r="CR22" i="6"/>
  <c r="CR29" i="6"/>
  <c r="CR36" i="6"/>
  <c r="CR43" i="6"/>
  <c r="CR35" i="6"/>
  <c r="CR27" i="6"/>
  <c r="CR42" i="6"/>
  <c r="CR41" i="6"/>
  <c r="CR33" i="6"/>
  <c r="CR25" i="6"/>
  <c r="S16" i="6"/>
  <c r="Q16" i="6" s="1"/>
  <c r="S15" i="6"/>
  <c r="Q15" i="6" s="1"/>
  <c r="S17" i="6"/>
  <c r="Q17" i="6" s="1"/>
  <c r="CR14" i="6"/>
  <c r="BM14" i="6"/>
  <c r="AA24" i="6"/>
  <c r="BM24" i="6" s="1"/>
  <c r="CR24" i="6"/>
  <c r="AA34" i="6"/>
  <c r="BM34" i="6" s="1"/>
  <c r="CR34" i="6"/>
  <c r="AA30" i="6"/>
  <c r="BM30" i="6" s="1"/>
  <c r="CR30" i="6"/>
  <c r="AA37" i="6"/>
  <c r="BM37" i="6" s="1"/>
  <c r="CR37" i="6"/>
  <c r="AA7" i="6"/>
  <c r="K12" i="10" s="1"/>
  <c r="CR7" i="6"/>
  <c r="BM17" i="6"/>
  <c r="CR17" i="6"/>
  <c r="BM18" i="6"/>
  <c r="CR18" i="6"/>
  <c r="AB16" i="6"/>
  <c r="BM16" i="6"/>
  <c r="CR16" i="6"/>
  <c r="AA26" i="6"/>
  <c r="BM26" i="6" s="1"/>
  <c r="CR26" i="6"/>
  <c r="AA40" i="6"/>
  <c r="BM40" i="6" s="1"/>
  <c r="CR40" i="6"/>
  <c r="AB10" i="6"/>
  <c r="CR10" i="6"/>
  <c r="AB39" i="6"/>
  <c r="BN39" i="6" s="1"/>
  <c r="CR39" i="6"/>
  <c r="AA28" i="6"/>
  <c r="BM28" i="6" s="1"/>
  <c r="CR28" i="6"/>
  <c r="BM15" i="6"/>
  <c r="CR15" i="6"/>
  <c r="AA32" i="6"/>
  <c r="BM32" i="6" s="1"/>
  <c r="CR32" i="6"/>
  <c r="CD9" i="6"/>
  <c r="BL25" i="6"/>
  <c r="BL22" i="6"/>
  <c r="BL29" i="6"/>
  <c r="BL39" i="6"/>
  <c r="CD19" i="6"/>
  <c r="BY17" i="6"/>
  <c r="BZ17" i="6" s="1"/>
  <c r="BY15" i="6"/>
  <c r="BZ15" i="6" s="1"/>
  <c r="BL36" i="6"/>
  <c r="BL35" i="6"/>
  <c r="BL42" i="6"/>
  <c r="BL32" i="6"/>
  <c r="BL31" i="6"/>
  <c r="BL38" i="6"/>
  <c r="BL28" i="6"/>
  <c r="BL27" i="6"/>
  <c r="BL34" i="6"/>
  <c r="BL41" i="6"/>
  <c r="BL24" i="6"/>
  <c r="BL30" i="6"/>
  <c r="BL37" i="6"/>
  <c r="BL23" i="6"/>
  <c r="BL26" i="6"/>
  <c r="BL33" i="6"/>
  <c r="BL40" i="6"/>
  <c r="BN14" i="6"/>
  <c r="AA14" i="6"/>
  <c r="BN15" i="6"/>
  <c r="BN10" i="6"/>
  <c r="BN9" i="6"/>
  <c r="BN8" i="6"/>
  <c r="BN18" i="6"/>
  <c r="BN7" i="6"/>
  <c r="BN17" i="6"/>
  <c r="K11" i="10"/>
  <c r="Z6" i="6"/>
  <c r="BO9" i="6"/>
  <c r="BQ9" i="6"/>
  <c r="BP9" i="6"/>
  <c r="BQ8" i="6"/>
  <c r="BO8" i="6"/>
  <c r="BP8" i="6"/>
  <c r="BQ7" i="6"/>
  <c r="BO7" i="6"/>
  <c r="BP7" i="6"/>
  <c r="BO10" i="6"/>
  <c r="BQ10" i="6"/>
  <c r="BP10" i="6"/>
  <c r="AB40" i="6"/>
  <c r="BN40" i="6" s="1"/>
  <c r="AB41" i="6"/>
  <c r="BN41" i="6" s="1"/>
  <c r="AB34" i="6"/>
  <c r="BN34" i="6" s="1"/>
  <c r="AA16" i="6"/>
  <c r="AA41" i="6"/>
  <c r="BM41" i="6" s="1"/>
  <c r="AB43" i="6"/>
  <c r="BN43" i="6" s="1"/>
  <c r="AB24" i="6"/>
  <c r="BN24" i="6" s="1"/>
  <c r="AB33" i="6"/>
  <c r="BN33" i="6" s="1"/>
  <c r="AB26" i="6"/>
  <c r="BN26" i="6" s="1"/>
  <c r="AA43" i="6"/>
  <c r="BM43" i="6" s="1"/>
  <c r="AA33" i="6"/>
  <c r="BM33" i="6" s="1"/>
  <c r="AA15" i="6"/>
  <c r="K4" i="10" s="1"/>
  <c r="AB15" i="6"/>
  <c r="AA10" i="6"/>
  <c r="K15" i="10" s="1"/>
  <c r="BR23" i="6"/>
  <c r="BR27" i="6"/>
  <c r="BR30" i="6"/>
  <c r="BR33" i="6"/>
  <c r="BR37" i="6"/>
  <c r="BR41" i="6"/>
  <c r="BR26" i="6"/>
  <c r="BR29" i="6"/>
  <c r="BR36" i="6"/>
  <c r="BR40" i="6"/>
  <c r="BT29" i="6"/>
  <c r="BR38" i="6"/>
  <c r="BT40" i="6"/>
  <c r="BR22" i="6"/>
  <c r="BR44" i="6"/>
  <c r="BR32" i="6"/>
  <c r="BR25" i="6"/>
  <c r="BR28" i="6"/>
  <c r="BR35" i="6"/>
  <c r="BR39" i="6"/>
  <c r="BR43" i="6"/>
  <c r="BR24" i="6"/>
  <c r="BS28" i="6"/>
  <c r="BR31" i="6"/>
  <c r="BR34" i="6"/>
  <c r="BT36" i="6"/>
  <c r="BR42" i="6"/>
  <c r="BS30" i="6"/>
  <c r="BT28" i="6"/>
  <c r="BT38" i="6"/>
  <c r="BS29" i="6"/>
  <c r="BS37" i="6"/>
  <c r="BS26" i="6"/>
  <c r="BS38" i="6"/>
  <c r="BT23" i="6"/>
  <c r="BT33" i="6"/>
  <c r="BT41" i="6"/>
  <c r="BT24" i="6"/>
  <c r="BS25" i="6"/>
  <c r="BS41" i="6"/>
  <c r="BS34" i="6"/>
  <c r="BT27" i="6"/>
  <c r="BT26" i="6"/>
  <c r="BT34" i="6"/>
  <c r="BS27" i="6"/>
  <c r="BS35" i="6"/>
  <c r="BS43" i="6"/>
  <c r="BS24" i="6"/>
  <c r="BS36" i="6"/>
  <c r="BT31" i="6"/>
  <c r="BT39" i="6"/>
  <c r="BT22" i="6"/>
  <c r="BT30" i="6"/>
  <c r="BT42" i="6"/>
  <c r="BS23" i="6"/>
  <c r="BS31" i="6"/>
  <c r="BS39" i="6"/>
  <c r="BS32" i="6"/>
  <c r="BS40" i="6"/>
  <c r="BT25" i="6"/>
  <c r="BT35" i="6"/>
  <c r="BT43" i="6"/>
  <c r="BT32" i="6"/>
  <c r="BS33" i="6"/>
  <c r="BS22" i="6"/>
  <c r="BS42" i="6"/>
  <c r="BT37" i="6"/>
  <c r="AB6" i="6"/>
  <c r="AA9" i="6"/>
  <c r="BM9" i="6" s="1"/>
  <c r="AB9" i="6"/>
  <c r="AA8" i="6"/>
  <c r="BM8" i="6" s="1"/>
  <c r="AB8" i="6"/>
  <c r="AA18" i="6"/>
  <c r="AB18" i="6"/>
  <c r="AB7" i="6"/>
  <c r="AB17" i="6"/>
  <c r="AA17" i="6"/>
  <c r="K6" i="10" s="1"/>
  <c r="AB28" i="6"/>
  <c r="BN28" i="6" s="1"/>
  <c r="AB23" i="6"/>
  <c r="BN23" i="6" s="1"/>
  <c r="AB37" i="6"/>
  <c r="BN37" i="6" s="1"/>
  <c r="AB30" i="6"/>
  <c r="BN30" i="6" s="1"/>
  <c r="AA38" i="6"/>
  <c r="BM38" i="6" s="1"/>
  <c r="AB31" i="6"/>
  <c r="BN31" i="6" s="1"/>
  <c r="AA23" i="6"/>
  <c r="BM23" i="6" s="1"/>
  <c r="AA31" i="6"/>
  <c r="BM31" i="6" s="1"/>
  <c r="AB38" i="6"/>
  <c r="BN38" i="6" s="1"/>
  <c r="AB29" i="6"/>
  <c r="BN29" i="6" s="1"/>
  <c r="X19" i="6"/>
  <c r="Z15" i="6" s="1"/>
  <c r="X44" i="6"/>
  <c r="Z26" i="6" s="1"/>
  <c r="AB27" i="6"/>
  <c r="BN27" i="6" s="1"/>
  <c r="AA27" i="6"/>
  <c r="BM27" i="6" s="1"/>
  <c r="AB36" i="6"/>
  <c r="BN36" i="6" s="1"/>
  <c r="AA25" i="6"/>
  <c r="BM25" i="6" s="1"/>
  <c r="AA36" i="6"/>
  <c r="BM36" i="6" s="1"/>
  <c r="AA39" i="6"/>
  <c r="BM39" i="6" s="1"/>
  <c r="AB42" i="6"/>
  <c r="BN42" i="6" s="1"/>
  <c r="AA42" i="6"/>
  <c r="BM42" i="6" s="1"/>
  <c r="BH11" i="6"/>
  <c r="BL6" i="6" s="1"/>
  <c r="AB35" i="6"/>
  <c r="BN35" i="6" s="1"/>
  <c r="AB32" i="6"/>
  <c r="BN32" i="6" s="1"/>
  <c r="AA29" i="6"/>
  <c r="BM29" i="6" s="1"/>
  <c r="AA35" i="6"/>
  <c r="BM35" i="6" s="1"/>
  <c r="AB25" i="6"/>
  <c r="BN25" i="6" s="1"/>
  <c r="BS44" i="6"/>
  <c r="BT44" i="6"/>
  <c r="BH44" i="6"/>
  <c r="D25" i="15" s="1"/>
  <c r="BH19" i="6"/>
  <c r="AB22" i="6"/>
  <c r="BN22" i="6" s="1"/>
  <c r="Z7" i="6"/>
  <c r="Z10" i="6"/>
  <c r="Z9" i="6"/>
  <c r="Z8" i="6"/>
  <c r="CI11" i="6"/>
  <c r="CI19" i="6"/>
  <c r="CI44" i="6"/>
  <c r="U25" i="15" l="1"/>
  <c r="L18" i="6" s="1"/>
  <c r="L29" i="6"/>
  <c r="J29" i="6" s="1"/>
  <c r="D5" i="10"/>
  <c r="CR11" i="6"/>
  <c r="D15" i="10"/>
  <c r="D9" i="10"/>
  <c r="D7" i="10"/>
  <c r="D13" i="10"/>
  <c r="CR19" i="6"/>
  <c r="CQ44" i="6"/>
  <c r="Q23" i="6" s="1"/>
  <c r="S23" i="6" s="1"/>
  <c r="S6" i="6"/>
  <c r="Q6" i="6" s="1"/>
  <c r="S8" i="6"/>
  <c r="Q8" i="6" s="1"/>
  <c r="CR44" i="6"/>
  <c r="CQ11" i="6"/>
  <c r="Q21" i="6" s="1"/>
  <c r="S21" i="6" s="1"/>
  <c r="S7" i="6"/>
  <c r="Q7" i="6" s="1"/>
  <c r="CQ19" i="6"/>
  <c r="Q22" i="6" s="1"/>
  <c r="S22" i="6" s="1"/>
  <c r="BO14" i="6"/>
  <c r="BQ14" i="6" s="1"/>
  <c r="BU14" i="6" s="1"/>
  <c r="D14" i="10"/>
  <c r="D18" i="10"/>
  <c r="D21" i="10"/>
  <c r="BM7" i="6"/>
  <c r="D11" i="10"/>
  <c r="BM22" i="6"/>
  <c r="CD16" i="6" s="1"/>
  <c r="S29" i="6"/>
  <c r="P29" i="6" s="1"/>
  <c r="S28" i="6"/>
  <c r="Q28" i="6" s="1"/>
  <c r="S27" i="6"/>
  <c r="Q27" i="6" s="1"/>
  <c r="S31" i="6"/>
  <c r="Q31" i="6" s="1"/>
  <c r="S30" i="6"/>
  <c r="P30" i="6" s="1"/>
  <c r="D3" i="10"/>
  <c r="BO17" i="6"/>
  <c r="BP17" i="6" s="1"/>
  <c r="BO16" i="6"/>
  <c r="BP16" i="6" s="1"/>
  <c r="BL10" i="6"/>
  <c r="K13" i="10"/>
  <c r="BQ18" i="6"/>
  <c r="K5" i="10"/>
  <c r="BM10" i="6"/>
  <c r="Z14" i="6"/>
  <c r="BO15" i="6"/>
  <c r="BP15" i="6" s="1"/>
  <c r="BL9" i="6"/>
  <c r="BL16" i="6"/>
  <c r="BL7" i="6"/>
  <c r="BL18" i="6"/>
  <c r="BL17" i="6"/>
  <c r="BL14" i="6"/>
  <c r="BL8" i="6"/>
  <c r="BL15" i="6"/>
  <c r="D19" i="10"/>
  <c r="D12" i="10"/>
  <c r="AB11" i="6"/>
  <c r="BN11" i="6" s="1"/>
  <c r="AA11" i="6"/>
  <c r="F27" i="6"/>
  <c r="D27" i="6" s="1"/>
  <c r="D4" i="10"/>
  <c r="Z25" i="6"/>
  <c r="Z37" i="6"/>
  <c r="F29" i="6"/>
  <c r="D29" i="6" s="1"/>
  <c r="F30" i="6"/>
  <c r="D30" i="6" s="1"/>
  <c r="D22" i="10"/>
  <c r="Z41" i="6"/>
  <c r="Z33" i="6"/>
  <c r="Z22" i="6"/>
  <c r="Z30" i="6"/>
  <c r="Z38" i="6"/>
  <c r="Z29" i="6"/>
  <c r="K7" i="10"/>
  <c r="D24" i="10"/>
  <c r="K3" i="10"/>
  <c r="F31" i="6"/>
  <c r="D31" i="6" s="1"/>
  <c r="K14" i="10"/>
  <c r="L28" i="6"/>
  <c r="J28" i="6" s="1"/>
  <c r="L31" i="6"/>
  <c r="J31" i="6" s="1"/>
  <c r="L30" i="6"/>
  <c r="J30" i="6" s="1"/>
  <c r="L27" i="6"/>
  <c r="J27" i="6" s="1"/>
  <c r="Z18" i="6"/>
  <c r="Z17" i="6"/>
  <c r="D17" i="10"/>
  <c r="Z16" i="6"/>
  <c r="F28" i="6"/>
  <c r="D28" i="6" s="1"/>
  <c r="D16" i="10"/>
  <c r="Z36" i="6"/>
  <c r="Z28" i="6"/>
  <c r="Z35" i="6"/>
  <c r="Z27" i="6"/>
  <c r="Z42" i="6"/>
  <c r="Z34" i="6"/>
  <c r="Z43" i="6"/>
  <c r="D20" i="10"/>
  <c r="BM6" i="6"/>
  <c r="Z24" i="6"/>
  <c r="Z40" i="6"/>
  <c r="Z32" i="6"/>
  <c r="Z23" i="6"/>
  <c r="Z39" i="6"/>
  <c r="Z31" i="6"/>
  <c r="D6" i="10"/>
  <c r="D8" i="10"/>
  <c r="D23" i="10"/>
  <c r="D10" i="10"/>
  <c r="BP14" i="6" l="1"/>
  <c r="BQ16" i="6"/>
  <c r="BQ15" i="6"/>
  <c r="AA19" i="6"/>
  <c r="K8" i="10" s="1"/>
  <c r="BQ17" i="6"/>
  <c r="AB19" i="6"/>
  <c r="BN19" i="6" s="1"/>
  <c r="AB44" i="6"/>
  <c r="BN44" i="6" s="1"/>
  <c r="AA44" i="6"/>
  <c r="BM44" i="6" s="1"/>
  <c r="P27" i="6"/>
  <c r="Q30" i="6"/>
  <c r="P28" i="6"/>
  <c r="P31" i="6"/>
  <c r="Q29" i="6"/>
  <c r="BM11" i="6"/>
  <c r="L4" i="10" l="1"/>
  <c r="N4" i="10" s="1"/>
  <c r="O4" i="10" s="1"/>
  <c r="M4" i="10"/>
  <c r="K16" i="10"/>
  <c r="L12" i="10" s="1"/>
  <c r="N12" i="10" s="1"/>
  <c r="O12" i="10" s="1"/>
  <c r="BU19" i="6"/>
  <c r="BM19" i="6"/>
  <c r="D25" i="10"/>
  <c r="E24" i="10" s="1"/>
  <c r="G24" i="10" s="1"/>
  <c r="L7" i="10"/>
  <c r="N7" i="10" s="1"/>
  <c r="O7" i="10" s="1"/>
  <c r="L3" i="10"/>
  <c r="N3" i="10" s="1"/>
  <c r="L5" i="10"/>
  <c r="N5" i="10" s="1"/>
  <c r="O5" i="10" s="1"/>
  <c r="L6" i="10"/>
  <c r="N6" i="10" s="1"/>
  <c r="O6" i="10" s="1"/>
  <c r="M11" i="10"/>
  <c r="O11" i="10" s="1"/>
  <c r="M5" i="10"/>
  <c r="M13" i="10"/>
  <c r="M12" i="10"/>
  <c r="M6" i="10"/>
  <c r="M14" i="10"/>
  <c r="M7" i="10"/>
  <c r="M3" i="10"/>
  <c r="O3" i="10" s="1"/>
  <c r="M15" i="10"/>
  <c r="L13" i="10"/>
  <c r="N13" i="10" s="1"/>
  <c r="O13" i="10" s="1"/>
  <c r="L14" i="10" l="1"/>
  <c r="N14" i="10" s="1"/>
  <c r="O14" i="10" s="1"/>
  <c r="L15" i="10"/>
  <c r="N15" i="10" s="1"/>
  <c r="O15" i="10" s="1"/>
  <c r="L11" i="10"/>
  <c r="N11" i="10" s="1"/>
  <c r="E16" i="10"/>
  <c r="G16" i="10" s="1"/>
  <c r="E6" i="10"/>
  <c r="G6" i="10" s="1"/>
  <c r="E8" i="10"/>
  <c r="G8" i="10" s="1"/>
  <c r="F18" i="10"/>
  <c r="H18" i="10" s="1"/>
  <c r="F7" i="10"/>
  <c r="H7" i="10" s="1"/>
  <c r="F24" i="10"/>
  <c r="H24" i="10" s="1"/>
  <c r="F21" i="10"/>
  <c r="H21" i="10" s="1"/>
  <c r="F13" i="10"/>
  <c r="H13" i="10" s="1"/>
  <c r="F9" i="10"/>
  <c r="H9" i="10" s="1"/>
  <c r="F22" i="10"/>
  <c r="H22" i="10" s="1"/>
  <c r="F4" i="10"/>
  <c r="H4" i="10" s="1"/>
  <c r="F19" i="10"/>
  <c r="H19" i="10" s="1"/>
  <c r="F15" i="10"/>
  <c r="H15" i="10" s="1"/>
  <c r="F14" i="10"/>
  <c r="H14" i="10" s="1"/>
  <c r="F12" i="10"/>
  <c r="H12" i="10" s="1"/>
  <c r="F3" i="10"/>
  <c r="H3" i="10" s="1"/>
  <c r="F5" i="10"/>
  <c r="H5" i="10" s="1"/>
  <c r="F11" i="10"/>
  <c r="H11" i="10" s="1"/>
  <c r="F6" i="10"/>
  <c r="H6" i="10" s="1"/>
  <c r="F23" i="10"/>
  <c r="H23" i="10" s="1"/>
  <c r="F16" i="10"/>
  <c r="H16" i="10" s="1"/>
  <c r="F8" i="10"/>
  <c r="H8" i="10" s="1"/>
  <c r="F17" i="10"/>
  <c r="H17" i="10" s="1"/>
  <c r="F20" i="10"/>
  <c r="H20" i="10" s="1"/>
  <c r="F10" i="10"/>
  <c r="H10" i="10" s="1"/>
  <c r="E4" i="10"/>
  <c r="G4" i="10" s="1"/>
  <c r="E20" i="10"/>
  <c r="G20" i="10" s="1"/>
  <c r="E21" i="10"/>
  <c r="G21" i="10" s="1"/>
  <c r="E11" i="10"/>
  <c r="G11" i="10" s="1"/>
  <c r="E23" i="10"/>
  <c r="G23" i="10" s="1"/>
  <c r="E15" i="10"/>
  <c r="G15" i="10" s="1"/>
  <c r="E19" i="10"/>
  <c r="G19" i="10" s="1"/>
  <c r="E22" i="10"/>
  <c r="G22" i="10" s="1"/>
  <c r="E7" i="10"/>
  <c r="G7" i="10" s="1"/>
  <c r="E14" i="10"/>
  <c r="G14" i="10" s="1"/>
  <c r="E13" i="10"/>
  <c r="G13" i="10" s="1"/>
  <c r="E12" i="10"/>
  <c r="G12" i="10" s="1"/>
  <c r="E17" i="10"/>
  <c r="G17" i="10" s="1"/>
  <c r="E5" i="10"/>
  <c r="G5" i="10" s="1"/>
  <c r="E3" i="10"/>
  <c r="G3" i="10" s="1"/>
  <c r="E10" i="10"/>
  <c r="G10" i="10" s="1"/>
  <c r="E18" i="10"/>
  <c r="G18" i="10" s="1"/>
  <c r="E9" i="10"/>
  <c r="G9" i="10" s="1"/>
  <c r="BX16" i="6" l="1"/>
  <c r="BX19" i="6" s="1"/>
  <c r="BY27" i="6"/>
  <c r="BY44" i="6" s="1"/>
  <c r="F18" i="6" s="1"/>
  <c r="L20" i="6" s="1"/>
  <c r="BX44" i="6"/>
  <c r="L25" i="15" s="1"/>
  <c r="M8" i="15" l="1"/>
  <c r="BY16" i="6"/>
  <c r="BY19" i="6" s="1"/>
  <c r="S12" i="6"/>
  <c r="Q12" i="6" s="1"/>
  <c r="BZ27" i="6"/>
  <c r="S11" i="6" l="1"/>
  <c r="Q11" i="6" s="1"/>
  <c r="BZ16" i="6"/>
  <c r="BZ19" i="6" s="1"/>
  <c r="BZ44" i="6"/>
  <c r="N8" i="15"/>
  <c r="M25" i="15"/>
  <c r="K20" i="6" l="1"/>
  <c r="F20" i="6"/>
  <c r="N25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C5BD17-0AFE-44C8-97A3-721E2D510DCE}" keepAlive="1" name="Query - Applications" description="Connection to the 'Applications' query in the workbook." type="5" refreshedVersion="0" background="1">
    <dbPr connection="Provider=Microsoft.Mashup.OleDb.1;Data Source=$Workbook$;Location=Applications;Extended Properties=&quot;&quot;" command="SELECT * FROM [Applications]"/>
  </connection>
  <connection id="2" xr16:uid="{7EA13812-BDF9-4BD8-9905-7603504D1A19}" keepAlive="1" name="Query - Employee Leaves" description="Connection to the 'Employee Leaves' query in the workbook." type="5" refreshedVersion="0" background="1">
    <dbPr connection="Provider=Microsoft.Mashup.OleDb.1;Data Source=$Workbook$;Location=&quot;Employee Leaves&quot;;Extended Properties=&quot;&quot;" command="SELECT * FROM [Employee Leaves]"/>
  </connection>
  <connection id="3" xr16:uid="{82F750CE-5DE4-4952-9851-6AAF8CF8AE64}" keepAlive="1" name="Query - Employees" description="Connection to the 'Employees' query in the workbook." type="5" refreshedVersion="0" background="1">
    <dbPr connection="Provider=Microsoft.Mashup.OleDb.1;Data Source=$Workbook$;Location=Employees;Extended Properties=&quot;&quot;" command="SELECT * FROM [Employees]"/>
  </connection>
  <connection id="4" xr16:uid="{31DDE051-E60D-4836-BD6E-1B2ABFD43ACC}" keepAlive="1" name="Query - Exit Reasons" description="Connection to the 'Exit Reasons' query in the workbook." type="5" refreshedVersion="0" background="1" saveData="1">
    <dbPr connection="Provider=Microsoft.Mashup.OleDb.1;Data Source=$Workbook$;Location=&quot;Exit Reasons&quot;;Extended Properties=&quot;&quot;" command="SELECT * FROM [Exit Reasons]"/>
  </connection>
</connections>
</file>

<file path=xl/sharedStrings.xml><?xml version="1.0" encoding="utf-8"?>
<sst xmlns="http://schemas.openxmlformats.org/spreadsheetml/2006/main" count="3610" uniqueCount="280">
  <si>
    <t>Employee ID</t>
  </si>
  <si>
    <t>Department</t>
  </si>
  <si>
    <t>Team</t>
  </si>
  <si>
    <t>Location</t>
  </si>
  <si>
    <t>Hire Date</t>
  </si>
  <si>
    <t>Termination Date</t>
  </si>
  <si>
    <t>Termination Type</t>
  </si>
  <si>
    <t>Operations</t>
  </si>
  <si>
    <t>Biz Ops</t>
  </si>
  <si>
    <t>USA</t>
  </si>
  <si>
    <t>Compliance</t>
  </si>
  <si>
    <t>Talent Acquisition</t>
  </si>
  <si>
    <t>Finance</t>
  </si>
  <si>
    <t>Resignation (Voluntary)</t>
  </si>
  <si>
    <t>Termination (Involuntary)</t>
  </si>
  <si>
    <t>Sales</t>
  </si>
  <si>
    <t>Germany</t>
  </si>
  <si>
    <t>Spain</t>
  </si>
  <si>
    <t>Marketing</t>
  </si>
  <si>
    <t>Customer Marketing</t>
  </si>
  <si>
    <t>Leap</t>
  </si>
  <si>
    <t>Unknown</t>
  </si>
  <si>
    <t>Product &amp; Engineering</t>
  </si>
  <si>
    <t>Business Enablement</t>
  </si>
  <si>
    <t>Data Engineering</t>
  </si>
  <si>
    <t>Foundations</t>
  </si>
  <si>
    <t>Supply Chain</t>
  </si>
  <si>
    <t>Romania</t>
  </si>
  <si>
    <t>SRE</t>
  </si>
  <si>
    <t>Monetization Platform</t>
  </si>
  <si>
    <t>Activation</t>
  </si>
  <si>
    <t>Feedback</t>
  </si>
  <si>
    <t>Data Analytics</t>
  </si>
  <si>
    <t>Buyer Experience</t>
  </si>
  <si>
    <t>Security &amp; Auth</t>
  </si>
  <si>
    <t>Core UX</t>
  </si>
  <si>
    <t>Poland</t>
  </si>
  <si>
    <t>Customer Experience</t>
  </si>
  <si>
    <t>Success</t>
  </si>
  <si>
    <t>Support</t>
  </si>
  <si>
    <t>Work flexibility</t>
  </si>
  <si>
    <t>Neither lose nor gain</t>
  </si>
  <si>
    <t>Gain a little</t>
  </si>
  <si>
    <t>Lose a little</t>
  </si>
  <si>
    <t>No answer</t>
  </si>
  <si>
    <t>Gain a lot</t>
  </si>
  <si>
    <t>Vision clarity</t>
  </si>
  <si>
    <t>Values fit</t>
  </si>
  <si>
    <t>Perks</t>
  </si>
  <si>
    <t>Peer quality</t>
  </si>
  <si>
    <t>Office proximity</t>
  </si>
  <si>
    <t>Lose a lot</t>
  </si>
  <si>
    <t>Manager quality</t>
  </si>
  <si>
    <t>Long-term value of cash compensation</t>
  </si>
  <si>
    <t>Long-term career opportunity</t>
  </si>
  <si>
    <t>Long-term value of equity</t>
  </si>
  <si>
    <t>Learning and development opportunities</t>
  </si>
  <si>
    <t>Leadership team quality</t>
  </si>
  <si>
    <t>Job fit</t>
  </si>
  <si>
    <t>Immediate value of equity</t>
  </si>
  <si>
    <t>Immediate value of cash compensation</t>
  </si>
  <si>
    <t>Current job level</t>
  </si>
  <si>
    <t>Coordination and organization</t>
  </si>
  <si>
    <t>Company reputation</t>
  </si>
  <si>
    <t>Benefits</t>
  </si>
  <si>
    <t>Applicant ID</t>
  </si>
  <si>
    <t>Job Offered?</t>
  </si>
  <si>
    <t>Hired?</t>
  </si>
  <si>
    <t>Date Applied</t>
  </si>
  <si>
    <t>Date Hired</t>
  </si>
  <si>
    <t>Source</t>
  </si>
  <si>
    <t>No</t>
  </si>
  <si>
    <t>N/A</t>
  </si>
  <si>
    <t>Linkedin</t>
  </si>
  <si>
    <t>Glassdoor</t>
  </si>
  <si>
    <t>Yes</t>
  </si>
  <si>
    <t>Recommendation</t>
  </si>
  <si>
    <t>Other</t>
  </si>
  <si>
    <t>Indeed</t>
  </si>
  <si>
    <t>Instagram</t>
  </si>
  <si>
    <t>Leave Type</t>
  </si>
  <si>
    <t>Month</t>
  </si>
  <si>
    <t>Length (days)</t>
  </si>
  <si>
    <t>Maternity Leave</t>
  </si>
  <si>
    <t>January</t>
  </si>
  <si>
    <t>Paternity Leave</t>
  </si>
  <si>
    <t>Holiday</t>
  </si>
  <si>
    <t>Sick</t>
  </si>
  <si>
    <t>Others</t>
  </si>
  <si>
    <t>February</t>
  </si>
  <si>
    <t>March</t>
  </si>
  <si>
    <t>April</t>
  </si>
  <si>
    <t>May</t>
  </si>
  <si>
    <t>June</t>
  </si>
  <si>
    <t>#</t>
  </si>
  <si>
    <t>July</t>
  </si>
  <si>
    <t>August</t>
  </si>
  <si>
    <t>September</t>
  </si>
  <si>
    <t>October</t>
  </si>
  <si>
    <t>November</t>
  </si>
  <si>
    <t>December</t>
  </si>
  <si>
    <t>Planned Leave</t>
  </si>
  <si>
    <t>Unplanned Leave</t>
  </si>
  <si>
    <t>Total Planned</t>
  </si>
  <si>
    <t>Leave Count</t>
  </si>
  <si>
    <t>Total Days of Leave</t>
  </si>
  <si>
    <t>Employee Count</t>
  </si>
  <si>
    <t>Month #</t>
  </si>
  <si>
    <t>A</t>
  </si>
  <si>
    <t>Total Unplanned</t>
  </si>
  <si>
    <t>Total</t>
  </si>
  <si>
    <t>Total Count</t>
  </si>
  <si>
    <t>Resigned</t>
  </si>
  <si>
    <t>Terminated</t>
  </si>
  <si>
    <t>Currently Employed</t>
  </si>
  <si>
    <t xml:space="preserve"> </t>
  </si>
  <si>
    <t>Leaves</t>
  </si>
  <si>
    <t>Locations</t>
  </si>
  <si>
    <t>Absentee Rate</t>
  </si>
  <si>
    <t>Total Employees</t>
  </si>
  <si>
    <t>T. Days of Leave</t>
  </si>
  <si>
    <t>Absenteeism Rate</t>
  </si>
  <si>
    <t>Year</t>
  </si>
  <si>
    <t>Average Leave per Employee</t>
  </si>
  <si>
    <t>Average Leave Days per Employee</t>
  </si>
  <si>
    <t>Weight</t>
  </si>
  <si>
    <t>Weighted Average:</t>
  </si>
  <si>
    <t>Key Insights</t>
  </si>
  <si>
    <t>Rank</t>
  </si>
  <si>
    <t>Labels</t>
  </si>
  <si>
    <t>Top 3 Labels</t>
  </si>
  <si>
    <t>Conditional Label</t>
  </si>
  <si>
    <t>No Data Labels</t>
  </si>
  <si>
    <t>Data Validation</t>
  </si>
  <si>
    <r>
      <t xml:space="preserve">Show </t>
    </r>
    <r>
      <rPr>
        <b/>
        <sz val="10"/>
        <color rgb="FF000000"/>
        <rFont val="Arial"/>
        <family val="2"/>
        <scheme val="minor"/>
      </rPr>
      <t>Top 3</t>
    </r>
    <r>
      <rPr>
        <sz val="10"/>
        <color rgb="FF000000"/>
        <rFont val="Arial"/>
        <family val="2"/>
        <scheme val="minor"/>
      </rPr>
      <t xml:space="preserve"> Above Weighted Average</t>
    </r>
  </si>
  <si>
    <t>Show All Above Weighted Average</t>
  </si>
  <si>
    <t>Show Top 3 Above Weighted Average</t>
  </si>
  <si>
    <t>All Labels</t>
  </si>
  <si>
    <t>Ab Rate</t>
  </si>
  <si>
    <t>W. Average</t>
  </si>
  <si>
    <t>Ab. Rate</t>
  </si>
  <si>
    <t>Locations Ranked by Absenteeism</t>
  </si>
  <si>
    <t>Departments Ranked by Absenteeism</t>
  </si>
  <si>
    <t>Teams Ranked by Absenteeism</t>
  </si>
  <si>
    <t>Abs. Rate</t>
  </si>
  <si>
    <t>Onet Link</t>
  </si>
  <si>
    <t>https://www.onetonline.org/link/summary/43-4051.00</t>
  </si>
  <si>
    <t>Hourly Wage</t>
  </si>
  <si>
    <t>Daily Wage</t>
  </si>
  <si>
    <t>OT Rate</t>
  </si>
  <si>
    <t>ONET Classification</t>
  </si>
  <si>
    <t>Customer Service Representatives</t>
  </si>
  <si>
    <t>Market Research Analysts and Marketing Specialists</t>
  </si>
  <si>
    <t>https://www.onetonline.org/link/summary/13-1161.00</t>
  </si>
  <si>
    <t>Business Operations Specialists, All Other</t>
  </si>
  <si>
    <t>https://www.onetonline.org/link/summary/13-1199.00</t>
  </si>
  <si>
    <t>Compliance Officers</t>
  </si>
  <si>
    <t>https://www.onetonline.org/link/summary/13-1041.00</t>
  </si>
  <si>
    <t>https://www.onetonline.org/link/summary/13-1041.01</t>
  </si>
  <si>
    <t>https://www.onetonline.org/link/summary/13-1041.02</t>
  </si>
  <si>
    <t>https://www.onetonline.org/link/summary/13-1041.03</t>
  </si>
  <si>
    <t>https://www.onetonline.org/link/summary/13-1041.04</t>
  </si>
  <si>
    <t>https://www.onetonline.org/link/summary/13-1041.05</t>
  </si>
  <si>
    <t>https://www.onetonline.org/link/summary/13-1041.06</t>
  </si>
  <si>
    <t>https://www.onetonline.org/link/summary/13-1041.07</t>
  </si>
  <si>
    <t>https://www.onetonline.org/link/summary/13-2051.00</t>
  </si>
  <si>
    <t>Financial and Investment Analysts</t>
  </si>
  <si>
    <t>Human Resources Specialists</t>
  </si>
  <si>
    <t>https://www.onetonline.org/link/summary/13-1071.00</t>
  </si>
  <si>
    <t>Computer User Support Specialists</t>
  </si>
  <si>
    <t>https://www.onetonline.org/link/summary/15-1232.00</t>
  </si>
  <si>
    <t>Tenure (Days)</t>
  </si>
  <si>
    <t>Computer Occupations, All Other</t>
  </si>
  <si>
    <t>https://www.onetonline.org/link/summary/15-1299.00</t>
  </si>
  <si>
    <t>Web and Digital Interface Designers</t>
  </si>
  <si>
    <t>https://www.onetonline.org/link/summary/15-1255.00</t>
  </si>
  <si>
    <t>Data Scientists</t>
  </si>
  <si>
    <t>https://www.onetonline.org/link/summary/15-2051.00</t>
  </si>
  <si>
    <t>Information Security Engineers</t>
  </si>
  <si>
    <t>https://www.onetonline.org/link/summary/15-1299.05</t>
  </si>
  <si>
    <t>Logistics Analysts</t>
  </si>
  <si>
    <t>https://www.onetonline.org/link/summary/13-1081.02</t>
  </si>
  <si>
    <t>Sales and Related Workers, All Other</t>
  </si>
  <si>
    <t>https://www.onetonline.org/link/summary/41-9099.00</t>
  </si>
  <si>
    <t>Hourly Rate</t>
  </si>
  <si>
    <t>Daily Cost</t>
  </si>
  <si>
    <t>Overtime Rate</t>
  </si>
  <si>
    <t>Daily Rate</t>
  </si>
  <si>
    <t>Workdays</t>
  </si>
  <si>
    <t>Cost Analysis</t>
  </si>
  <si>
    <t>i</t>
  </si>
  <si>
    <t>Total Overtime Cost</t>
  </si>
  <si>
    <t>Total Hourly Cost</t>
  </si>
  <si>
    <t>Total Daily Cost</t>
  </si>
  <si>
    <t>Avg OT Rate</t>
  </si>
  <si>
    <t>Avg Daily Rate</t>
  </si>
  <si>
    <t>Avg. Hourly Rate</t>
  </si>
  <si>
    <t>Wage Source</t>
  </si>
  <si>
    <t>Weighted Rate</t>
  </si>
  <si>
    <t>Cost (Hourly) (W. Avg)</t>
  </si>
  <si>
    <t>Overtime Rate (W. Avg)</t>
  </si>
  <si>
    <t>Daily Cost (W. Avg)</t>
  </si>
  <si>
    <r>
      <t>Detailed Cost of Abs</t>
    </r>
    <r>
      <rPr>
        <b/>
        <vertAlign val="superscript"/>
        <sz val="10"/>
        <color rgb="FF000000"/>
        <rFont val="Arial"/>
        <family val="2"/>
        <scheme val="minor"/>
      </rPr>
      <t>1</t>
    </r>
  </si>
  <si>
    <t>Days of Leave</t>
  </si>
  <si>
    <t>Cost of OT</t>
  </si>
  <si>
    <t>Missing Hours</t>
  </si>
  <si>
    <t>Cost of Abs.</t>
  </si>
  <si>
    <t>Cost of Absenteeism (Leave Days x Daily Rate)</t>
  </si>
  <si>
    <t>Cost of Overtime (Leave Days * 8 * Overtime Rate)</t>
  </si>
  <si>
    <t>Cost of Absenteeism Checker (Select team from Drop-down Menu)</t>
  </si>
  <si>
    <t>Total Workdays</t>
  </si>
  <si>
    <t>Start Date ⬇</t>
  </si>
  <si>
    <t>End Date ⬇</t>
  </si>
  <si>
    <t>Absenteeism Report Range:</t>
  </si>
  <si>
    <t>Turnover Rate</t>
  </si>
  <si>
    <t>Turnover Analysis (Based on All Data)</t>
  </si>
  <si>
    <t>Correlation (R^2)</t>
  </si>
  <si>
    <t>Category</t>
  </si>
  <si>
    <t>Total Leave Days</t>
  </si>
  <si>
    <t>Correlation Between Absenteeism and Turnover</t>
  </si>
  <si>
    <t>Result</t>
  </si>
  <si>
    <r>
      <t>R</t>
    </r>
    <r>
      <rPr>
        <b/>
        <vertAlign val="superscript"/>
        <sz val="10"/>
        <color rgb="FF000000"/>
        <rFont val="Arial"/>
        <family val="2"/>
        <scheme val="minor"/>
      </rPr>
      <t>2</t>
    </r>
    <r>
      <rPr>
        <b/>
        <sz val="10"/>
        <color rgb="FF000000"/>
        <rFont val="Arial"/>
        <family val="2"/>
        <scheme val="minor"/>
      </rPr>
      <t xml:space="preserve"> Value (Correlation)</t>
    </r>
  </si>
  <si>
    <t>All Locations</t>
  </si>
  <si>
    <t>All Departments</t>
  </si>
  <si>
    <t>All Teams</t>
  </si>
  <si>
    <t>Data Label Options:</t>
  </si>
  <si>
    <t>Unplanned Leave (days)</t>
  </si>
  <si>
    <t>Highest Costs of Absenteeism by Category</t>
  </si>
  <si>
    <t>Highest Turnover Rates by Category</t>
  </si>
  <si>
    <t>Count (Days)</t>
  </si>
  <si>
    <t>Most Sick Leave Days Taken</t>
  </si>
  <si>
    <t>Most Holiday Leave Days Taken</t>
  </si>
  <si>
    <t>Holiday Count</t>
  </si>
  <si>
    <t>Sick Count</t>
  </si>
  <si>
    <t>Holiday Code</t>
  </si>
  <si>
    <t>Sick Code</t>
  </si>
  <si>
    <t>R-squared</t>
  </si>
  <si>
    <t>Sick Days Taken</t>
  </si>
  <si>
    <t>Holiday Days Taken</t>
  </si>
  <si>
    <t>Combined</t>
  </si>
  <si>
    <t>Employee Correlation between Holiday and Sick Leave:</t>
  </si>
  <si>
    <t>Unplanned Leave %</t>
  </si>
  <si>
    <t>Total Planned + Unplanned</t>
  </si>
  <si>
    <t>Avg. Cost per Employee</t>
  </si>
  <si>
    <t>Average Total Absenteeism Rate</t>
  </si>
  <si>
    <t>Average Planned Absenteeism</t>
  </si>
  <si>
    <t>Average Unplanned Absenteeism</t>
  </si>
  <si>
    <t>TOTAL EMPLOYEES</t>
  </si>
  <si>
    <t>TOTAL LEAVE DAYS TAKEN</t>
  </si>
  <si>
    <t>Average Cost of Absenteeism per Employee</t>
  </si>
  <si>
    <t>Total Cost of Absenteeism</t>
  </si>
  <si>
    <t>Total Cost of OT</t>
  </si>
  <si>
    <t>Overtime Cost of Planned Absenteeism</t>
  </si>
  <si>
    <t>Overtime Cost of Unplanned Absenteeism</t>
  </si>
  <si>
    <t>Cost of OT (Planned)</t>
  </si>
  <si>
    <t>Cost of OT (Unplanned)</t>
  </si>
  <si>
    <t>New</t>
  </si>
  <si>
    <t>New Planned</t>
  </si>
  <si>
    <t xml:space="preserve">New Unplanned </t>
  </si>
  <si>
    <r>
      <rPr>
        <sz val="12"/>
        <color rgb="FF000000"/>
        <rFont val="Arial"/>
        <family val="2"/>
        <scheme val="minor"/>
      </rPr>
      <t xml:space="preserve">Change in </t>
    </r>
    <r>
      <rPr>
        <b/>
        <sz val="12"/>
        <color rgb="FF000000"/>
        <rFont val="Arial"/>
        <family val="2"/>
        <scheme val="minor"/>
      </rPr>
      <t>Planned Leave</t>
    </r>
  </si>
  <si>
    <r>
      <rPr>
        <sz val="12"/>
        <color rgb="FF000000"/>
        <rFont val="Arial"/>
        <family val="2"/>
        <scheme val="minor"/>
      </rPr>
      <t xml:space="preserve">Change in </t>
    </r>
    <r>
      <rPr>
        <b/>
        <sz val="12"/>
        <color rgb="FF000000"/>
        <rFont val="Arial"/>
        <family val="2"/>
        <scheme val="minor"/>
      </rPr>
      <t>Unplanned Leave</t>
    </r>
  </si>
  <si>
    <t>New Total Cost of Absenteeism</t>
  </si>
  <si>
    <t>New Overtime Cost of Planned Absenteeism</t>
  </si>
  <si>
    <t>New Overtime Cost of Unplanned Absenteeism</t>
  </si>
  <si>
    <t>Percentages</t>
  </si>
  <si>
    <t>Modifier</t>
  </si>
  <si>
    <t>Unplanned Modifier</t>
  </si>
  <si>
    <t>Planned Modifier</t>
  </si>
  <si>
    <t>New Average Cost of Absenteeism per Employee</t>
  </si>
  <si>
    <t>Detailed Cost of Abs.</t>
  </si>
  <si>
    <t>Estimated Change in Cost:</t>
  </si>
  <si>
    <t>(Select from Drop-down menu)</t>
  </si>
  <si>
    <t>Planned Absence Modifier</t>
  </si>
  <si>
    <t>Planned Absentee Replacement Efficiency:</t>
  </si>
  <si>
    <t>Highest Absenteeism Rates by Category</t>
  </si>
  <si>
    <t>Cost of Absenteeism Simulator</t>
  </si>
  <si>
    <t>Used to simulate cost changes after adjusting absenteeism rate</t>
  </si>
  <si>
    <t>% of absentee workload that can be completed without OT</t>
  </si>
  <si>
    <t>Basic Cost of Absenteeism</t>
  </si>
  <si>
    <r>
      <rPr>
        <b/>
        <sz val="11"/>
        <color rgb="FF000000"/>
        <rFont val="Arial"/>
        <family val="2"/>
        <scheme val="minor"/>
      </rPr>
      <t>Total Cost of Absenteeism:</t>
    </r>
    <r>
      <rPr>
        <sz val="11"/>
        <color rgb="FF000000"/>
        <rFont val="Arial"/>
        <family val="2"/>
        <scheme val="minor"/>
      </rPr>
      <t xml:space="preserve"> (Basic CoA) + (Planned Overtime CoA) + (Unplanned Overtime CoA)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</si>
</sst>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&quot;$&quot;#,##0.00"/>
    <numFmt numFmtId="166" formatCode="&quot;$&quot;#,##0"/>
    <numFmt numFmtId="167" formatCode="0.0000"/>
    <numFmt numFmtId="168" formatCode="#,##0.0000"/>
  </numFmts>
  <fonts count="2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Monospace"/>
    </font>
    <font>
      <b/>
      <sz val="12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vertAlign val="superscript"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24"/>
      <color rgb="FF000000"/>
      <name val="Arial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6565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CBD9F9"/>
        <bgColor indexed="64"/>
      </patternFill>
    </fill>
    <fill>
      <patternFill patternType="solid">
        <fgColor rgb="FF84A5F0"/>
        <bgColor indexed="64"/>
      </patternFill>
    </fill>
    <fill>
      <patternFill patternType="solid">
        <fgColor rgb="FFB0C6F6"/>
        <bgColor indexed="64"/>
      </patternFill>
    </fill>
    <fill>
      <patternFill patternType="solid">
        <fgColor rgb="FFBA9FE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296A7"/>
        <bgColor indexed="64"/>
      </patternFill>
    </fill>
    <fill>
      <patternFill patternType="solid">
        <fgColor rgb="FF5B8EB9"/>
        <bgColor indexed="64"/>
      </patternFill>
    </fill>
    <fill>
      <patternFill patternType="solid">
        <fgColor rgb="FFB390C6"/>
        <bgColor indexed="64"/>
      </patternFill>
    </fill>
    <fill>
      <patternFill patternType="solid">
        <fgColor rgb="FFFA9898"/>
        <bgColor indexed="64"/>
      </patternFill>
    </fill>
    <fill>
      <patternFill patternType="solid">
        <fgColor rgb="FFFEDBB8"/>
        <bgColor indexed="64"/>
      </patternFill>
    </fill>
    <fill>
      <patternFill patternType="solid">
        <fgColor rgb="FFFFF0E1"/>
        <bgColor indexed="64"/>
      </patternFill>
    </fill>
    <fill>
      <patternFill patternType="solid">
        <fgColor rgb="FFFDD7D7"/>
        <bgColor indexed="64"/>
      </patternFill>
    </fill>
    <fill>
      <patternFill patternType="solid">
        <fgColor rgb="FFF0DCE2"/>
        <bgColor indexed="64"/>
      </patternFill>
    </fill>
    <fill>
      <patternFill patternType="solid">
        <fgColor rgb="FFECE3F1"/>
        <bgColor indexed="64"/>
      </patternFill>
    </fill>
    <fill>
      <patternFill patternType="solid">
        <fgColor rgb="FFD6E3EE"/>
        <bgColor indexed="64"/>
      </patternFill>
    </fill>
    <fill>
      <patternFill patternType="solid">
        <fgColor rgb="FFB0C8D4"/>
        <bgColor indexed="64"/>
      </patternFill>
    </fill>
    <fill>
      <patternFill patternType="solid">
        <fgColor rgb="FF729DB2"/>
        <bgColor indexed="64"/>
      </patternFill>
    </fill>
    <fill>
      <patternFill patternType="solid">
        <fgColor rgb="FF93BFB3"/>
        <bgColor indexed="64"/>
      </patternFill>
    </fill>
    <fill>
      <patternFill patternType="solid">
        <fgColor rgb="FFCFE3DE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39EF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BDBE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0B1C2"/>
        <bgColor indexed="64"/>
      </patternFill>
    </fill>
    <fill>
      <patternFill patternType="solid">
        <fgColor rgb="FFFDE7A1"/>
        <bgColor indexed="64"/>
      </patternFill>
    </fill>
    <fill>
      <patternFill patternType="solid">
        <fgColor rgb="FFB4D4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AD694"/>
        <bgColor indexed="64"/>
      </patternFill>
    </fill>
    <fill>
      <patternFill patternType="solid">
        <fgColor rgb="FFC9EFD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BDED"/>
        <bgColor indexed="64"/>
      </patternFill>
    </fill>
    <fill>
      <patternFill patternType="solid">
        <fgColor rgb="FFDCE5F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ED7DD"/>
        <bgColor indexed="64"/>
      </patternFill>
    </fill>
    <fill>
      <patternFill patternType="solid">
        <fgColor rgb="FFFDD868"/>
        <bgColor indexed="64"/>
      </patternFill>
    </fill>
    <fill>
      <patternFill patternType="solid">
        <fgColor rgb="FFC9ECEF"/>
        <bgColor indexed="64"/>
      </patternFill>
    </fill>
    <fill>
      <patternFill patternType="solid">
        <fgColor rgb="FFFEECE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DCFC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149998474074526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7E5FD"/>
        <bgColor indexed="64"/>
      </patternFill>
    </fill>
    <fill>
      <patternFill patternType="solid">
        <fgColor rgb="FFAFCAFB"/>
        <bgColor indexed="64"/>
      </patternFill>
    </fill>
    <fill>
      <patternFill patternType="solid">
        <fgColor rgb="FF5D92E1"/>
        <bgColor indexed="64"/>
      </patternFill>
    </fill>
    <fill>
      <patternFill patternType="solid">
        <fgColor rgb="FF98BAEC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6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0" fillId="15" borderId="65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16" borderId="26" xfId="0" applyFont="1" applyFill="1" applyBorder="1" applyAlignment="1">
      <alignment horizontal="center" vertical="center"/>
    </xf>
    <xf numFmtId="0" fontId="3" fillId="16" borderId="19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3" fillId="13" borderId="9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/>
    </xf>
    <xf numFmtId="0" fontId="5" fillId="16" borderId="25" xfId="0" applyFont="1" applyFill="1" applyBorder="1" applyAlignment="1">
      <alignment horizontal="center"/>
    </xf>
    <xf numFmtId="0" fontId="5" fillId="16" borderId="27" xfId="0" applyFont="1" applyFill="1" applyBorder="1" applyAlignment="1">
      <alignment horizontal="center"/>
    </xf>
    <xf numFmtId="0" fontId="3" fillId="16" borderId="4" xfId="0" applyFont="1" applyFill="1" applyBorder="1" applyAlignment="1">
      <alignment horizontal="center" vertical="center"/>
    </xf>
    <xf numFmtId="0" fontId="3" fillId="16" borderId="13" xfId="0" applyFont="1" applyFill="1" applyBorder="1" applyAlignment="1">
      <alignment horizontal="center" vertical="center"/>
    </xf>
    <xf numFmtId="0" fontId="6" fillId="21" borderId="9" xfId="0" applyFont="1" applyFill="1" applyBorder="1" applyAlignment="1">
      <alignment horizontal="right" indent="1"/>
    </xf>
    <xf numFmtId="0" fontId="6" fillId="22" borderId="24" xfId="0" applyFont="1" applyFill="1" applyBorder="1" applyAlignment="1">
      <alignment horizontal="right" indent="1"/>
    </xf>
    <xf numFmtId="0" fontId="6" fillId="22" borderId="11" xfId="0" applyFont="1" applyFill="1" applyBorder="1" applyAlignment="1">
      <alignment horizontal="right" indent="1"/>
    </xf>
    <xf numFmtId="0" fontId="6" fillId="22" borderId="66" xfId="0" applyFont="1" applyFill="1" applyBorder="1" applyAlignment="1">
      <alignment horizontal="right" indent="1"/>
    </xf>
    <xf numFmtId="0" fontId="6" fillId="22" borderId="21" xfId="0" applyFont="1" applyFill="1" applyBorder="1" applyAlignment="1">
      <alignment horizontal="right" indent="1"/>
    </xf>
    <xf numFmtId="0" fontId="6" fillId="22" borderId="18" xfId="0" applyFont="1" applyFill="1" applyBorder="1" applyAlignment="1">
      <alignment horizontal="right" indent="1"/>
    </xf>
    <xf numFmtId="0" fontId="6" fillId="22" borderId="23" xfId="0" applyFont="1" applyFill="1" applyBorder="1" applyAlignment="1">
      <alignment horizontal="right" indent="1"/>
    </xf>
    <xf numFmtId="0" fontId="6" fillId="20" borderId="24" xfId="0" applyFont="1" applyFill="1" applyBorder="1" applyAlignment="1">
      <alignment horizontal="right" indent="1"/>
    </xf>
    <xf numFmtId="0" fontId="6" fillId="20" borderId="11" xfId="0" applyFont="1" applyFill="1" applyBorder="1" applyAlignment="1">
      <alignment horizontal="right" indent="1"/>
    </xf>
    <xf numFmtId="0" fontId="6" fillId="20" borderId="12" xfId="0" applyFont="1" applyFill="1" applyBorder="1" applyAlignment="1">
      <alignment horizontal="right" indent="1"/>
    </xf>
    <xf numFmtId="0" fontId="6" fillId="20" borderId="21" xfId="0" applyFont="1" applyFill="1" applyBorder="1" applyAlignment="1">
      <alignment horizontal="right" indent="1"/>
    </xf>
    <xf numFmtId="0" fontId="6" fillId="20" borderId="18" xfId="0" applyFont="1" applyFill="1" applyBorder="1" applyAlignment="1">
      <alignment horizontal="right" indent="1"/>
    </xf>
    <xf numFmtId="0" fontId="6" fillId="20" borderId="19" xfId="0" applyFont="1" applyFill="1" applyBorder="1" applyAlignment="1">
      <alignment horizontal="right" indent="1"/>
    </xf>
    <xf numFmtId="0" fontId="6" fillId="23" borderId="21" xfId="0" applyFont="1" applyFill="1" applyBorder="1" applyAlignment="1">
      <alignment horizontal="right" indent="1"/>
    </xf>
    <xf numFmtId="0" fontId="6" fillId="23" borderId="18" xfId="0" applyFont="1" applyFill="1" applyBorder="1" applyAlignment="1">
      <alignment horizontal="right" indent="1"/>
    </xf>
    <xf numFmtId="0" fontId="6" fillId="23" borderId="19" xfId="0" applyFont="1" applyFill="1" applyBorder="1" applyAlignment="1">
      <alignment horizontal="right" indent="1"/>
    </xf>
    <xf numFmtId="0" fontId="6" fillId="23" borderId="24" xfId="0" applyFont="1" applyFill="1" applyBorder="1" applyAlignment="1">
      <alignment horizontal="right" indent="1"/>
    </xf>
    <xf numFmtId="0" fontId="6" fillId="23" borderId="11" xfId="0" applyFont="1" applyFill="1" applyBorder="1" applyAlignment="1">
      <alignment horizontal="right" indent="1"/>
    </xf>
    <xf numFmtId="0" fontId="6" fillId="23" borderId="12" xfId="0" applyFont="1" applyFill="1" applyBorder="1" applyAlignment="1">
      <alignment horizontal="right" indent="1"/>
    </xf>
    <xf numFmtId="0" fontId="6" fillId="24" borderId="24" xfId="0" applyFont="1" applyFill="1" applyBorder="1" applyAlignment="1">
      <alignment horizontal="right" indent="1"/>
    </xf>
    <xf numFmtId="0" fontId="6" fillId="24" borderId="12" xfId="0" applyFont="1" applyFill="1" applyBorder="1" applyAlignment="1">
      <alignment horizontal="right" indent="1"/>
    </xf>
    <xf numFmtId="0" fontId="6" fillId="24" borderId="21" xfId="0" applyFont="1" applyFill="1" applyBorder="1" applyAlignment="1">
      <alignment horizontal="right" indent="1"/>
    </xf>
    <xf numFmtId="0" fontId="6" fillId="24" borderId="19" xfId="0" applyFont="1" applyFill="1" applyBorder="1" applyAlignment="1">
      <alignment horizontal="right" indent="1"/>
    </xf>
    <xf numFmtId="0" fontId="0" fillId="25" borderId="24" xfId="0" applyFill="1" applyBorder="1" applyAlignment="1">
      <alignment horizontal="left" vertical="center" indent="1"/>
    </xf>
    <xf numFmtId="0" fontId="0" fillId="25" borderId="12" xfId="0" applyFill="1" applyBorder="1" applyAlignment="1">
      <alignment horizontal="left" vertical="center" indent="1"/>
    </xf>
    <xf numFmtId="0" fontId="0" fillId="26" borderId="24" xfId="0" applyFill="1" applyBorder="1" applyAlignment="1">
      <alignment horizontal="left" vertical="center" indent="1"/>
    </xf>
    <xf numFmtId="0" fontId="0" fillId="26" borderId="11" xfId="0" applyFill="1" applyBorder="1" applyAlignment="1">
      <alignment horizontal="left" vertical="center" indent="1"/>
    </xf>
    <xf numFmtId="0" fontId="0" fillId="26" borderId="12" xfId="0" applyFill="1" applyBorder="1" applyAlignment="1">
      <alignment horizontal="left" vertical="center" indent="1"/>
    </xf>
    <xf numFmtId="0" fontId="0" fillId="27" borderId="24" xfId="0" applyFill="1" applyBorder="1" applyAlignment="1">
      <alignment horizontal="left" vertical="center" indent="1"/>
    </xf>
    <xf numFmtId="0" fontId="0" fillId="27" borderId="11" xfId="0" applyFill="1" applyBorder="1" applyAlignment="1">
      <alignment horizontal="left" vertical="center" indent="1"/>
    </xf>
    <xf numFmtId="0" fontId="0" fillId="27" borderId="12" xfId="0" applyFill="1" applyBorder="1" applyAlignment="1">
      <alignment horizontal="left" vertical="center" indent="1"/>
    </xf>
    <xf numFmtId="0" fontId="0" fillId="27" borderId="29" xfId="0" applyFill="1" applyBorder="1" applyAlignment="1">
      <alignment horizontal="left" vertical="center" indent="1"/>
    </xf>
    <xf numFmtId="0" fontId="0" fillId="27" borderId="2" xfId="0" applyFill="1" applyBorder="1" applyAlignment="1">
      <alignment horizontal="left" vertical="center" indent="1"/>
    </xf>
    <xf numFmtId="0" fontId="0" fillId="27" borderId="64" xfId="0" applyFill="1" applyBorder="1" applyAlignment="1">
      <alignment horizontal="left" vertical="center" indent="1"/>
    </xf>
    <xf numFmtId="0" fontId="0" fillId="26" borderId="29" xfId="0" applyFill="1" applyBorder="1" applyAlignment="1">
      <alignment horizontal="left" vertical="center" indent="1"/>
    </xf>
    <xf numFmtId="0" fontId="0" fillId="26" borderId="2" xfId="0" applyFill="1" applyBorder="1" applyAlignment="1">
      <alignment horizontal="left" vertical="center" indent="1"/>
    </xf>
    <xf numFmtId="0" fontId="0" fillId="26" borderId="64" xfId="0" applyFill="1" applyBorder="1" applyAlignment="1">
      <alignment horizontal="left" vertical="center" indent="1"/>
    </xf>
    <xf numFmtId="0" fontId="0" fillId="25" borderId="29" xfId="0" applyFill="1" applyBorder="1" applyAlignment="1">
      <alignment horizontal="left" vertical="center" indent="1"/>
    </xf>
    <xf numFmtId="0" fontId="0" fillId="25" borderId="64" xfId="0" applyFill="1" applyBorder="1" applyAlignment="1">
      <alignment horizontal="left" vertical="center" indent="1"/>
    </xf>
    <xf numFmtId="0" fontId="0" fillId="28" borderId="24" xfId="0" applyFill="1" applyBorder="1" applyAlignment="1">
      <alignment horizontal="left" vertical="center" indent="1"/>
    </xf>
    <xf numFmtId="0" fontId="0" fillId="28" borderId="11" xfId="0" applyFill="1" applyBorder="1" applyAlignment="1">
      <alignment horizontal="left" vertical="center" indent="1"/>
    </xf>
    <xf numFmtId="0" fontId="0" fillId="28" borderId="66" xfId="0" applyFill="1" applyBorder="1" applyAlignment="1">
      <alignment horizontal="left" vertical="center" indent="1"/>
    </xf>
    <xf numFmtId="0" fontId="0" fillId="28" borderId="29" xfId="0" applyFill="1" applyBorder="1" applyAlignment="1">
      <alignment horizontal="left" vertical="center" indent="1"/>
    </xf>
    <xf numFmtId="0" fontId="0" fillId="28" borderId="2" xfId="0" applyFill="1" applyBorder="1" applyAlignment="1">
      <alignment horizontal="left" vertical="center" indent="1"/>
    </xf>
    <xf numFmtId="0" fontId="0" fillId="28" borderId="30" xfId="0" applyFill="1" applyBorder="1" applyAlignment="1">
      <alignment horizontal="left" vertical="center" indent="1"/>
    </xf>
    <xf numFmtId="0" fontId="0" fillId="29" borderId="31" xfId="0" applyFill="1" applyBorder="1" applyAlignment="1">
      <alignment horizontal="left" vertical="center" indent="1"/>
    </xf>
    <xf numFmtId="0" fontId="0" fillId="29" borderId="9" xfId="0" applyFill="1" applyBorder="1" applyAlignment="1">
      <alignment horizontal="left" vertical="center" indent="1"/>
    </xf>
    <xf numFmtId="0" fontId="3" fillId="30" borderId="25" xfId="0" applyFont="1" applyFill="1" applyBorder="1" applyAlignment="1">
      <alignment horizontal="center" vertical="center"/>
    </xf>
    <xf numFmtId="0" fontId="3" fillId="31" borderId="25" xfId="0" applyFont="1" applyFill="1" applyBorder="1" applyAlignment="1">
      <alignment horizontal="center" vertical="center"/>
    </xf>
    <xf numFmtId="0" fontId="3" fillId="30" borderId="4" xfId="0" applyFont="1" applyFill="1" applyBorder="1" applyAlignment="1">
      <alignment horizontal="center" vertical="center"/>
    </xf>
    <xf numFmtId="0" fontId="3" fillId="31" borderId="4" xfId="0" applyFon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3" fillId="16" borderId="27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16" borderId="25" xfId="0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34" borderId="26" xfId="0" applyFill="1" applyBorder="1"/>
    <xf numFmtId="0" fontId="0" fillId="34" borderId="61" xfId="0" applyFill="1" applyBorder="1"/>
    <xf numFmtId="0" fontId="0" fillId="34" borderId="70" xfId="0" applyFill="1" applyBorder="1"/>
    <xf numFmtId="0" fontId="0" fillId="34" borderId="22" xfId="0" applyFill="1" applyBorder="1"/>
    <xf numFmtId="0" fontId="0" fillId="34" borderId="56" xfId="0" applyFill="1" applyBorder="1"/>
    <xf numFmtId="0" fontId="0" fillId="34" borderId="62" xfId="0" applyFill="1" applyBorder="1"/>
    <xf numFmtId="0" fontId="0" fillId="34" borderId="27" xfId="0" applyFill="1" applyBorder="1"/>
    <xf numFmtId="0" fontId="0" fillId="34" borderId="65" xfId="0" applyFill="1" applyBorder="1"/>
    <xf numFmtId="0" fontId="3" fillId="0" borderId="55" xfId="0" applyFont="1" applyBorder="1" applyAlignment="1">
      <alignment horizontal="center" vertical="center"/>
    </xf>
    <xf numFmtId="10" fontId="0" fillId="0" borderId="29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64" xfId="0" applyNumberFormat="1" applyBorder="1" applyAlignment="1">
      <alignment horizontal="center" vertical="center"/>
    </xf>
    <xf numFmtId="10" fontId="0" fillId="0" borderId="55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3" fillId="4" borderId="55" xfId="0" applyFont="1" applyFill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6" fillId="0" borderId="47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3" fillId="37" borderId="4" xfId="0" applyFont="1" applyFill="1" applyBorder="1"/>
    <xf numFmtId="0" fontId="5" fillId="13" borderId="26" xfId="0" applyFont="1" applyFill="1" applyBorder="1" applyAlignment="1">
      <alignment horizontal="center"/>
    </xf>
    <xf numFmtId="0" fontId="5" fillId="13" borderId="71" xfId="0" applyFont="1" applyFill="1" applyBorder="1" applyAlignment="1">
      <alignment horizontal="center"/>
    </xf>
    <xf numFmtId="0" fontId="5" fillId="13" borderId="72" xfId="0" applyFont="1" applyFill="1" applyBorder="1" applyAlignment="1">
      <alignment horizontal="center"/>
    </xf>
    <xf numFmtId="0" fontId="5" fillId="3" borderId="73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6" fillId="17" borderId="24" xfId="0" applyFont="1" applyFill="1" applyBorder="1" applyAlignment="1">
      <alignment horizontal="right" indent="1"/>
    </xf>
    <xf numFmtId="0" fontId="6" fillId="17" borderId="11" xfId="0" applyFont="1" applyFill="1" applyBorder="1" applyAlignment="1">
      <alignment horizontal="right" indent="1"/>
    </xf>
    <xf numFmtId="0" fontId="6" fillId="17" borderId="12" xfId="0" applyFont="1" applyFill="1" applyBorder="1" applyAlignment="1">
      <alignment horizontal="right" indent="1"/>
    </xf>
    <xf numFmtId="0" fontId="6" fillId="21" borderId="7" xfId="0" applyFont="1" applyFill="1" applyBorder="1" applyAlignment="1">
      <alignment horizontal="right"/>
    </xf>
    <xf numFmtId="0" fontId="3" fillId="0" borderId="25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10" fontId="4" fillId="0" borderId="21" xfId="0" applyNumberFormat="1" applyFont="1" applyBorder="1" applyAlignment="1">
      <alignment horizontal="center" vertical="center"/>
    </xf>
    <xf numFmtId="10" fontId="4" fillId="0" borderId="18" xfId="0" applyNumberFormat="1" applyFont="1" applyBorder="1" applyAlignment="1">
      <alignment horizontal="center" vertical="center"/>
    </xf>
    <xf numFmtId="10" fontId="4" fillId="0" borderId="19" xfId="0" applyNumberFormat="1" applyFont="1" applyBorder="1" applyAlignment="1">
      <alignment horizontal="center" vertical="center"/>
    </xf>
    <xf numFmtId="10" fontId="0" fillId="0" borderId="74" xfId="0" applyNumberFormat="1" applyBorder="1" applyAlignment="1">
      <alignment horizontal="center" vertical="center"/>
    </xf>
    <xf numFmtId="10" fontId="0" fillId="0" borderId="24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0" fontId="4" fillId="0" borderId="75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64" xfId="0" applyNumberFormat="1" applyFont="1" applyBorder="1" applyAlignment="1">
      <alignment horizontal="center" vertical="center"/>
    </xf>
    <xf numFmtId="10" fontId="0" fillId="0" borderId="24" xfId="0" applyNumberFormat="1" applyBorder="1"/>
    <xf numFmtId="10" fontId="0" fillId="0" borderId="10" xfId="0" applyNumberFormat="1" applyBorder="1"/>
    <xf numFmtId="10" fontId="0" fillId="0" borderId="70" xfId="0" applyNumberFormat="1" applyBorder="1"/>
    <xf numFmtId="0" fontId="3" fillId="0" borderId="0" xfId="0" applyFont="1"/>
    <xf numFmtId="10" fontId="4" fillId="0" borderId="29" xfId="0" applyNumberFormat="1" applyFont="1" applyBorder="1" applyAlignment="1">
      <alignment horizontal="center" vertical="center"/>
    </xf>
    <xf numFmtId="10" fontId="4" fillId="0" borderId="17" xfId="0" applyNumberFormat="1" applyFont="1" applyBorder="1" applyAlignment="1">
      <alignment horizontal="center" vertical="center"/>
    </xf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3" fillId="40" borderId="4" xfId="0" applyFont="1" applyFill="1" applyBorder="1" applyAlignment="1">
      <alignment horizontal="center" vertical="center"/>
    </xf>
    <xf numFmtId="10" fontId="4" fillId="0" borderId="24" xfId="0" applyNumberFormat="1" applyFont="1" applyBorder="1" applyAlignment="1">
      <alignment horizontal="center" vertical="center"/>
    </xf>
    <xf numFmtId="10" fontId="4" fillId="0" borderId="11" xfId="0" applyNumberFormat="1" applyFont="1" applyBorder="1" applyAlignment="1">
      <alignment horizontal="center" vertical="center"/>
    </xf>
    <xf numFmtId="10" fontId="4" fillId="0" borderId="12" xfId="0" applyNumberFormat="1" applyFont="1" applyBorder="1" applyAlignment="1">
      <alignment horizontal="center" vertical="center"/>
    </xf>
    <xf numFmtId="0" fontId="3" fillId="16" borderId="9" xfId="0" applyFont="1" applyFill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66" xfId="0" applyNumberFormat="1" applyBorder="1" applyAlignment="1">
      <alignment horizontal="center" vertical="center"/>
    </xf>
    <xf numFmtId="10" fontId="0" fillId="0" borderId="11" xfId="0" applyNumberFormat="1" applyBorder="1"/>
    <xf numFmtId="10" fontId="0" fillId="0" borderId="12" xfId="0" applyNumberFormat="1" applyBorder="1"/>
    <xf numFmtId="10" fontId="3" fillId="0" borderId="4" xfId="0" applyNumberFormat="1" applyFont="1" applyBorder="1"/>
    <xf numFmtId="10" fontId="3" fillId="0" borderId="0" xfId="0" applyNumberFormat="1" applyFont="1"/>
    <xf numFmtId="0" fontId="5" fillId="4" borderId="9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4" fillId="15" borderId="21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10" fontId="3" fillId="0" borderId="21" xfId="0" applyNumberFormat="1" applyFont="1" applyBorder="1" applyAlignment="1">
      <alignment horizontal="center" vertical="center"/>
    </xf>
    <xf numFmtId="10" fontId="3" fillId="0" borderId="18" xfId="0" applyNumberFormat="1" applyFont="1" applyBorder="1" applyAlignment="1">
      <alignment horizontal="center" vertical="center"/>
    </xf>
    <xf numFmtId="10" fontId="3" fillId="0" borderId="19" xfId="0" applyNumberFormat="1" applyFont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65" fontId="0" fillId="0" borderId="0" xfId="0" applyNumberFormat="1"/>
    <xf numFmtId="165" fontId="0" fillId="0" borderId="21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4" borderId="55" xfId="0" applyFont="1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165" fontId="3" fillId="37" borderId="25" xfId="0" applyNumberFormat="1" applyFont="1" applyFill="1" applyBorder="1" applyAlignment="1">
      <alignment horizontal="center" vertical="center"/>
    </xf>
    <xf numFmtId="0" fontId="5" fillId="37" borderId="25" xfId="0" applyFont="1" applyFill="1" applyBorder="1" applyAlignment="1">
      <alignment horizontal="center" vertical="center"/>
    </xf>
    <xf numFmtId="0" fontId="3" fillId="37" borderId="25" xfId="0" applyFont="1" applyFill="1" applyBorder="1" applyAlignment="1">
      <alignment horizontal="center" vertical="center"/>
    </xf>
    <xf numFmtId="165" fontId="4" fillId="42" borderId="44" xfId="0" applyNumberFormat="1" applyFont="1" applyFill="1" applyBorder="1" applyAlignment="1">
      <alignment horizontal="center" vertical="center"/>
    </xf>
    <xf numFmtId="165" fontId="4" fillId="42" borderId="45" xfId="0" applyNumberFormat="1" applyFont="1" applyFill="1" applyBorder="1" applyAlignment="1">
      <alignment horizontal="center" vertical="center"/>
    </xf>
    <xf numFmtId="0" fontId="0" fillId="42" borderId="46" xfId="0" applyFill="1" applyBorder="1"/>
    <xf numFmtId="165" fontId="4" fillId="42" borderId="5" xfId="0" applyNumberFormat="1" applyFont="1" applyFill="1" applyBorder="1" applyAlignment="1">
      <alignment horizontal="center" vertical="center"/>
    </xf>
    <xf numFmtId="165" fontId="4" fillId="42" borderId="3" xfId="0" applyNumberFormat="1" applyFont="1" applyFill="1" applyBorder="1" applyAlignment="1">
      <alignment horizontal="center" vertical="center"/>
    </xf>
    <xf numFmtId="0" fontId="4" fillId="42" borderId="3" xfId="0" applyFont="1" applyFill="1" applyBorder="1"/>
    <xf numFmtId="0" fontId="0" fillId="42" borderId="47" xfId="0" applyFill="1" applyBorder="1"/>
    <xf numFmtId="0" fontId="4" fillId="42" borderId="47" xfId="0" applyFont="1" applyFill="1" applyBorder="1"/>
    <xf numFmtId="0" fontId="0" fillId="42" borderId="3" xfId="0" applyFill="1" applyBorder="1"/>
    <xf numFmtId="165" fontId="4" fillId="42" borderId="48" xfId="0" applyNumberFormat="1" applyFont="1" applyFill="1" applyBorder="1" applyAlignment="1">
      <alignment horizontal="center" vertical="center"/>
    </xf>
    <xf numFmtId="165" fontId="4" fillId="42" borderId="49" xfId="0" applyNumberFormat="1" applyFont="1" applyFill="1" applyBorder="1" applyAlignment="1">
      <alignment horizontal="center" vertical="center"/>
    </xf>
    <xf numFmtId="0" fontId="0" fillId="42" borderId="50" xfId="0" applyFill="1" applyBorder="1"/>
    <xf numFmtId="2" fontId="0" fillId="0" borderId="2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4" xfId="0" applyNumberFormat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10" fontId="3" fillId="4" borderId="62" xfId="0" applyNumberFormat="1" applyFont="1" applyFill="1" applyBorder="1" applyAlignment="1">
      <alignment horizontal="center" vertical="center"/>
    </xf>
    <xf numFmtId="2" fontId="3" fillId="4" borderId="70" xfId="0" applyNumberFormat="1" applyFont="1" applyFill="1" applyBorder="1" applyAlignment="1">
      <alignment horizontal="center" vertical="center"/>
    </xf>
    <xf numFmtId="2" fontId="3" fillId="4" borderId="9" xfId="0" applyNumberFormat="1" applyFont="1" applyFill="1" applyBorder="1" applyAlignment="1">
      <alignment horizontal="center" vertical="center"/>
    </xf>
    <xf numFmtId="0" fontId="3" fillId="30" borderId="24" xfId="0" applyFont="1" applyFill="1" applyBorder="1" applyAlignment="1">
      <alignment horizontal="right" vertical="center" indent="1"/>
    </xf>
    <xf numFmtId="3" fontId="0" fillId="0" borderId="0" xfId="0" applyNumberFormat="1"/>
    <xf numFmtId="3" fontId="0" fillId="34" borderId="22" xfId="0" applyNumberFormat="1" applyFill="1" applyBorder="1"/>
    <xf numFmtId="3" fontId="0" fillId="34" borderId="56" xfId="0" applyNumberFormat="1" applyFill="1" applyBorder="1"/>
    <xf numFmtId="166" fontId="3" fillId="40" borderId="55" xfId="0" applyNumberFormat="1" applyFont="1" applyFill="1" applyBorder="1" applyAlignment="1">
      <alignment horizontal="center" vertical="center"/>
    </xf>
    <xf numFmtId="166" fontId="3" fillId="40" borderId="25" xfId="0" applyNumberFormat="1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165" fontId="0" fillId="15" borderId="67" xfId="0" applyNumberFormat="1" applyFill="1" applyBorder="1" applyAlignment="1">
      <alignment horizontal="center" vertical="center"/>
    </xf>
    <xf numFmtId="165" fontId="0" fillId="15" borderId="51" xfId="0" applyNumberFormat="1" applyFill="1" applyBorder="1" applyAlignment="1">
      <alignment horizontal="center" vertical="center"/>
    </xf>
    <xf numFmtId="165" fontId="0" fillId="15" borderId="76" xfId="0" applyNumberFormat="1" applyFill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6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15" borderId="57" xfId="0" applyNumberFormat="1" applyFill="1" applyBorder="1" applyAlignment="1">
      <alignment horizontal="center" vertical="center"/>
    </xf>
    <xf numFmtId="165" fontId="0" fillId="15" borderId="32" xfId="0" applyNumberFormat="1" applyFill="1" applyBorder="1" applyAlignment="1">
      <alignment horizontal="center" vertical="center"/>
    </xf>
    <xf numFmtId="165" fontId="0" fillId="15" borderId="58" xfId="0" applyNumberFormat="1" applyFill="1" applyBorder="1" applyAlignment="1">
      <alignment horizontal="center" vertical="center"/>
    </xf>
    <xf numFmtId="165" fontId="0" fillId="0" borderId="57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15" borderId="24" xfId="0" applyNumberFormat="1" applyFill="1" applyBorder="1" applyAlignment="1">
      <alignment horizontal="center" vertical="center"/>
    </xf>
    <xf numFmtId="165" fontId="0" fillId="15" borderId="11" xfId="0" applyNumberFormat="1" applyFill="1" applyBorder="1" applyAlignment="1">
      <alignment horizontal="center" vertical="center"/>
    </xf>
    <xf numFmtId="165" fontId="0" fillId="15" borderId="12" xfId="0" applyNumberFormat="1" applyFill="1" applyBorder="1" applyAlignment="1">
      <alignment horizontal="center" vertical="center"/>
    </xf>
    <xf numFmtId="165" fontId="0" fillId="0" borderId="46" xfId="0" applyNumberFormat="1" applyBorder="1" applyAlignment="1">
      <alignment horizontal="center" vertical="center"/>
    </xf>
    <xf numFmtId="165" fontId="0" fillId="0" borderId="47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4" fontId="0" fillId="44" borderId="1" xfId="0" applyNumberForma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5" fontId="4" fillId="15" borderId="21" xfId="0" applyNumberFormat="1" applyFont="1" applyFill="1" applyBorder="1" applyAlignment="1">
      <alignment horizontal="center" vertical="center"/>
    </xf>
    <xf numFmtId="165" fontId="4" fillId="15" borderId="18" xfId="0" applyNumberFormat="1" applyFont="1" applyFill="1" applyBorder="1" applyAlignment="1">
      <alignment horizontal="center" vertical="center"/>
    </xf>
    <xf numFmtId="165" fontId="4" fillId="15" borderId="19" xfId="0" applyNumberFormat="1" applyFont="1" applyFill="1" applyBorder="1" applyAlignment="1">
      <alignment horizontal="center" vertical="center"/>
    </xf>
    <xf numFmtId="165" fontId="0" fillId="0" borderId="67" xfId="0" applyNumberFormat="1" applyBorder="1" applyAlignment="1">
      <alignment horizontal="center" vertical="center"/>
    </xf>
    <xf numFmtId="165" fontId="0" fillId="0" borderId="51" xfId="0" applyNumberFormat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0" borderId="66" xfId="0" applyFont="1" applyFill="1" applyBorder="1" applyAlignment="1">
      <alignment horizontal="right" indent="1"/>
    </xf>
    <xf numFmtId="0" fontId="6" fillId="21" borderId="70" xfId="0" applyFont="1" applyFill="1" applyBorder="1" applyAlignment="1">
      <alignment horizontal="right" indent="1"/>
    </xf>
    <xf numFmtId="0" fontId="6" fillId="22" borderId="19" xfId="0" applyFont="1" applyFill="1" applyBorder="1" applyAlignment="1">
      <alignment horizontal="right" indent="1"/>
    </xf>
    <xf numFmtId="165" fontId="0" fillId="0" borderId="70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left" vertical="center" indent="1"/>
    </xf>
    <xf numFmtId="0" fontId="4" fillId="15" borderId="44" xfId="0" applyFont="1" applyFill="1" applyBorder="1" applyAlignment="1">
      <alignment horizontal="left" vertical="center" indent="1"/>
    </xf>
    <xf numFmtId="0" fontId="0" fillId="22" borderId="11" xfId="0" applyFill="1" applyBorder="1" applyAlignment="1">
      <alignment horizontal="right" vertical="center" indent="1"/>
    </xf>
    <xf numFmtId="0" fontId="0" fillId="21" borderId="12" xfId="0" applyFill="1" applyBorder="1" applyAlignment="1">
      <alignment horizontal="right" vertical="center" indent="1"/>
    </xf>
    <xf numFmtId="0" fontId="0" fillId="20" borderId="11" xfId="0" applyFill="1" applyBorder="1" applyAlignment="1">
      <alignment horizontal="right" vertical="center" indent="1"/>
    </xf>
    <xf numFmtId="0" fontId="0" fillId="20" borderId="2" xfId="0" applyFill="1" applyBorder="1" applyAlignment="1">
      <alignment horizontal="right" vertical="center" indent="1"/>
    </xf>
    <xf numFmtId="0" fontId="0" fillId="22" borderId="2" xfId="0" applyFill="1" applyBorder="1" applyAlignment="1">
      <alignment horizontal="right" vertical="center" indent="1"/>
    </xf>
    <xf numFmtId="0" fontId="0" fillId="21" borderId="64" xfId="0" applyFill="1" applyBorder="1" applyAlignment="1">
      <alignment horizontal="right" vertical="center" indent="1"/>
    </xf>
    <xf numFmtId="0" fontId="0" fillId="24" borderId="24" xfId="0" applyFill="1" applyBorder="1" applyAlignment="1">
      <alignment horizontal="right" vertical="center" indent="1"/>
    </xf>
    <xf numFmtId="0" fontId="0" fillId="24" borderId="29" xfId="0" applyFill="1" applyBorder="1" applyAlignment="1">
      <alignment horizontal="right" vertical="center" indent="1"/>
    </xf>
    <xf numFmtId="0" fontId="0" fillId="23" borderId="11" xfId="0" applyFill="1" applyBorder="1" applyAlignment="1">
      <alignment horizontal="right" vertical="center" indent="1"/>
    </xf>
    <xf numFmtId="0" fontId="0" fillId="23" borderId="2" xfId="0" applyFill="1" applyBorder="1" applyAlignment="1">
      <alignment horizontal="right" vertical="center" indent="1"/>
    </xf>
    <xf numFmtId="0" fontId="4" fillId="15" borderId="48" xfId="0" applyFont="1" applyFill="1" applyBorder="1" applyAlignment="1">
      <alignment horizontal="left" vertical="center" indent="1"/>
    </xf>
    <xf numFmtId="165" fontId="0" fillId="0" borderId="60" xfId="0" applyNumberFormat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56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3" fillId="16" borderId="55" xfId="0" applyNumberFormat="1" applyFont="1" applyFill="1" applyBorder="1" applyAlignment="1">
      <alignment horizontal="center" vertical="center"/>
    </xf>
    <xf numFmtId="0" fontId="3" fillId="30" borderId="66" xfId="0" applyFont="1" applyFill="1" applyBorder="1" applyAlignment="1">
      <alignment horizontal="right" vertical="center" indent="1"/>
    </xf>
    <xf numFmtId="0" fontId="0" fillId="34" borderId="0" xfId="0" applyFill="1"/>
    <xf numFmtId="0" fontId="4" fillId="34" borderId="0" xfId="0" applyFont="1" applyFill="1"/>
    <xf numFmtId="0" fontId="10" fillId="40" borderId="4" xfId="0" applyFont="1" applyFill="1" applyBorder="1" applyAlignment="1">
      <alignment horizontal="right" vertical="center" indent="1"/>
    </xf>
    <xf numFmtId="166" fontId="0" fillId="0" borderId="19" xfId="0" applyNumberFormat="1" applyBorder="1" applyAlignment="1">
      <alignment horizontal="center" vertical="center"/>
    </xf>
    <xf numFmtId="166" fontId="10" fillId="0" borderId="62" xfId="0" applyNumberFormat="1" applyFont="1" applyBorder="1" applyAlignment="1">
      <alignment horizontal="center" vertical="center"/>
    </xf>
    <xf numFmtId="0" fontId="3" fillId="46" borderId="24" xfId="0" applyFont="1" applyFill="1" applyBorder="1" applyAlignment="1">
      <alignment horizontal="right" vertical="center" indent="1"/>
    </xf>
    <xf numFmtId="0" fontId="3" fillId="46" borderId="11" xfId="0" applyFont="1" applyFill="1" applyBorder="1" applyAlignment="1">
      <alignment horizontal="right" vertical="center" indent="1"/>
    </xf>
    <xf numFmtId="0" fontId="3" fillId="46" borderId="66" xfId="0" applyFont="1" applyFill="1" applyBorder="1" applyAlignment="1">
      <alignment horizontal="right" vertical="center" indent="1"/>
    </xf>
    <xf numFmtId="166" fontId="0" fillId="0" borderId="17" xfId="0" applyNumberFormat="1" applyBorder="1" applyAlignment="1">
      <alignment horizontal="center" vertical="center"/>
    </xf>
    <xf numFmtId="0" fontId="3" fillId="43" borderId="24" xfId="0" applyFont="1" applyFill="1" applyBorder="1" applyAlignment="1">
      <alignment horizontal="right" vertical="center" indent="1"/>
    </xf>
    <xf numFmtId="0" fontId="3" fillId="43" borderId="11" xfId="0" applyFont="1" applyFill="1" applyBorder="1" applyAlignment="1">
      <alignment horizontal="right" vertical="center" indent="1"/>
    </xf>
    <xf numFmtId="0" fontId="3" fillId="43" borderId="66" xfId="0" applyFont="1" applyFill="1" applyBorder="1" applyAlignment="1">
      <alignment horizontal="right" vertical="center" indent="1"/>
    </xf>
    <xf numFmtId="0" fontId="6" fillId="17" borderId="24" xfId="0" applyFont="1" applyFill="1" applyBorder="1"/>
    <xf numFmtId="0" fontId="6" fillId="17" borderId="11" xfId="0" applyFont="1" applyFill="1" applyBorder="1"/>
    <xf numFmtId="0" fontId="6" fillId="17" borderId="12" xfId="0" applyFont="1" applyFill="1" applyBorder="1"/>
    <xf numFmtId="0" fontId="0" fillId="0" borderId="65" xfId="0" applyBorder="1" applyAlignment="1">
      <alignment horizontal="center" vertical="center"/>
    </xf>
    <xf numFmtId="0" fontId="6" fillId="17" borderId="61" xfId="0" applyFont="1" applyFill="1" applyBorder="1"/>
    <xf numFmtId="0" fontId="3" fillId="0" borderId="13" xfId="0" applyFont="1" applyBorder="1" applyAlignment="1">
      <alignment horizontal="center" vertical="center"/>
    </xf>
    <xf numFmtId="0" fontId="0" fillId="24" borderId="24" xfId="0" applyFill="1" applyBorder="1" applyAlignment="1">
      <alignment vertical="center"/>
    </xf>
    <xf numFmtId="0" fontId="0" fillId="23" borderId="11" xfId="0" applyFill="1" applyBorder="1" applyAlignment="1">
      <alignment vertical="center"/>
    </xf>
    <xf numFmtId="0" fontId="0" fillId="20" borderId="11" xfId="0" applyFill="1" applyBorder="1" applyAlignment="1">
      <alignment vertical="center"/>
    </xf>
    <xf numFmtId="0" fontId="0" fillId="22" borderId="11" xfId="0" applyFill="1" applyBorder="1" applyAlignment="1">
      <alignment vertical="center"/>
    </xf>
    <xf numFmtId="0" fontId="0" fillId="21" borderId="12" xfId="0" applyFill="1" applyBorder="1" applyAlignment="1">
      <alignment vertical="center"/>
    </xf>
    <xf numFmtId="0" fontId="4" fillId="0" borderId="29" xfId="0" applyFont="1" applyBorder="1" applyAlignment="1">
      <alignment horizontal="center" vertical="center"/>
    </xf>
    <xf numFmtId="0" fontId="3" fillId="24" borderId="20" xfId="0" applyFont="1" applyFill="1" applyBorder="1" applyAlignment="1">
      <alignment horizontal="right" vertical="center" indent="1"/>
    </xf>
    <xf numFmtId="0" fontId="3" fillId="23" borderId="15" xfId="0" applyFont="1" applyFill="1" applyBorder="1" applyAlignment="1">
      <alignment horizontal="right" vertical="center" indent="1"/>
    </xf>
    <xf numFmtId="0" fontId="3" fillId="20" borderId="15" xfId="0" applyFont="1" applyFill="1" applyBorder="1" applyAlignment="1">
      <alignment horizontal="right" vertical="center" indent="1"/>
    </xf>
    <xf numFmtId="0" fontId="3" fillId="22" borderId="15" xfId="0" applyFont="1" applyFill="1" applyBorder="1" applyAlignment="1">
      <alignment horizontal="right" vertical="center" indent="1"/>
    </xf>
    <xf numFmtId="0" fontId="3" fillId="21" borderId="16" xfId="0" applyFont="1" applyFill="1" applyBorder="1" applyAlignment="1">
      <alignment horizontal="right" vertical="center" indent="1"/>
    </xf>
    <xf numFmtId="0" fontId="5" fillId="17" borderId="20" xfId="0" applyFont="1" applyFill="1" applyBorder="1" applyAlignment="1">
      <alignment horizontal="right" indent="1"/>
    </xf>
    <xf numFmtId="0" fontId="5" fillId="17" borderId="15" xfId="0" applyFont="1" applyFill="1" applyBorder="1" applyAlignment="1">
      <alignment horizontal="right" indent="1"/>
    </xf>
    <xf numFmtId="0" fontId="5" fillId="17" borderId="65" xfId="0" applyFont="1" applyFill="1" applyBorder="1" applyAlignment="1">
      <alignment horizontal="right" indent="1"/>
    </xf>
    <xf numFmtId="0" fontId="5" fillId="17" borderId="16" xfId="0" applyFont="1" applyFill="1" applyBorder="1" applyAlignment="1">
      <alignment horizontal="right" indent="1"/>
    </xf>
    <xf numFmtId="0" fontId="3" fillId="16" borderId="55" xfId="0" applyFont="1" applyFill="1" applyBorder="1" applyAlignment="1">
      <alignment horizontal="center" vertical="center"/>
    </xf>
    <xf numFmtId="10" fontId="3" fillId="45" borderId="62" xfId="0" applyNumberFormat="1" applyFont="1" applyFill="1" applyBorder="1" applyAlignment="1">
      <alignment horizontal="center" vertical="center"/>
    </xf>
    <xf numFmtId="2" fontId="3" fillId="45" borderId="55" xfId="0" applyNumberFormat="1" applyFont="1" applyFill="1" applyBorder="1" applyAlignment="1">
      <alignment horizontal="center" vertical="center"/>
    </xf>
    <xf numFmtId="10" fontId="3" fillId="0" borderId="20" xfId="0" applyNumberFormat="1" applyFont="1" applyBorder="1" applyAlignment="1">
      <alignment horizontal="center" vertical="center"/>
    </xf>
    <xf numFmtId="10" fontId="3" fillId="0" borderId="15" xfId="0" applyNumberFormat="1" applyFont="1" applyBorder="1" applyAlignment="1">
      <alignment horizontal="center" vertical="center"/>
    </xf>
    <xf numFmtId="10" fontId="3" fillId="0" borderId="16" xfId="0" applyNumberFormat="1" applyFont="1" applyBorder="1" applyAlignment="1">
      <alignment horizontal="center" vertical="center"/>
    </xf>
    <xf numFmtId="0" fontId="5" fillId="4" borderId="26" xfId="0" applyFont="1" applyFill="1" applyBorder="1" applyAlignment="1">
      <alignment horizontal="center"/>
    </xf>
    <xf numFmtId="0" fontId="4" fillId="17" borderId="20" xfId="0" applyFont="1" applyFill="1" applyBorder="1" applyAlignment="1">
      <alignment horizontal="right" vertical="center" indent="1"/>
    </xf>
    <xf numFmtId="0" fontId="4" fillId="17" borderId="15" xfId="0" applyFont="1" applyFill="1" applyBorder="1" applyAlignment="1">
      <alignment horizontal="right" vertical="center" indent="1"/>
    </xf>
    <xf numFmtId="0" fontId="4" fillId="17" borderId="16" xfId="0" applyFont="1" applyFill="1" applyBorder="1" applyAlignment="1">
      <alignment horizontal="right" vertical="center" indent="1"/>
    </xf>
    <xf numFmtId="0" fontId="1" fillId="0" borderId="26" xfId="0" applyFont="1" applyBorder="1" applyAlignment="1">
      <alignment horizontal="center"/>
    </xf>
    <xf numFmtId="0" fontId="1" fillId="0" borderId="8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81" xfId="0" applyFont="1" applyBorder="1" applyAlignment="1">
      <alignment horizontal="center"/>
    </xf>
    <xf numFmtId="14" fontId="2" fillId="0" borderId="81" xfId="0" applyNumberFormat="1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14" fontId="2" fillId="0" borderId="35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14" fontId="2" fillId="0" borderId="58" xfId="0" applyNumberFormat="1" applyFont="1" applyBorder="1" applyAlignment="1">
      <alignment horizontal="center"/>
    </xf>
    <xf numFmtId="0" fontId="3" fillId="45" borderId="27" xfId="0" applyFont="1" applyFill="1" applyBorder="1" applyAlignment="1">
      <alignment horizontal="center" vertical="center"/>
    </xf>
    <xf numFmtId="165" fontId="0" fillId="0" borderId="52" xfId="0" applyNumberFormat="1" applyBorder="1" applyAlignment="1">
      <alignment horizontal="center" vertical="center"/>
    </xf>
    <xf numFmtId="0" fontId="0" fillId="0" borderId="9" xfId="0" applyBorder="1"/>
    <xf numFmtId="0" fontId="0" fillId="0" borderId="63" xfId="0" applyBorder="1"/>
    <xf numFmtId="0" fontId="0" fillId="0" borderId="13" xfId="0" applyBorder="1"/>
    <xf numFmtId="165" fontId="0" fillId="0" borderId="66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0" fontId="3" fillId="47" borderId="68" xfId="0" applyFont="1" applyFill="1" applyBorder="1" applyAlignment="1">
      <alignment horizontal="center" vertical="center"/>
    </xf>
    <xf numFmtId="0" fontId="3" fillId="47" borderId="79" xfId="0" applyFont="1" applyFill="1" applyBorder="1" applyAlignment="1">
      <alignment horizontal="center" vertical="center"/>
    </xf>
    <xf numFmtId="0" fontId="3" fillId="47" borderId="69" xfId="0" applyFont="1" applyFill="1" applyBorder="1" applyAlignment="1">
      <alignment horizontal="center" vertical="center"/>
    </xf>
    <xf numFmtId="0" fontId="3" fillId="47" borderId="27" xfId="0" applyFont="1" applyFill="1" applyBorder="1" applyAlignment="1">
      <alignment horizontal="center" vertical="center"/>
    </xf>
    <xf numFmtId="0" fontId="3" fillId="47" borderId="22" xfId="0" applyFont="1" applyFill="1" applyBorder="1" applyAlignment="1">
      <alignment horizontal="center" vertical="center"/>
    </xf>
    <xf numFmtId="0" fontId="3" fillId="47" borderId="25" xfId="0" applyFont="1" applyFill="1" applyBorder="1" applyAlignment="1">
      <alignment horizontal="center" vertical="center"/>
    </xf>
    <xf numFmtId="165" fontId="3" fillId="47" borderId="80" xfId="0" applyNumberFormat="1" applyFont="1" applyFill="1" applyBorder="1" applyAlignment="1">
      <alignment horizontal="center" vertical="center"/>
    </xf>
    <xf numFmtId="165" fontId="3" fillId="47" borderId="78" xfId="0" applyNumberFormat="1" applyFont="1" applyFill="1" applyBorder="1" applyAlignment="1">
      <alignment horizontal="center" vertical="center"/>
    </xf>
    <xf numFmtId="165" fontId="3" fillId="47" borderId="55" xfId="0" applyNumberFormat="1" applyFont="1" applyFill="1" applyBorder="1" applyAlignment="1">
      <alignment horizontal="center" vertical="center"/>
    </xf>
    <xf numFmtId="0" fontId="3" fillId="47" borderId="4" xfId="0" applyFont="1" applyFill="1" applyBorder="1" applyAlignment="1">
      <alignment horizontal="center" vertical="center"/>
    </xf>
    <xf numFmtId="165" fontId="3" fillId="47" borderId="77" xfId="0" applyNumberFormat="1" applyFont="1" applyFill="1" applyBorder="1" applyAlignment="1">
      <alignment horizontal="center" vertical="center"/>
    </xf>
    <xf numFmtId="165" fontId="3" fillId="47" borderId="74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34" borderId="0" xfId="0" applyNumberFormat="1" applyFill="1"/>
    <xf numFmtId="3" fontId="0" fillId="34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0" fontId="0" fillId="34" borderId="0" xfId="0" applyNumberFormat="1" applyFill="1"/>
    <xf numFmtId="166" fontId="0" fillId="34" borderId="0" xfId="0" applyNumberFormat="1" applyFill="1"/>
    <xf numFmtId="0" fontId="12" fillId="33" borderId="44" xfId="0" applyFont="1" applyFill="1" applyBorder="1" applyAlignment="1">
      <alignment horizontal="center" vertical="center"/>
    </xf>
    <xf numFmtId="14" fontId="13" fillId="45" borderId="48" xfId="0" applyNumberFormat="1" applyFont="1" applyFill="1" applyBorder="1" applyAlignment="1">
      <alignment horizontal="center" vertical="center"/>
    </xf>
    <xf numFmtId="0" fontId="0" fillId="0" borderId="21" xfId="0" applyBorder="1"/>
    <xf numFmtId="0" fontId="0" fillId="0" borderId="18" xfId="0" applyBorder="1"/>
    <xf numFmtId="0" fontId="0" fillId="0" borderId="19" xfId="0" applyBorder="1"/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2" fillId="43" borderId="4" xfId="0" applyFont="1" applyFill="1" applyBorder="1" applyAlignment="1">
      <alignment horizontal="right" vertical="center" indent="1"/>
    </xf>
    <xf numFmtId="0" fontId="4" fillId="34" borderId="61" xfId="0" applyFont="1" applyFill="1" applyBorder="1"/>
    <xf numFmtId="166" fontId="3" fillId="0" borderId="0" xfId="0" applyNumberFormat="1" applyFont="1" applyAlignment="1">
      <alignment horizontal="center" vertical="center"/>
    </xf>
    <xf numFmtId="10" fontId="0" fillId="15" borderId="70" xfId="0" applyNumberFormat="1" applyFill="1" applyBorder="1" applyAlignment="1">
      <alignment horizontal="center" vertical="center"/>
    </xf>
    <xf numFmtId="0" fontId="4" fillId="42" borderId="49" xfId="0" applyFont="1" applyFill="1" applyBorder="1"/>
    <xf numFmtId="0" fontId="3" fillId="37" borderId="25" xfId="0" applyFont="1" applyFill="1" applyBorder="1"/>
    <xf numFmtId="0" fontId="4" fillId="49" borderId="24" xfId="0" applyFont="1" applyFill="1" applyBorder="1" applyAlignment="1">
      <alignment horizontal="center" vertical="center"/>
    </xf>
    <xf numFmtId="0" fontId="0" fillId="42" borderId="45" xfId="0" applyFill="1" applyBorder="1"/>
    <xf numFmtId="0" fontId="4" fillId="42" borderId="29" xfId="0" applyFont="1" applyFill="1" applyBorder="1" applyAlignment="1">
      <alignment horizontal="center" vertical="center"/>
    </xf>
    <xf numFmtId="0" fontId="4" fillId="42" borderId="75" xfId="0" applyFont="1" applyFill="1" applyBorder="1" applyAlignment="1">
      <alignment horizontal="center" vertical="center"/>
    </xf>
    <xf numFmtId="0" fontId="4" fillId="42" borderId="56" xfId="0" applyFont="1" applyFill="1" applyBorder="1" applyAlignment="1">
      <alignment horizontal="center" vertical="center"/>
    </xf>
    <xf numFmtId="0" fontId="4" fillId="49" borderId="21" xfId="0" applyFont="1" applyFill="1" applyBorder="1" applyAlignment="1">
      <alignment horizontal="center" vertical="center"/>
    </xf>
    <xf numFmtId="0" fontId="4" fillId="49" borderId="18" xfId="0" applyFont="1" applyFill="1" applyBorder="1" applyAlignment="1">
      <alignment horizontal="center" vertical="center"/>
    </xf>
    <xf numFmtId="0" fontId="4" fillId="49" borderId="19" xfId="0" applyFont="1" applyFill="1" applyBorder="1" applyAlignment="1">
      <alignment horizontal="center" vertical="center"/>
    </xf>
    <xf numFmtId="0" fontId="4" fillId="49" borderId="20" xfId="0" applyFont="1" applyFill="1" applyBorder="1" applyAlignment="1">
      <alignment horizontal="center" vertical="center"/>
    </xf>
    <xf numFmtId="0" fontId="4" fillId="49" borderId="15" xfId="0" applyFont="1" applyFill="1" applyBorder="1" applyAlignment="1">
      <alignment horizontal="center" vertical="center"/>
    </xf>
    <xf numFmtId="0" fontId="4" fillId="49" borderId="16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/>
    </xf>
    <xf numFmtId="0" fontId="4" fillId="49" borderId="11" xfId="0" applyFont="1" applyFill="1" applyBorder="1" applyAlignment="1">
      <alignment horizontal="center" vertical="center"/>
    </xf>
    <xf numFmtId="0" fontId="4" fillId="49" borderId="12" xfId="0" applyFont="1" applyFill="1" applyBorder="1" applyAlignment="1">
      <alignment horizontal="center" vertical="center"/>
    </xf>
    <xf numFmtId="0" fontId="4" fillId="42" borderId="21" xfId="0" applyFont="1" applyFill="1" applyBorder="1" applyAlignment="1">
      <alignment horizontal="center" vertical="center"/>
    </xf>
    <xf numFmtId="0" fontId="4" fillId="42" borderId="17" xfId="0" applyFont="1" applyFill="1" applyBorder="1" applyAlignment="1">
      <alignment horizontal="center" vertical="center"/>
    </xf>
    <xf numFmtId="0" fontId="4" fillId="42" borderId="55" xfId="0" applyFont="1" applyFill="1" applyBorder="1" applyAlignment="1">
      <alignment horizontal="center" vertical="center"/>
    </xf>
    <xf numFmtId="167" fontId="3" fillId="12" borderId="13" xfId="0" applyNumberFormat="1" applyFont="1" applyFill="1" applyBorder="1"/>
    <xf numFmtId="168" fontId="3" fillId="12" borderId="13" xfId="0" applyNumberFormat="1" applyFont="1" applyFill="1" applyBorder="1" applyAlignment="1">
      <alignment horizontal="left" vertical="center"/>
    </xf>
    <xf numFmtId="167" fontId="3" fillId="12" borderId="13" xfId="0" applyNumberFormat="1" applyFont="1" applyFill="1" applyBorder="1" applyAlignment="1">
      <alignment vertical="center"/>
    </xf>
    <xf numFmtId="0" fontId="5" fillId="4" borderId="70" xfId="0" applyFont="1" applyFill="1" applyBorder="1" applyAlignment="1">
      <alignment horizontal="center" vertical="center"/>
    </xf>
    <xf numFmtId="0" fontId="3" fillId="24" borderId="21" xfId="0" applyFont="1" applyFill="1" applyBorder="1" applyAlignment="1">
      <alignment horizontal="right" vertical="center" indent="1"/>
    </xf>
    <xf numFmtId="0" fontId="3" fillId="23" borderId="18" xfId="0" applyFont="1" applyFill="1" applyBorder="1" applyAlignment="1">
      <alignment horizontal="right" vertical="center" indent="1"/>
    </xf>
    <xf numFmtId="0" fontId="3" fillId="20" borderId="18" xfId="0" applyFont="1" applyFill="1" applyBorder="1" applyAlignment="1">
      <alignment horizontal="right" vertical="center" indent="1"/>
    </xf>
    <xf numFmtId="0" fontId="3" fillId="22" borderId="18" xfId="0" applyFont="1" applyFill="1" applyBorder="1" applyAlignment="1">
      <alignment horizontal="right" vertical="center" indent="1"/>
    </xf>
    <xf numFmtId="0" fontId="3" fillId="21" borderId="19" xfId="0" applyFont="1" applyFill="1" applyBorder="1" applyAlignment="1">
      <alignment horizontal="right" vertical="center" indent="1"/>
    </xf>
    <xf numFmtId="0" fontId="4" fillId="17" borderId="24" xfId="0" applyFont="1" applyFill="1" applyBorder="1" applyAlignment="1">
      <alignment vertical="center"/>
    </xf>
    <xf numFmtId="0" fontId="4" fillId="17" borderId="11" xfId="0" applyFont="1" applyFill="1" applyBorder="1" applyAlignment="1">
      <alignment vertical="center"/>
    </xf>
    <xf numFmtId="0" fontId="4" fillId="17" borderId="12" xfId="0" applyFont="1" applyFill="1" applyBorder="1" applyAlignment="1">
      <alignment vertical="center"/>
    </xf>
    <xf numFmtId="10" fontId="0" fillId="0" borderId="30" xfId="0" applyNumberFormat="1" applyBorder="1" applyAlignment="1">
      <alignment horizontal="center" vertical="center"/>
    </xf>
    <xf numFmtId="0" fontId="3" fillId="15" borderId="21" xfId="0" applyFont="1" applyFill="1" applyBorder="1" applyAlignment="1">
      <alignment horizontal="left" vertical="center" indent="1"/>
    </xf>
    <xf numFmtId="0" fontId="3" fillId="15" borderId="18" xfId="0" applyFont="1" applyFill="1" applyBorder="1" applyAlignment="1">
      <alignment horizontal="left" vertical="center" indent="1"/>
    </xf>
    <xf numFmtId="0" fontId="3" fillId="15" borderId="19" xfId="0" applyFont="1" applyFill="1" applyBorder="1" applyAlignment="1">
      <alignment horizontal="left" vertical="center" indent="1"/>
    </xf>
    <xf numFmtId="10" fontId="12" fillId="45" borderId="15" xfId="0" applyNumberFormat="1" applyFont="1" applyFill="1" applyBorder="1" applyAlignment="1">
      <alignment horizontal="left" vertical="center" indent="1"/>
    </xf>
    <xf numFmtId="10" fontId="12" fillId="45" borderId="16" xfId="0" applyNumberFormat="1" applyFont="1" applyFill="1" applyBorder="1" applyAlignment="1">
      <alignment horizontal="left" vertical="center" indent="1"/>
    </xf>
    <xf numFmtId="166" fontId="12" fillId="45" borderId="21" xfId="0" applyNumberFormat="1" applyFont="1" applyFill="1" applyBorder="1" applyAlignment="1">
      <alignment horizontal="left" vertical="center" indent="1"/>
    </xf>
    <xf numFmtId="166" fontId="12" fillId="45" borderId="19" xfId="0" applyNumberFormat="1" applyFont="1" applyFill="1" applyBorder="1" applyAlignment="1">
      <alignment horizontal="left" vertical="center" indent="1"/>
    </xf>
    <xf numFmtId="167" fontId="3" fillId="12" borderId="9" xfId="0" applyNumberFormat="1" applyFont="1" applyFill="1" applyBorder="1" applyAlignment="1">
      <alignment horizontal="right" vertical="center" indent="1"/>
    </xf>
    <xf numFmtId="167" fontId="3" fillId="12" borderId="9" xfId="0" applyNumberFormat="1" applyFont="1" applyFill="1" applyBorder="1" applyAlignment="1">
      <alignment horizontal="right" indent="1"/>
    </xf>
    <xf numFmtId="168" fontId="3" fillId="12" borderId="9" xfId="0" applyNumberFormat="1" applyFont="1" applyFill="1" applyBorder="1" applyAlignment="1">
      <alignment horizontal="right" vertical="center" indent="1"/>
    </xf>
    <xf numFmtId="0" fontId="5" fillId="8" borderId="68" xfId="0" applyFont="1" applyFill="1" applyBorder="1" applyAlignment="1">
      <alignment horizontal="center"/>
    </xf>
    <xf numFmtId="0" fontId="3" fillId="8" borderId="79" xfId="0" applyFont="1" applyFill="1" applyBorder="1" applyAlignment="1">
      <alignment horizontal="center" vertical="center"/>
    </xf>
    <xf numFmtId="0" fontId="3" fillId="8" borderId="81" xfId="0" applyFont="1" applyFill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36" borderId="25" xfId="0" applyFont="1" applyFill="1" applyBorder="1" applyAlignment="1">
      <alignment horizontal="center" vertical="center"/>
    </xf>
    <xf numFmtId="0" fontId="3" fillId="52" borderId="25" xfId="0" applyFont="1" applyFill="1" applyBorder="1" applyAlignment="1">
      <alignment horizontal="center" vertical="center"/>
    </xf>
    <xf numFmtId="0" fontId="3" fillId="53" borderId="25" xfId="0" applyFont="1" applyFill="1" applyBorder="1" applyAlignment="1">
      <alignment horizontal="center" vertical="center"/>
    </xf>
    <xf numFmtId="0" fontId="4" fillId="54" borderId="20" xfId="0" applyFont="1" applyFill="1" applyBorder="1" applyAlignment="1">
      <alignment horizontal="center" vertical="center"/>
    </xf>
    <xf numFmtId="0" fontId="4" fillId="54" borderId="15" xfId="0" applyFont="1" applyFill="1" applyBorder="1" applyAlignment="1">
      <alignment horizontal="center" vertical="center"/>
    </xf>
    <xf numFmtId="0" fontId="4" fillId="54" borderId="16" xfId="0" applyFont="1" applyFill="1" applyBorder="1" applyAlignment="1">
      <alignment horizontal="center" vertical="center"/>
    </xf>
    <xf numFmtId="0" fontId="4" fillId="49" borderId="29" xfId="0" applyFont="1" applyFill="1" applyBorder="1" applyAlignment="1">
      <alignment horizontal="center" vertical="center"/>
    </xf>
    <xf numFmtId="0" fontId="4" fillId="49" borderId="2" xfId="0" applyFont="1" applyFill="1" applyBorder="1" applyAlignment="1">
      <alignment horizontal="center" vertical="center"/>
    </xf>
    <xf numFmtId="0" fontId="4" fillId="49" borderId="64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5" xfId="0" applyFont="1" applyBorder="1"/>
    <xf numFmtId="0" fontId="3" fillId="0" borderId="28" xfId="0" applyFont="1" applyBorder="1" applyAlignment="1">
      <alignment horizontal="center" vertical="center"/>
    </xf>
    <xf numFmtId="0" fontId="0" fillId="35" borderId="11" xfId="0" applyFill="1" applyBorder="1"/>
    <xf numFmtId="0" fontId="0" fillId="35" borderId="66" xfId="0" applyFill="1" applyBorder="1"/>
    <xf numFmtId="0" fontId="3" fillId="35" borderId="18" xfId="0" applyFont="1" applyFill="1" applyBorder="1" applyAlignment="1">
      <alignment horizontal="center"/>
    </xf>
    <xf numFmtId="0" fontId="3" fillId="35" borderId="23" xfId="0" applyFont="1" applyFill="1" applyBorder="1" applyAlignment="1">
      <alignment horizontal="center"/>
    </xf>
    <xf numFmtId="0" fontId="0" fillId="55" borderId="24" xfId="0" applyFill="1" applyBorder="1"/>
    <xf numFmtId="0" fontId="0" fillId="55" borderId="11" xfId="0" applyFill="1" applyBorder="1"/>
    <xf numFmtId="0" fontId="0" fillId="55" borderId="12" xfId="0" applyFill="1" applyBorder="1"/>
    <xf numFmtId="0" fontId="0" fillId="55" borderId="21" xfId="0" applyFill="1" applyBorder="1"/>
    <xf numFmtId="0" fontId="0" fillId="55" borderId="18" xfId="0" applyFill="1" applyBorder="1"/>
    <xf numFmtId="0" fontId="0" fillId="55" borderId="19" xfId="0" applyFill="1" applyBorder="1"/>
    <xf numFmtId="0" fontId="0" fillId="35" borderId="10" xfId="0" applyFill="1" applyBorder="1"/>
    <xf numFmtId="0" fontId="3" fillId="35" borderId="17" xfId="0" applyFont="1" applyFill="1" applyBorder="1" applyAlignment="1">
      <alignment horizontal="center"/>
    </xf>
    <xf numFmtId="0" fontId="3" fillId="13" borderId="21" xfId="0" applyFont="1" applyFill="1" applyBorder="1" applyAlignment="1">
      <alignment horizontal="center" vertical="center"/>
    </xf>
    <xf numFmtId="167" fontId="3" fillId="15" borderId="19" xfId="0" applyNumberFormat="1" applyFont="1" applyFill="1" applyBorder="1" applyAlignment="1">
      <alignment horizontal="center" vertical="center"/>
    </xf>
    <xf numFmtId="0" fontId="5" fillId="57" borderId="25" xfId="0" applyFont="1" applyFill="1" applyBorder="1" applyAlignment="1">
      <alignment horizontal="center"/>
    </xf>
    <xf numFmtId="0" fontId="5" fillId="57" borderId="27" xfId="0" applyFont="1" applyFill="1" applyBorder="1" applyAlignment="1">
      <alignment horizontal="center"/>
    </xf>
    <xf numFmtId="0" fontId="3" fillId="58" borderId="4" xfId="0" applyFont="1" applyFill="1" applyBorder="1" applyAlignment="1">
      <alignment horizontal="center"/>
    </xf>
    <xf numFmtId="0" fontId="3" fillId="58" borderId="25" xfId="0" applyFont="1" applyFill="1" applyBorder="1" applyAlignment="1">
      <alignment horizontal="center"/>
    </xf>
    <xf numFmtId="0" fontId="3" fillId="58" borderId="26" xfId="0" applyFont="1" applyFill="1" applyBorder="1" applyAlignment="1">
      <alignment horizontal="center"/>
    </xf>
    <xf numFmtId="0" fontId="3" fillId="58" borderId="13" xfId="0" applyFont="1" applyFill="1" applyBorder="1" applyAlignment="1">
      <alignment horizontal="center"/>
    </xf>
    <xf numFmtId="0" fontId="3" fillId="59" borderId="4" xfId="0" applyFont="1" applyFill="1" applyBorder="1" applyAlignment="1">
      <alignment horizontal="center"/>
    </xf>
    <xf numFmtId="0" fontId="3" fillId="59" borderId="25" xfId="0" applyFont="1" applyFill="1" applyBorder="1" applyAlignment="1">
      <alignment horizontal="center"/>
    </xf>
    <xf numFmtId="0" fontId="3" fillId="59" borderId="26" xfId="0" applyFont="1" applyFill="1" applyBorder="1" applyAlignment="1">
      <alignment horizontal="center"/>
    </xf>
    <xf numFmtId="0" fontId="3" fillId="59" borderId="27" xfId="0" applyFont="1" applyFill="1" applyBorder="1" applyAlignment="1">
      <alignment horizontal="center"/>
    </xf>
    <xf numFmtId="0" fontId="3" fillId="60" borderId="25" xfId="0" applyFont="1" applyFill="1" applyBorder="1" applyAlignment="1">
      <alignment horizontal="center" vertical="center"/>
    </xf>
    <xf numFmtId="0" fontId="3" fillId="60" borderId="24" xfId="0" applyFont="1" applyFill="1" applyBorder="1" applyAlignment="1">
      <alignment horizontal="center" vertical="center"/>
    </xf>
    <xf numFmtId="0" fontId="3" fillId="60" borderId="11" xfId="0" applyFont="1" applyFill="1" applyBorder="1" applyAlignment="1">
      <alignment horizontal="center" vertical="center"/>
    </xf>
    <xf numFmtId="0" fontId="3" fillId="60" borderId="12" xfId="0" applyFont="1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5" borderId="14" xfId="0" applyFill="1" applyBorder="1"/>
    <xf numFmtId="0" fontId="0" fillId="15" borderId="75" xfId="0" applyFill="1" applyBorder="1"/>
    <xf numFmtId="0" fontId="0" fillId="15" borderId="1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24" xfId="0" applyFill="1" applyBorder="1" applyAlignment="1">
      <alignment horizontal="left" vertical="center"/>
    </xf>
    <xf numFmtId="0" fontId="0" fillId="15" borderId="11" xfId="0" applyFill="1" applyBorder="1" applyAlignment="1">
      <alignment horizontal="left" vertical="center"/>
    </xf>
    <xf numFmtId="0" fontId="0" fillId="15" borderId="12" xfId="0" applyFill="1" applyBorder="1" applyAlignment="1">
      <alignment horizontal="left" vertical="center"/>
    </xf>
    <xf numFmtId="0" fontId="3" fillId="23" borderId="25" xfId="0" applyFont="1" applyFill="1" applyBorder="1" applyAlignment="1">
      <alignment horizontal="center" vertical="center"/>
    </xf>
    <xf numFmtId="0" fontId="3" fillId="16" borderId="62" xfId="0" applyFont="1" applyFill="1" applyBorder="1" applyAlignment="1">
      <alignment horizontal="center" vertical="center"/>
    </xf>
    <xf numFmtId="10" fontId="0" fillId="0" borderId="64" xfId="0" applyNumberFormat="1" applyBorder="1"/>
    <xf numFmtId="0" fontId="3" fillId="18" borderId="25" xfId="0" applyFont="1" applyFill="1" applyBorder="1" applyAlignment="1">
      <alignment horizontal="center" vertical="center"/>
    </xf>
    <xf numFmtId="0" fontId="3" fillId="18" borderId="27" xfId="0" applyFont="1" applyFill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45" xfId="0" quotePrefix="1" applyFont="1" applyBorder="1" applyAlignment="1">
      <alignment horizontal="center" vertical="center"/>
    </xf>
    <xf numFmtId="0" fontId="4" fillId="0" borderId="46" xfId="0" quotePrefix="1" applyFont="1" applyBorder="1" applyAlignment="1">
      <alignment horizontal="center" vertical="center"/>
    </xf>
    <xf numFmtId="0" fontId="4" fillId="0" borderId="47" xfId="0" quotePrefix="1" applyFont="1" applyBorder="1" applyAlignment="1">
      <alignment horizontal="center" vertical="center"/>
    </xf>
    <xf numFmtId="0" fontId="4" fillId="0" borderId="49" xfId="0" quotePrefix="1" applyFont="1" applyBorder="1" applyAlignment="1">
      <alignment horizontal="center" vertical="center"/>
    </xf>
    <xf numFmtId="0" fontId="4" fillId="0" borderId="50" xfId="0" quotePrefix="1" applyFont="1" applyBorder="1" applyAlignment="1">
      <alignment horizontal="center" vertical="center"/>
    </xf>
    <xf numFmtId="0" fontId="3" fillId="61" borderId="25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23" borderId="70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0" borderId="67" xfId="0" quotePrefix="1" applyFont="1" applyBorder="1" applyAlignment="1">
      <alignment horizontal="center" vertical="center"/>
    </xf>
    <xf numFmtId="0" fontId="4" fillId="0" borderId="51" xfId="0" quotePrefix="1" applyFont="1" applyBorder="1" applyAlignment="1">
      <alignment horizontal="center" vertical="center"/>
    </xf>
    <xf numFmtId="0" fontId="4" fillId="0" borderId="76" xfId="0" quotePrefix="1" applyFont="1" applyBorder="1" applyAlignment="1">
      <alignment horizontal="center" vertical="center"/>
    </xf>
    <xf numFmtId="0" fontId="3" fillId="18" borderId="70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3" fillId="11" borderId="62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64" xfId="0" applyNumberFormat="1" applyBorder="1" applyAlignment="1">
      <alignment horizontal="center" vertical="center"/>
    </xf>
    <xf numFmtId="166" fontId="3" fillId="40" borderId="26" xfId="0" applyNumberFormat="1" applyFont="1" applyFill="1" applyBorder="1" applyAlignment="1">
      <alignment horizontal="center" vertical="center"/>
    </xf>
    <xf numFmtId="166" fontId="3" fillId="40" borderId="70" xfId="0" applyNumberFormat="1" applyFont="1" applyFill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0" fontId="0" fillId="0" borderId="70" xfId="0" applyBorder="1"/>
    <xf numFmtId="0" fontId="0" fillId="0" borderId="56" xfId="0" applyBorder="1"/>
    <xf numFmtId="0" fontId="0" fillId="0" borderId="62" xfId="0" applyBorder="1"/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53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3" fillId="56" borderId="25" xfId="0" applyFont="1" applyFill="1" applyBorder="1" applyAlignment="1">
      <alignment horizontal="center" vertical="center"/>
    </xf>
    <xf numFmtId="0" fontId="3" fillId="56" borderId="70" xfId="0" applyFont="1" applyFill="1" applyBorder="1" applyAlignment="1">
      <alignment horizontal="center" vertical="center"/>
    </xf>
    <xf numFmtId="166" fontId="3" fillId="16" borderId="70" xfId="0" applyNumberFormat="1" applyFont="1" applyFill="1" applyBorder="1" applyAlignment="1">
      <alignment horizontal="center" vertical="center"/>
    </xf>
    <xf numFmtId="10" fontId="12" fillId="45" borderId="14" xfId="0" applyNumberFormat="1" applyFont="1" applyFill="1" applyBorder="1" applyAlignment="1">
      <alignment horizontal="left" vertical="center" indent="1"/>
    </xf>
    <xf numFmtId="0" fontId="3" fillId="51" borderId="65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34" borderId="0" xfId="0" applyFont="1" applyFill="1"/>
    <xf numFmtId="166" fontId="13" fillId="0" borderId="21" xfId="0" applyNumberFormat="1" applyFont="1" applyBorder="1" applyAlignment="1">
      <alignment horizontal="center" vertical="center"/>
    </xf>
    <xf numFmtId="166" fontId="13" fillId="0" borderId="18" xfId="0" applyNumberFormat="1" applyFon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0" fillId="0" borderId="4" xfId="0" applyBorder="1"/>
    <xf numFmtId="165" fontId="0" fillId="0" borderId="30" xfId="0" applyNumberFormat="1" applyBorder="1" applyAlignment="1">
      <alignment horizontal="center" vertical="center"/>
    </xf>
    <xf numFmtId="165" fontId="0" fillId="0" borderId="6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75" xfId="0" applyNumberFormat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3" fillId="19" borderId="68" xfId="0" applyFon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3" fillId="19" borderId="79" xfId="0" applyFont="1" applyFill="1" applyBorder="1" applyAlignment="1">
      <alignment horizontal="center" vertical="center"/>
    </xf>
    <xf numFmtId="0" fontId="3" fillId="19" borderId="69" xfId="0" applyFont="1" applyFill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9" fontId="0" fillId="62" borderId="24" xfId="0" applyNumberForma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19" borderId="26" xfId="0" applyFont="1" applyFill="1" applyBorder="1" applyAlignment="1">
      <alignment horizontal="center" vertical="center"/>
    </xf>
    <xf numFmtId="9" fontId="0" fillId="0" borderId="19" xfId="0" applyNumberFormat="1" applyBorder="1"/>
    <xf numFmtId="9" fontId="4" fillId="0" borderId="16" xfId="0" applyNumberFormat="1" applyFont="1" applyBorder="1"/>
    <xf numFmtId="165" fontId="0" fillId="0" borderId="21" xfId="0" applyNumberFormat="1" applyBorder="1"/>
    <xf numFmtId="165" fontId="0" fillId="0" borderId="18" xfId="0" applyNumberFormat="1" applyBorder="1"/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5" fontId="0" fillId="0" borderId="4" xfId="0" applyNumberFormat="1" applyBorder="1"/>
    <xf numFmtId="165" fontId="3" fillId="0" borderId="4" xfId="0" applyNumberFormat="1" applyFont="1" applyBorder="1" applyAlignment="1">
      <alignment horizontal="center"/>
    </xf>
    <xf numFmtId="0" fontId="0" fillId="63" borderId="26" xfId="0" applyFill="1" applyBorder="1"/>
    <xf numFmtId="0" fontId="0" fillId="63" borderId="22" xfId="0" applyFill="1" applyBorder="1"/>
    <xf numFmtId="0" fontId="0" fillId="63" borderId="27" xfId="0" applyFill="1" applyBorder="1"/>
    <xf numFmtId="0" fontId="0" fillId="63" borderId="65" xfId="0" applyFill="1" applyBorder="1"/>
    <xf numFmtId="0" fontId="0" fillId="63" borderId="62" xfId="0" applyFill="1" applyBorder="1"/>
    <xf numFmtId="0" fontId="0" fillId="63" borderId="56" xfId="0" applyFill="1" applyBorder="1"/>
    <xf numFmtId="0" fontId="0" fillId="63" borderId="61" xfId="0" applyFill="1" applyBorder="1"/>
    <xf numFmtId="0" fontId="0" fillId="63" borderId="70" xfId="0" applyFill="1" applyBorder="1"/>
    <xf numFmtId="0" fontId="0" fillId="64" borderId="61" xfId="0" applyFill="1" applyBorder="1"/>
    <xf numFmtId="0" fontId="0" fillId="64" borderId="65" xfId="0" applyFill="1" applyBorder="1"/>
    <xf numFmtId="165" fontId="0" fillId="0" borderId="23" xfId="0" applyNumberFormat="1" applyBorder="1"/>
    <xf numFmtId="165" fontId="0" fillId="0" borderId="26" xfId="0" applyNumberFormat="1" applyBorder="1" applyAlignment="1">
      <alignment horizontal="center" vertical="center"/>
    </xf>
    <xf numFmtId="165" fontId="3" fillId="0" borderId="55" xfId="0" applyNumberFormat="1" applyFont="1" applyBorder="1" applyAlignment="1">
      <alignment horizontal="center"/>
    </xf>
    <xf numFmtId="165" fontId="0" fillId="0" borderId="24" xfId="0" applyNumberFormat="1" applyBorder="1"/>
    <xf numFmtId="165" fontId="0" fillId="0" borderId="66" xfId="0" applyNumberFormat="1" applyBorder="1"/>
    <xf numFmtId="165" fontId="0" fillId="0" borderId="11" xfId="0" applyNumberFormat="1" applyBorder="1"/>
    <xf numFmtId="165" fontId="0" fillId="0" borderId="9" xfId="0" applyNumberFormat="1" applyBorder="1"/>
    <xf numFmtId="165" fontId="13" fillId="14" borderId="21" xfId="0" applyNumberFormat="1" applyFont="1" applyFill="1" applyBorder="1" applyAlignment="1">
      <alignment horizontal="left" indent="1"/>
    </xf>
    <xf numFmtId="165" fontId="13" fillId="14" borderId="18" xfId="0" applyNumberFormat="1" applyFont="1" applyFill="1" applyBorder="1" applyAlignment="1">
      <alignment horizontal="left" indent="1"/>
    </xf>
    <xf numFmtId="165" fontId="13" fillId="14" borderId="19" xfId="0" applyNumberFormat="1" applyFont="1" applyFill="1" applyBorder="1" applyAlignment="1">
      <alignment horizontal="left" indent="1"/>
    </xf>
    <xf numFmtId="9" fontId="0" fillId="62" borderId="11" xfId="0" applyNumberFormat="1" applyFill="1" applyBorder="1" applyAlignment="1">
      <alignment horizontal="center" vertical="center"/>
    </xf>
    <xf numFmtId="9" fontId="0" fillId="62" borderId="66" xfId="0" applyNumberFormat="1" applyFill="1" applyBorder="1" applyAlignment="1">
      <alignment horizontal="center" vertical="center"/>
    </xf>
    <xf numFmtId="9" fontId="0" fillId="62" borderId="12" xfId="0" applyNumberFormat="1" applyFill="1" applyBorder="1" applyAlignment="1">
      <alignment horizontal="center" vertical="center"/>
    </xf>
    <xf numFmtId="9" fontId="0" fillId="14" borderId="21" xfId="0" applyNumberFormat="1" applyFill="1" applyBorder="1" applyAlignment="1">
      <alignment horizontal="center" vertical="center"/>
    </xf>
    <xf numFmtId="9" fontId="0" fillId="14" borderId="18" xfId="0" applyNumberFormat="1" applyFill="1" applyBorder="1" applyAlignment="1">
      <alignment horizontal="center" vertical="center"/>
    </xf>
    <xf numFmtId="9" fontId="0" fillId="14" borderId="19" xfId="0" applyNumberFormat="1" applyFill="1" applyBorder="1" applyAlignment="1">
      <alignment horizontal="center" vertical="center"/>
    </xf>
    <xf numFmtId="0" fontId="3" fillId="60" borderId="10" xfId="0" applyFont="1" applyFill="1" applyBorder="1" applyAlignment="1">
      <alignment horizontal="center" vertical="center"/>
    </xf>
    <xf numFmtId="10" fontId="12" fillId="0" borderId="20" xfId="0" applyNumberFormat="1" applyFont="1" applyBorder="1" applyAlignment="1">
      <alignment horizontal="center" vertical="center"/>
    </xf>
    <xf numFmtId="10" fontId="12" fillId="0" borderId="15" xfId="0" applyNumberFormat="1" applyFont="1" applyBorder="1" applyAlignment="1">
      <alignment horizontal="center" vertical="center"/>
    </xf>
    <xf numFmtId="10" fontId="12" fillId="0" borderId="16" xfId="0" applyNumberFormat="1" applyFont="1" applyBorder="1" applyAlignment="1">
      <alignment horizontal="center" vertical="center"/>
    </xf>
    <xf numFmtId="165" fontId="3" fillId="40" borderId="55" xfId="0" applyNumberFormat="1" applyFont="1" applyFill="1" applyBorder="1" applyAlignment="1">
      <alignment horizontal="center" vertical="center"/>
    </xf>
    <xf numFmtId="10" fontId="12" fillId="45" borderId="20" xfId="0" applyNumberFormat="1" applyFont="1" applyFill="1" applyBorder="1" applyAlignment="1">
      <alignment horizontal="left" indent="1"/>
    </xf>
    <xf numFmtId="10" fontId="12" fillId="45" borderId="15" xfId="0" applyNumberFormat="1" applyFont="1" applyFill="1" applyBorder="1" applyAlignment="1">
      <alignment horizontal="left" indent="1"/>
    </xf>
    <xf numFmtId="10" fontId="12" fillId="45" borderId="16" xfId="0" applyNumberFormat="1" applyFont="1" applyFill="1" applyBorder="1" applyAlignment="1">
      <alignment horizontal="left" inden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right" indent="1"/>
    </xf>
    <xf numFmtId="0" fontId="0" fillId="0" borderId="0" xfId="0" applyAlignment="1">
      <alignment horizontal="left" vertical="center" indent="1"/>
    </xf>
    <xf numFmtId="165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inden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13" fillId="34" borderId="0" xfId="0" applyFont="1" applyFill="1" applyAlignment="1">
      <alignment horizontal="center"/>
    </xf>
    <xf numFmtId="0" fontId="0" fillId="64" borderId="0" xfId="0" applyFill="1"/>
    <xf numFmtId="0" fontId="12" fillId="33" borderId="46" xfId="0" applyFont="1" applyFill="1" applyBorder="1" applyAlignment="1">
      <alignment horizontal="center" vertical="center"/>
    </xf>
    <xf numFmtId="14" fontId="13" fillId="45" borderId="50" xfId="0" applyNumberFormat="1" applyFont="1" applyFill="1" applyBorder="1" applyAlignment="1">
      <alignment horizontal="center" vertical="center"/>
    </xf>
    <xf numFmtId="0" fontId="10" fillId="48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166" fontId="13" fillId="0" borderId="19" xfId="0" applyNumberFormat="1" applyFont="1" applyBorder="1" applyAlignment="1">
      <alignment horizontal="center" vertical="center"/>
    </xf>
    <xf numFmtId="166" fontId="13" fillId="0" borderId="4" xfId="0" applyNumberFormat="1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0" fontId="12" fillId="60" borderId="44" xfId="0" applyFont="1" applyFill="1" applyBorder="1" applyAlignment="1">
      <alignment horizontal="right" indent="1"/>
    </xf>
    <xf numFmtId="0" fontId="12" fillId="60" borderId="46" xfId="0" applyFont="1" applyFill="1" applyBorder="1" applyAlignment="1">
      <alignment horizontal="right" indent="1"/>
    </xf>
    <xf numFmtId="0" fontId="12" fillId="60" borderId="48" xfId="0" applyFont="1" applyFill="1" applyBorder="1" applyAlignment="1">
      <alignment horizontal="right" indent="1"/>
    </xf>
    <xf numFmtId="0" fontId="12" fillId="60" borderId="50" xfId="0" applyFont="1" applyFill="1" applyBorder="1" applyAlignment="1">
      <alignment horizontal="right" indent="1"/>
    </xf>
    <xf numFmtId="0" fontId="13" fillId="60" borderId="44" xfId="0" applyFont="1" applyFill="1" applyBorder="1" applyAlignment="1">
      <alignment horizontal="right" indent="1"/>
    </xf>
    <xf numFmtId="0" fontId="13" fillId="60" borderId="46" xfId="0" applyFont="1" applyFill="1" applyBorder="1" applyAlignment="1">
      <alignment horizontal="right" indent="1"/>
    </xf>
    <xf numFmtId="0" fontId="3" fillId="4" borderId="48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horizontal="center" vertical="center"/>
    </xf>
    <xf numFmtId="0" fontId="3" fillId="16" borderId="13" xfId="0" applyFont="1" applyFill="1" applyBorder="1" applyAlignment="1">
      <alignment horizontal="center" vertical="center"/>
    </xf>
    <xf numFmtId="10" fontId="3" fillId="0" borderId="44" xfId="0" applyNumberFormat="1" applyFont="1" applyBorder="1" applyAlignment="1">
      <alignment horizontal="center" vertical="center"/>
    </xf>
    <xf numFmtId="10" fontId="3" fillId="0" borderId="46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47" xfId="0" applyNumberFormat="1" applyFont="1" applyBorder="1" applyAlignment="1">
      <alignment horizontal="center" vertical="center"/>
    </xf>
    <xf numFmtId="10" fontId="3" fillId="0" borderId="48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13" fillId="60" borderId="48" xfId="0" applyFont="1" applyFill="1" applyBorder="1" applyAlignment="1">
      <alignment horizontal="right" indent="1"/>
    </xf>
    <xf numFmtId="0" fontId="13" fillId="60" borderId="50" xfId="0" applyFont="1" applyFill="1" applyBorder="1" applyAlignment="1">
      <alignment horizontal="right" indent="1"/>
    </xf>
    <xf numFmtId="0" fontId="13" fillId="60" borderId="5" xfId="0" applyFont="1" applyFill="1" applyBorder="1" applyAlignment="1">
      <alignment horizontal="right" indent="1"/>
    </xf>
    <xf numFmtId="0" fontId="13" fillId="60" borderId="47" xfId="0" applyFont="1" applyFill="1" applyBorder="1" applyAlignment="1">
      <alignment horizontal="right" indent="1"/>
    </xf>
    <xf numFmtId="0" fontId="13" fillId="60" borderId="7" xfId="0" applyFont="1" applyFill="1" applyBorder="1" applyAlignment="1">
      <alignment horizontal="right" indent="1"/>
    </xf>
    <xf numFmtId="0" fontId="13" fillId="60" borderId="53" xfId="0" applyFont="1" applyFill="1" applyBorder="1" applyAlignment="1">
      <alignment horizontal="right" indent="1"/>
    </xf>
    <xf numFmtId="0" fontId="13" fillId="14" borderId="26" xfId="0" applyFont="1" applyFill="1" applyBorder="1" applyAlignment="1">
      <alignment horizontal="center" vertical="center" wrapText="1"/>
    </xf>
    <xf numFmtId="0" fontId="13" fillId="14" borderId="22" xfId="0" applyFont="1" applyFill="1" applyBorder="1" applyAlignment="1">
      <alignment horizontal="center" vertical="center" wrapText="1"/>
    </xf>
    <xf numFmtId="0" fontId="13" fillId="14" borderId="27" xfId="0" applyFont="1" applyFill="1" applyBorder="1" applyAlignment="1">
      <alignment horizontal="center" vertical="center" wrapText="1"/>
    </xf>
    <xf numFmtId="0" fontId="13" fillId="14" borderId="70" xfId="0" applyFont="1" applyFill="1" applyBorder="1" applyAlignment="1">
      <alignment horizontal="center" vertical="center" wrapText="1"/>
    </xf>
    <xf numFmtId="0" fontId="13" fillId="14" borderId="56" xfId="0" applyFont="1" applyFill="1" applyBorder="1" applyAlignment="1">
      <alignment horizontal="center" vertical="center" wrapText="1"/>
    </xf>
    <xf numFmtId="0" fontId="13" fillId="14" borderId="62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/>
    </xf>
    <xf numFmtId="0" fontId="12" fillId="4" borderId="63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0" fillId="20" borderId="11" xfId="0" applyFill="1" applyBorder="1" applyAlignment="1">
      <alignment horizontal="right" vertical="center" indent="1"/>
    </xf>
    <xf numFmtId="0" fontId="0" fillId="20" borderId="2" xfId="0" applyFill="1" applyBorder="1" applyAlignment="1">
      <alignment horizontal="right" vertical="center" indent="1"/>
    </xf>
    <xf numFmtId="0" fontId="0" fillId="21" borderId="12" xfId="0" applyFill="1" applyBorder="1" applyAlignment="1">
      <alignment horizontal="right" vertical="center" indent="1"/>
    </xf>
    <xf numFmtId="0" fontId="0" fillId="21" borderId="64" xfId="0" applyFill="1" applyBorder="1" applyAlignment="1">
      <alignment horizontal="right" vertical="center" indent="1"/>
    </xf>
    <xf numFmtId="0" fontId="15" fillId="39" borderId="9" xfId="0" applyFont="1" applyFill="1" applyBorder="1" applyAlignment="1">
      <alignment horizontal="center" vertical="center"/>
    </xf>
    <xf numFmtId="0" fontId="15" fillId="39" borderId="13" xfId="0" applyFont="1" applyFill="1" applyBorder="1" applyAlignment="1">
      <alignment horizontal="center" vertical="center"/>
    </xf>
    <xf numFmtId="0" fontId="5" fillId="18" borderId="26" xfId="0" applyFont="1" applyFill="1" applyBorder="1" applyAlignment="1">
      <alignment horizontal="center"/>
    </xf>
    <xf numFmtId="0" fontId="5" fillId="18" borderId="27" xfId="0" applyFont="1" applyFill="1" applyBorder="1" applyAlignment="1">
      <alignment horizontal="center"/>
    </xf>
    <xf numFmtId="0" fontId="0" fillId="14" borderId="76" xfId="0" applyFill="1" applyBorder="1" applyAlignment="1">
      <alignment horizontal="center"/>
    </xf>
    <xf numFmtId="0" fontId="0" fillId="14" borderId="58" xfId="0" applyFill="1" applyBorder="1" applyAlignment="1">
      <alignment horizontal="center"/>
    </xf>
    <xf numFmtId="0" fontId="0" fillId="14" borderId="51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14" borderId="67" xfId="0" applyFill="1" applyBorder="1" applyAlignment="1">
      <alignment horizontal="center"/>
    </xf>
    <xf numFmtId="0" fontId="0" fillId="14" borderId="57" xfId="0" applyFill="1" applyBorder="1" applyAlignment="1">
      <alignment horizontal="center"/>
    </xf>
    <xf numFmtId="0" fontId="5" fillId="18" borderId="9" xfId="0" applyFont="1" applyFill="1" applyBorder="1" applyAlignment="1">
      <alignment horizontal="right" indent="1"/>
    </xf>
    <xf numFmtId="0" fontId="5" fillId="18" borderId="13" xfId="0" applyFont="1" applyFill="1" applyBorder="1" applyAlignment="1">
      <alignment horizontal="right" indent="1"/>
    </xf>
    <xf numFmtId="0" fontId="3" fillId="15" borderId="29" xfId="0" applyFont="1" applyFill="1" applyBorder="1" applyAlignment="1">
      <alignment horizontal="center"/>
    </xf>
    <xf numFmtId="0" fontId="3" fillId="15" borderId="20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3" fillId="15" borderId="15" xfId="0" applyFont="1" applyFill="1" applyBorder="1" applyAlignment="1">
      <alignment horizontal="center"/>
    </xf>
    <xf numFmtId="0" fontId="5" fillId="18" borderId="9" xfId="0" applyFont="1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3" xfId="0" applyFont="1" applyFill="1" applyBorder="1" applyAlignment="1">
      <alignment horizontal="center"/>
    </xf>
    <xf numFmtId="0" fontId="10" fillId="50" borderId="9" xfId="0" applyFont="1" applyFill="1" applyBorder="1" applyAlignment="1">
      <alignment horizontal="center"/>
    </xf>
    <xf numFmtId="0" fontId="10" fillId="50" borderId="63" xfId="0" applyFont="1" applyFill="1" applyBorder="1" applyAlignment="1">
      <alignment horizontal="center"/>
    </xf>
    <xf numFmtId="0" fontId="10" fillId="50" borderId="13" xfId="0" applyFont="1" applyFill="1" applyBorder="1" applyAlignment="1">
      <alignment horizontal="center"/>
    </xf>
    <xf numFmtId="0" fontId="11" fillId="38" borderId="9" xfId="0" applyFont="1" applyFill="1" applyBorder="1" applyAlignment="1">
      <alignment horizontal="center" vertical="center"/>
    </xf>
    <xf numFmtId="0" fontId="11" fillId="38" borderId="63" xfId="0" applyFont="1" applyFill="1" applyBorder="1" applyAlignment="1">
      <alignment horizontal="center" vertical="center"/>
    </xf>
    <xf numFmtId="0" fontId="11" fillId="38" borderId="13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right" indent="1"/>
    </xf>
    <xf numFmtId="0" fontId="6" fillId="17" borderId="2" xfId="0" applyFont="1" applyFill="1" applyBorder="1" applyAlignment="1">
      <alignment horizontal="right" indent="1"/>
    </xf>
    <xf numFmtId="0" fontId="11" fillId="36" borderId="9" xfId="0" applyFont="1" applyFill="1" applyBorder="1" applyAlignment="1">
      <alignment horizontal="center" vertical="center"/>
    </xf>
    <xf numFmtId="0" fontId="11" fillId="36" borderId="63" xfId="0" applyFont="1" applyFill="1" applyBorder="1" applyAlignment="1">
      <alignment horizontal="center" vertical="center"/>
    </xf>
    <xf numFmtId="0" fontId="11" fillId="36" borderId="13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1" fillId="12" borderId="63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5" borderId="65" xfId="0" applyFont="1" applyFill="1" applyBorder="1" applyAlignment="1">
      <alignment horizontal="center"/>
    </xf>
    <xf numFmtId="0" fontId="12" fillId="67" borderId="26" xfId="0" applyFont="1" applyFill="1" applyBorder="1" applyAlignment="1">
      <alignment horizontal="right" vertical="center" indent="1"/>
    </xf>
    <xf numFmtId="0" fontId="12" fillId="67" borderId="22" xfId="0" applyFont="1" applyFill="1" applyBorder="1" applyAlignment="1">
      <alignment horizontal="right" vertical="center" indent="1"/>
    </xf>
    <xf numFmtId="0" fontId="12" fillId="67" borderId="27" xfId="0" applyFont="1" applyFill="1" applyBorder="1" applyAlignment="1">
      <alignment horizontal="right" vertical="center" indent="1"/>
    </xf>
    <xf numFmtId="0" fontId="4" fillId="69" borderId="9" xfId="0" applyFont="1" applyFill="1" applyBorder="1" applyAlignment="1">
      <alignment horizontal="center" vertical="center"/>
    </xf>
    <xf numFmtId="0" fontId="4" fillId="69" borderId="63" xfId="0" applyFont="1" applyFill="1" applyBorder="1" applyAlignment="1">
      <alignment horizontal="center" vertical="center"/>
    </xf>
    <xf numFmtId="0" fontId="4" fillId="69" borderId="13" xfId="0" applyFont="1" applyFill="1" applyBorder="1" applyAlignment="1">
      <alignment horizontal="center" vertical="center"/>
    </xf>
    <xf numFmtId="0" fontId="10" fillId="67" borderId="26" xfId="0" applyFont="1" applyFill="1" applyBorder="1" applyAlignment="1">
      <alignment horizontal="right" vertical="center" indent="1"/>
    </xf>
    <xf numFmtId="0" fontId="10" fillId="67" borderId="22" xfId="0" applyFont="1" applyFill="1" applyBorder="1" applyAlignment="1">
      <alignment horizontal="right" vertical="center" indent="1"/>
    </xf>
    <xf numFmtId="0" fontId="10" fillId="67" borderId="27" xfId="0" applyFont="1" applyFill="1" applyBorder="1" applyAlignment="1">
      <alignment horizontal="right" vertical="center" indent="1"/>
    </xf>
    <xf numFmtId="0" fontId="10" fillId="67" borderId="61" xfId="0" applyFont="1" applyFill="1" applyBorder="1" applyAlignment="1">
      <alignment horizontal="right" vertical="center" indent="1"/>
    </xf>
    <xf numFmtId="0" fontId="10" fillId="67" borderId="0" xfId="0" applyFont="1" applyFill="1" applyAlignment="1">
      <alignment horizontal="right" vertical="center" indent="1"/>
    </xf>
    <xf numFmtId="0" fontId="10" fillId="67" borderId="65" xfId="0" applyFont="1" applyFill="1" applyBorder="1" applyAlignment="1">
      <alignment horizontal="right" vertical="center" indent="1"/>
    </xf>
    <xf numFmtId="9" fontId="18" fillId="14" borderId="25" xfId="0" applyNumberFormat="1" applyFont="1" applyFill="1" applyBorder="1" applyAlignment="1">
      <alignment horizontal="center" vertical="center"/>
    </xf>
    <xf numFmtId="9" fontId="18" fillId="14" borderId="28" xfId="0" applyNumberFormat="1" applyFont="1" applyFill="1" applyBorder="1" applyAlignment="1">
      <alignment horizontal="center" vertical="center"/>
    </xf>
    <xf numFmtId="0" fontId="12" fillId="66" borderId="44" xfId="0" applyFont="1" applyFill="1" applyBorder="1" applyAlignment="1">
      <alignment horizontal="right" indent="1"/>
    </xf>
    <xf numFmtId="0" fontId="12" fillId="66" borderId="45" xfId="0" applyFont="1" applyFill="1" applyBorder="1" applyAlignment="1">
      <alignment horizontal="right" indent="1"/>
    </xf>
    <xf numFmtId="0" fontId="12" fillId="66" borderId="57" xfId="0" applyFont="1" applyFill="1" applyBorder="1" applyAlignment="1">
      <alignment horizontal="right" indent="1"/>
    </xf>
    <xf numFmtId="0" fontId="12" fillId="66" borderId="5" xfId="0" applyFont="1" applyFill="1" applyBorder="1" applyAlignment="1">
      <alignment horizontal="right" indent="1"/>
    </xf>
    <xf numFmtId="0" fontId="12" fillId="66" borderId="3" xfId="0" applyFont="1" applyFill="1" applyBorder="1" applyAlignment="1">
      <alignment horizontal="right" indent="1"/>
    </xf>
    <xf numFmtId="0" fontId="12" fillId="66" borderId="32" xfId="0" applyFont="1" applyFill="1" applyBorder="1" applyAlignment="1">
      <alignment horizontal="right" indent="1"/>
    </xf>
    <xf numFmtId="0" fontId="5" fillId="18" borderId="22" xfId="0" applyFont="1" applyFill="1" applyBorder="1" applyAlignment="1">
      <alignment horizontal="center"/>
    </xf>
    <xf numFmtId="0" fontId="5" fillId="18" borderId="70" xfId="0" applyFont="1" applyFill="1" applyBorder="1" applyAlignment="1">
      <alignment horizontal="right" indent="1"/>
    </xf>
    <xf numFmtId="0" fontId="5" fillId="18" borderId="62" xfId="0" applyFont="1" applyFill="1" applyBorder="1" applyAlignment="1">
      <alignment horizontal="right" indent="1"/>
    </xf>
    <xf numFmtId="0" fontId="6" fillId="17" borderId="12" xfId="0" applyFont="1" applyFill="1" applyBorder="1" applyAlignment="1">
      <alignment horizontal="right" indent="1"/>
    </xf>
    <xf numFmtId="0" fontId="6" fillId="17" borderId="64" xfId="0" applyFont="1" applyFill="1" applyBorder="1" applyAlignment="1">
      <alignment horizontal="right" indent="1"/>
    </xf>
    <xf numFmtId="0" fontId="11" fillId="56" borderId="9" xfId="0" applyFont="1" applyFill="1" applyBorder="1" applyAlignment="1">
      <alignment horizontal="center" vertical="center"/>
    </xf>
    <xf numFmtId="0" fontId="11" fillId="56" borderId="63" xfId="0" applyFont="1" applyFill="1" applyBorder="1" applyAlignment="1">
      <alignment horizontal="center" vertical="center"/>
    </xf>
    <xf numFmtId="0" fontId="11" fillId="56" borderId="13" xfId="0" applyFont="1" applyFill="1" applyBorder="1" applyAlignment="1">
      <alignment horizontal="center" vertical="center"/>
    </xf>
    <xf numFmtId="0" fontId="10" fillId="36" borderId="9" xfId="0" applyFont="1" applyFill="1" applyBorder="1" applyAlignment="1">
      <alignment horizontal="center"/>
    </xf>
    <xf numFmtId="0" fontId="10" fillId="36" borderId="63" xfId="0" applyFont="1" applyFill="1" applyBorder="1" applyAlignment="1">
      <alignment horizontal="center"/>
    </xf>
    <xf numFmtId="0" fontId="10" fillId="36" borderId="13" xfId="0" applyFont="1" applyFill="1" applyBorder="1" applyAlignment="1">
      <alignment horizontal="center"/>
    </xf>
    <xf numFmtId="0" fontId="3" fillId="23" borderId="25" xfId="0" applyFont="1" applyFill="1" applyBorder="1" applyAlignment="1">
      <alignment horizontal="center" vertical="center"/>
    </xf>
    <xf numFmtId="0" fontId="3" fillId="23" borderId="28" xfId="0" applyFont="1" applyFill="1" applyBorder="1" applyAlignment="1">
      <alignment horizontal="center" vertical="center"/>
    </xf>
    <xf numFmtId="0" fontId="11" fillId="50" borderId="9" xfId="0" applyFont="1" applyFill="1" applyBorder="1" applyAlignment="1">
      <alignment horizontal="center" vertical="center"/>
    </xf>
    <xf numFmtId="0" fontId="11" fillId="50" borderId="63" xfId="0" applyFont="1" applyFill="1" applyBorder="1" applyAlignment="1">
      <alignment horizontal="center" vertical="center"/>
    </xf>
    <xf numFmtId="0" fontId="11" fillId="50" borderId="13" xfId="0" applyFont="1" applyFill="1" applyBorder="1" applyAlignment="1">
      <alignment horizontal="center" vertical="center"/>
    </xf>
    <xf numFmtId="0" fontId="16" fillId="41" borderId="9" xfId="0" applyFont="1" applyFill="1" applyBorder="1" applyAlignment="1">
      <alignment horizontal="center"/>
    </xf>
    <xf numFmtId="0" fontId="16" fillId="41" borderId="63" xfId="0" applyFont="1" applyFill="1" applyBorder="1" applyAlignment="1">
      <alignment horizontal="center"/>
    </xf>
    <xf numFmtId="0" fontId="16" fillId="41" borderId="13" xfId="0" applyFont="1" applyFill="1" applyBorder="1" applyAlignment="1">
      <alignment horizontal="center"/>
    </xf>
    <xf numFmtId="0" fontId="0" fillId="22" borderId="11" xfId="0" applyFill="1" applyBorder="1" applyAlignment="1">
      <alignment horizontal="right" vertical="center" indent="1"/>
    </xf>
    <xf numFmtId="0" fontId="0" fillId="22" borderId="2" xfId="0" applyFill="1" applyBorder="1" applyAlignment="1">
      <alignment horizontal="right" vertical="center" indent="1"/>
    </xf>
    <xf numFmtId="0" fontId="0" fillId="24" borderId="24" xfId="0" applyFill="1" applyBorder="1" applyAlignment="1">
      <alignment horizontal="right" vertical="center" indent="1"/>
    </xf>
    <xf numFmtId="0" fontId="0" fillId="24" borderId="29" xfId="0" applyFill="1" applyBorder="1" applyAlignment="1">
      <alignment horizontal="right" vertical="center" indent="1"/>
    </xf>
    <xf numFmtId="0" fontId="0" fillId="23" borderId="11" xfId="0" applyFill="1" applyBorder="1" applyAlignment="1">
      <alignment horizontal="right" vertical="center" indent="1"/>
    </xf>
    <xf numFmtId="0" fontId="0" fillId="23" borderId="2" xfId="0" applyFill="1" applyBorder="1" applyAlignment="1">
      <alignment horizontal="right" vertical="center" indent="1"/>
    </xf>
    <xf numFmtId="0" fontId="4" fillId="17" borderId="24" xfId="0" applyFont="1" applyFill="1" applyBorder="1" applyAlignment="1">
      <alignment horizontal="right" vertical="center" indent="1"/>
    </xf>
    <xf numFmtId="0" fontId="4" fillId="17" borderId="20" xfId="0" applyFont="1" applyFill="1" applyBorder="1" applyAlignment="1">
      <alignment horizontal="right" vertical="center" indent="1"/>
    </xf>
    <xf numFmtId="0" fontId="3" fillId="13" borderId="9" xfId="0" applyFont="1" applyFill="1" applyBorder="1" applyAlignment="1">
      <alignment horizontal="right" vertical="center" indent="1"/>
    </xf>
    <xf numFmtId="0" fontId="3" fillId="13" borderId="13" xfId="0" applyFont="1" applyFill="1" applyBorder="1" applyAlignment="1">
      <alignment horizontal="right" vertical="center" indent="1"/>
    </xf>
    <xf numFmtId="0" fontId="0" fillId="22" borderId="15" xfId="0" applyFill="1" applyBorder="1" applyAlignment="1">
      <alignment horizontal="right" vertical="center" indent="1"/>
    </xf>
    <xf numFmtId="0" fontId="4" fillId="17" borderId="11" xfId="0" applyFont="1" applyFill="1" applyBorder="1" applyAlignment="1">
      <alignment horizontal="right" vertical="center" indent="1"/>
    </xf>
    <xf numFmtId="0" fontId="4" fillId="17" borderId="15" xfId="0" applyFont="1" applyFill="1" applyBorder="1" applyAlignment="1">
      <alignment horizontal="right" vertical="center" indent="1"/>
    </xf>
    <xf numFmtId="0" fontId="4" fillId="17" borderId="12" xfId="0" applyFont="1" applyFill="1" applyBorder="1" applyAlignment="1">
      <alignment horizontal="right" vertical="center" indent="1"/>
    </xf>
    <xf numFmtId="0" fontId="4" fillId="17" borderId="16" xfId="0" applyFont="1" applyFill="1" applyBorder="1" applyAlignment="1">
      <alignment horizontal="right" vertical="center" indent="1"/>
    </xf>
    <xf numFmtId="0" fontId="3" fillId="13" borderId="9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0" fillId="24" borderId="20" xfId="0" applyFill="1" applyBorder="1" applyAlignment="1">
      <alignment horizontal="right" vertical="center" indent="1"/>
    </xf>
    <xf numFmtId="0" fontId="0" fillId="23" borderId="15" xfId="0" applyFill="1" applyBorder="1" applyAlignment="1">
      <alignment horizontal="right" vertical="center" indent="1"/>
    </xf>
    <xf numFmtId="0" fontId="5" fillId="18" borderId="63" xfId="0" applyFont="1" applyFill="1" applyBorder="1" applyAlignment="1">
      <alignment horizontal="right" indent="1"/>
    </xf>
    <xf numFmtId="0" fontId="0" fillId="20" borderId="15" xfId="0" applyFill="1" applyBorder="1" applyAlignment="1">
      <alignment horizontal="right" vertical="center" indent="1"/>
    </xf>
    <xf numFmtId="0" fontId="11" fillId="19" borderId="9" xfId="0" applyFont="1" applyFill="1" applyBorder="1" applyAlignment="1">
      <alignment horizontal="center" vertical="center"/>
    </xf>
    <xf numFmtId="0" fontId="11" fillId="19" borderId="63" xfId="0" applyFont="1" applyFill="1" applyBorder="1" applyAlignment="1">
      <alignment horizontal="center" vertical="center"/>
    </xf>
    <xf numFmtId="0" fontId="11" fillId="19" borderId="13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63" xfId="0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horizontal="right" vertical="center" indent="1"/>
    </xf>
    <xf numFmtId="0" fontId="3" fillId="16" borderId="63" xfId="0" applyFont="1" applyFill="1" applyBorder="1" applyAlignment="1">
      <alignment horizontal="right" vertical="center" indent="1"/>
    </xf>
    <xf numFmtId="0" fontId="3" fillId="5" borderId="9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horizontal="center" vertical="center"/>
    </xf>
    <xf numFmtId="0" fontId="4" fillId="15" borderId="15" xfId="0" applyFont="1" applyFill="1" applyBorder="1" applyAlignment="1">
      <alignment horizontal="center" vertical="center"/>
    </xf>
    <xf numFmtId="0" fontId="4" fillId="15" borderId="12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167" fontId="3" fillId="15" borderId="64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right" vertical="center" indent="1"/>
    </xf>
    <xf numFmtId="0" fontId="10" fillId="4" borderId="47" xfId="0" applyFont="1" applyFill="1" applyBorder="1" applyAlignment="1">
      <alignment horizontal="right" vertical="center" indent="1"/>
    </xf>
    <xf numFmtId="0" fontId="10" fillId="4" borderId="48" xfId="0" applyFont="1" applyFill="1" applyBorder="1" applyAlignment="1">
      <alignment horizontal="right" vertical="center" indent="1"/>
    </xf>
    <xf numFmtId="0" fontId="10" fillId="4" borderId="50" xfId="0" applyFont="1" applyFill="1" applyBorder="1" applyAlignment="1">
      <alignment horizontal="right" vertical="center" indent="1"/>
    </xf>
    <xf numFmtId="0" fontId="3" fillId="56" borderId="25" xfId="0" applyFont="1" applyFill="1" applyBorder="1" applyAlignment="1">
      <alignment horizontal="center" vertical="center" wrapText="1"/>
    </xf>
    <xf numFmtId="0" fontId="3" fillId="56" borderId="28" xfId="0" applyFont="1" applyFill="1" applyBorder="1" applyAlignment="1">
      <alignment horizontal="center" vertical="center" wrapText="1"/>
    </xf>
    <xf numFmtId="0" fontId="13" fillId="60" borderId="12" xfId="0" applyFont="1" applyFill="1" applyBorder="1" applyAlignment="1">
      <alignment horizontal="right" indent="1"/>
    </xf>
    <xf numFmtId="0" fontId="13" fillId="60" borderId="16" xfId="0" applyFont="1" applyFill="1" applyBorder="1" applyAlignment="1">
      <alignment horizontal="right" indent="1"/>
    </xf>
    <xf numFmtId="0" fontId="3" fillId="5" borderId="82" xfId="0" applyFont="1" applyFill="1" applyBorder="1" applyAlignment="1">
      <alignment horizontal="center" vertical="center"/>
    </xf>
    <xf numFmtId="0" fontId="3" fillId="5" borderId="7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9" xfId="0" applyFont="1" applyFill="1" applyBorder="1" applyAlignment="1">
      <alignment horizontal="center" vertical="center"/>
    </xf>
    <xf numFmtId="0" fontId="6" fillId="17" borderId="24" xfId="0" applyFont="1" applyFill="1" applyBorder="1" applyAlignment="1">
      <alignment horizontal="right" indent="1"/>
    </xf>
    <xf numFmtId="0" fontId="6" fillId="17" borderId="29" xfId="0" applyFont="1" applyFill="1" applyBorder="1" applyAlignment="1">
      <alignment horizontal="right" indent="1"/>
    </xf>
    <xf numFmtId="0" fontId="5" fillId="18" borderId="63" xfId="0" applyFont="1" applyFill="1" applyBorder="1" applyAlignment="1">
      <alignment horizontal="center"/>
    </xf>
    <xf numFmtId="0" fontId="0" fillId="21" borderId="16" xfId="0" applyFill="1" applyBorder="1" applyAlignment="1">
      <alignment horizontal="right" vertical="center" indent="1"/>
    </xf>
    <xf numFmtId="0" fontId="3" fillId="13" borderId="26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3" fillId="16" borderId="70" xfId="0" applyFont="1" applyFill="1" applyBorder="1" applyAlignment="1">
      <alignment horizontal="right" vertical="center" indent="1"/>
    </xf>
    <xf numFmtId="0" fontId="3" fillId="16" borderId="56" xfId="0" applyFont="1" applyFill="1" applyBorder="1" applyAlignment="1">
      <alignment horizontal="right" vertical="center" indent="1"/>
    </xf>
    <xf numFmtId="0" fontId="10" fillId="38" borderId="9" xfId="0" applyFont="1" applyFill="1" applyBorder="1" applyAlignment="1">
      <alignment horizontal="center" vertical="top"/>
    </xf>
    <xf numFmtId="0" fontId="10" fillId="38" borderId="13" xfId="0" applyFont="1" applyFill="1" applyBorder="1" applyAlignment="1">
      <alignment horizontal="center" vertical="top"/>
    </xf>
    <xf numFmtId="0" fontId="3" fillId="56" borderId="26" xfId="0" applyFont="1" applyFill="1" applyBorder="1" applyAlignment="1">
      <alignment horizontal="center"/>
    </xf>
    <xf numFmtId="0" fontId="3" fillId="56" borderId="22" xfId="0" applyFont="1" applyFill="1" applyBorder="1" applyAlignment="1">
      <alignment horizontal="center"/>
    </xf>
    <xf numFmtId="0" fontId="3" fillId="56" borderId="27" xfId="0" applyFont="1" applyFill="1" applyBorder="1" applyAlignment="1">
      <alignment horizontal="center"/>
    </xf>
    <xf numFmtId="0" fontId="3" fillId="23" borderId="26" xfId="0" applyFont="1" applyFill="1" applyBorder="1" applyAlignment="1">
      <alignment horizontal="center"/>
    </xf>
    <xf numFmtId="0" fontId="3" fillId="23" borderId="22" xfId="0" applyFont="1" applyFill="1" applyBorder="1" applyAlignment="1">
      <alignment horizontal="center"/>
    </xf>
    <xf numFmtId="0" fontId="3" fillId="23" borderId="27" xfId="0" applyFont="1" applyFill="1" applyBorder="1" applyAlignment="1">
      <alignment horizontal="center"/>
    </xf>
    <xf numFmtId="0" fontId="3" fillId="13" borderId="44" xfId="0" applyFont="1" applyFill="1" applyBorder="1" applyAlignment="1">
      <alignment horizontal="center"/>
    </xf>
    <xf numFmtId="0" fontId="3" fillId="13" borderId="45" xfId="0" applyFont="1" applyFill="1" applyBorder="1" applyAlignment="1">
      <alignment horizontal="center"/>
    </xf>
    <xf numFmtId="0" fontId="3" fillId="13" borderId="46" xfId="0" applyFont="1" applyFill="1" applyBorder="1" applyAlignment="1">
      <alignment horizontal="center"/>
    </xf>
    <xf numFmtId="167" fontId="14" fillId="15" borderId="48" xfId="0" applyNumberFormat="1" applyFont="1" applyFill="1" applyBorder="1" applyAlignment="1">
      <alignment horizontal="center"/>
    </xf>
    <xf numFmtId="167" fontId="14" fillId="15" borderId="49" xfId="0" applyNumberFormat="1" applyFont="1" applyFill="1" applyBorder="1" applyAlignment="1">
      <alignment horizontal="center"/>
    </xf>
    <xf numFmtId="167" fontId="14" fillId="15" borderId="50" xfId="0" applyNumberFormat="1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3" fillId="10" borderId="22" xfId="0" applyFont="1" applyFill="1" applyBorder="1" applyAlignment="1">
      <alignment horizontal="center"/>
    </xf>
    <xf numFmtId="0" fontId="3" fillId="18" borderId="25" xfId="0" applyFont="1" applyFill="1" applyBorder="1" applyAlignment="1">
      <alignment horizontal="center" vertical="center"/>
    </xf>
    <xf numFmtId="0" fontId="3" fillId="18" borderId="55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11" borderId="25" xfId="0" applyFont="1" applyFill="1" applyBorder="1" applyAlignment="1">
      <alignment horizontal="center" vertical="center" wrapText="1"/>
    </xf>
    <xf numFmtId="0" fontId="3" fillId="11" borderId="28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18" fillId="68" borderId="9" xfId="0" applyFont="1" applyFill="1" applyBorder="1" applyAlignment="1">
      <alignment horizontal="center" vertical="center"/>
    </xf>
    <xf numFmtId="0" fontId="18" fillId="68" borderId="63" xfId="0" applyFont="1" applyFill="1" applyBorder="1" applyAlignment="1">
      <alignment horizontal="center" vertical="center"/>
    </xf>
    <xf numFmtId="0" fontId="18" fillId="68" borderId="13" xfId="0" applyFont="1" applyFill="1" applyBorder="1" applyAlignment="1">
      <alignment horizontal="center" vertical="center"/>
    </xf>
    <xf numFmtId="0" fontId="18" fillId="66" borderId="26" xfId="0" applyFont="1" applyFill="1" applyBorder="1" applyAlignment="1">
      <alignment horizontal="center" vertical="center"/>
    </xf>
    <xf numFmtId="0" fontId="18" fillId="66" borderId="27" xfId="0" applyFont="1" applyFill="1" applyBorder="1" applyAlignment="1">
      <alignment horizontal="center" vertical="center"/>
    </xf>
    <xf numFmtId="0" fontId="18" fillId="66" borderId="61" xfId="0" applyFont="1" applyFill="1" applyBorder="1" applyAlignment="1">
      <alignment horizontal="center" vertical="center"/>
    </xf>
    <xf numFmtId="0" fontId="18" fillId="66" borderId="65" xfId="0" applyFont="1" applyFill="1" applyBorder="1" applyAlignment="1">
      <alignment horizontal="center" vertical="center"/>
    </xf>
    <xf numFmtId="0" fontId="18" fillId="66" borderId="70" xfId="0" applyFont="1" applyFill="1" applyBorder="1" applyAlignment="1">
      <alignment horizontal="center" vertical="center"/>
    </xf>
    <xf numFmtId="0" fontId="18" fillId="66" borderId="62" xfId="0" applyFont="1" applyFill="1" applyBorder="1" applyAlignment="1">
      <alignment horizontal="center" vertical="center"/>
    </xf>
    <xf numFmtId="9" fontId="18" fillId="14" borderId="55" xfId="0" applyNumberFormat="1" applyFont="1" applyFill="1" applyBorder="1" applyAlignment="1">
      <alignment horizontal="center" vertical="center"/>
    </xf>
    <xf numFmtId="0" fontId="19" fillId="0" borderId="26" xfId="0" applyFont="1" applyBorder="1" applyAlignment="1">
      <alignment horizontal="right" vertical="center"/>
    </xf>
    <xf numFmtId="0" fontId="19" fillId="0" borderId="61" xfId="0" applyFont="1" applyBorder="1" applyAlignment="1">
      <alignment horizontal="right" vertical="center"/>
    </xf>
    <xf numFmtId="0" fontId="19" fillId="0" borderId="70" xfId="0" applyFont="1" applyBorder="1" applyAlignment="1">
      <alignment horizontal="right" vertical="center"/>
    </xf>
    <xf numFmtId="165" fontId="18" fillId="0" borderId="27" xfId="0" applyNumberFormat="1" applyFont="1" applyBorder="1" applyAlignment="1">
      <alignment horizontal="left" vertical="center"/>
    </xf>
    <xf numFmtId="0" fontId="18" fillId="0" borderId="65" xfId="0" applyFont="1" applyBorder="1" applyAlignment="1">
      <alignment horizontal="left" vertical="center"/>
    </xf>
    <xf numFmtId="0" fontId="18" fillId="0" borderId="62" xfId="0" applyFont="1" applyBorder="1" applyAlignment="1">
      <alignment horizontal="left" vertical="center"/>
    </xf>
    <xf numFmtId="0" fontId="12" fillId="66" borderId="48" xfId="0" applyFont="1" applyFill="1" applyBorder="1" applyAlignment="1">
      <alignment horizontal="right" indent="1"/>
    </xf>
    <xf numFmtId="0" fontId="12" fillId="66" borderId="49" xfId="0" applyFont="1" applyFill="1" applyBorder="1" applyAlignment="1">
      <alignment horizontal="right" indent="1"/>
    </xf>
    <xf numFmtId="0" fontId="12" fillId="66" borderId="58" xfId="0" applyFont="1" applyFill="1" applyBorder="1" applyAlignment="1">
      <alignment horizontal="right" indent="1"/>
    </xf>
    <xf numFmtId="0" fontId="10" fillId="67" borderId="26" xfId="0" applyFont="1" applyFill="1" applyBorder="1" applyAlignment="1">
      <alignment horizontal="right" vertical="center" wrapText="1" indent="1"/>
    </xf>
    <xf numFmtId="0" fontId="10" fillId="67" borderId="22" xfId="0" applyFont="1" applyFill="1" applyBorder="1" applyAlignment="1">
      <alignment horizontal="right" vertical="center" wrapText="1" indent="1"/>
    </xf>
    <xf numFmtId="0" fontId="10" fillId="67" borderId="27" xfId="0" applyFont="1" applyFill="1" applyBorder="1" applyAlignment="1">
      <alignment horizontal="right" vertical="center" wrapText="1" indent="1"/>
    </xf>
    <xf numFmtId="0" fontId="3" fillId="15" borderId="75" xfId="0" applyFont="1" applyFill="1" applyBorder="1" applyAlignment="1">
      <alignment horizontal="center" vertical="center"/>
    </xf>
    <xf numFmtId="0" fontId="3" fillId="15" borderId="14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15" xfId="0" applyFont="1" applyFill="1" applyBorder="1" applyAlignment="1">
      <alignment horizontal="center" vertical="center"/>
    </xf>
    <xf numFmtId="0" fontId="3" fillId="15" borderId="64" xfId="0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3" fillId="15" borderId="29" xfId="0" applyFont="1" applyFill="1" applyBorder="1" applyAlignment="1">
      <alignment horizontal="center" vertical="center"/>
    </xf>
    <xf numFmtId="0" fontId="3" fillId="15" borderId="20" xfId="0" applyFont="1" applyFill="1" applyBorder="1" applyAlignment="1">
      <alignment horizontal="center" vertical="center"/>
    </xf>
    <xf numFmtId="0" fontId="3" fillId="15" borderId="64" xfId="0" applyFont="1" applyFill="1" applyBorder="1" applyAlignment="1">
      <alignment horizontal="center"/>
    </xf>
    <xf numFmtId="0" fontId="3" fillId="15" borderId="16" xfId="0" applyFont="1" applyFill="1" applyBorder="1" applyAlignment="1">
      <alignment horizontal="center"/>
    </xf>
    <xf numFmtId="168" fontId="3" fillId="15" borderId="29" xfId="0" applyNumberFormat="1" applyFont="1" applyFill="1" applyBorder="1" applyAlignment="1">
      <alignment horizontal="center" vertical="center"/>
    </xf>
    <xf numFmtId="0" fontId="3" fillId="51" borderId="70" xfId="0" applyFont="1" applyFill="1" applyBorder="1" applyAlignment="1">
      <alignment horizontal="center" vertical="center"/>
    </xf>
    <xf numFmtId="0" fontId="3" fillId="51" borderId="62" xfId="0" applyFont="1" applyFill="1" applyBorder="1" applyAlignment="1">
      <alignment horizontal="center" vertical="center"/>
    </xf>
    <xf numFmtId="167" fontId="3" fillId="15" borderId="2" xfId="0" applyNumberFormat="1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right" vertical="center" indent="1"/>
    </xf>
    <xf numFmtId="0" fontId="10" fillId="4" borderId="46" xfId="0" applyFont="1" applyFill="1" applyBorder="1" applyAlignment="1">
      <alignment horizontal="right" vertical="center" indent="1"/>
    </xf>
    <xf numFmtId="0" fontId="3" fillId="51" borderId="9" xfId="0" applyFont="1" applyFill="1" applyBorder="1" applyAlignment="1">
      <alignment horizontal="center" vertical="center"/>
    </xf>
    <xf numFmtId="0" fontId="3" fillId="51" borderId="13" xfId="0" applyFont="1" applyFill="1" applyBorder="1" applyAlignment="1">
      <alignment horizontal="center" vertical="center"/>
    </xf>
    <xf numFmtId="0" fontId="10" fillId="32" borderId="26" xfId="0" applyFont="1" applyFill="1" applyBorder="1" applyAlignment="1">
      <alignment horizontal="center" vertical="center" wrapText="1"/>
    </xf>
    <xf numFmtId="0" fontId="10" fillId="32" borderId="70" xfId="0" applyFont="1" applyFill="1" applyBorder="1" applyAlignment="1">
      <alignment horizontal="center" vertical="center" wrapText="1"/>
    </xf>
    <xf numFmtId="0" fontId="4" fillId="67" borderId="70" xfId="0" applyFont="1" applyFill="1" applyBorder="1" applyAlignment="1">
      <alignment horizontal="right" vertical="center" wrapText="1" indent="1"/>
    </xf>
    <xf numFmtId="0" fontId="4" fillId="67" borderId="56" xfId="0" applyFont="1" applyFill="1" applyBorder="1" applyAlignment="1">
      <alignment horizontal="right" vertical="center" wrapText="1" indent="1"/>
    </xf>
    <xf numFmtId="0" fontId="4" fillId="67" borderId="62" xfId="0" applyFont="1" applyFill="1" applyBorder="1" applyAlignment="1">
      <alignment horizontal="right" vertical="center" wrapText="1" indent="1"/>
    </xf>
    <xf numFmtId="0" fontId="4" fillId="67" borderId="70" xfId="0" applyFont="1" applyFill="1" applyBorder="1" applyAlignment="1">
      <alignment horizontal="right" vertical="center" indent="1"/>
    </xf>
    <xf numFmtId="0" fontId="4" fillId="67" borderId="56" xfId="0" applyFont="1" applyFill="1" applyBorder="1" applyAlignment="1">
      <alignment horizontal="right" vertical="center" indent="1"/>
    </xf>
    <xf numFmtId="0" fontId="4" fillId="67" borderId="62" xfId="0" applyFont="1" applyFill="1" applyBorder="1" applyAlignment="1">
      <alignment horizontal="right" vertical="center" indent="1"/>
    </xf>
    <xf numFmtId="10" fontId="18" fillId="12" borderId="25" xfId="0" applyNumberFormat="1" applyFont="1" applyFill="1" applyBorder="1" applyAlignment="1">
      <alignment horizontal="center" vertical="center"/>
    </xf>
    <xf numFmtId="10" fontId="18" fillId="12" borderId="55" xfId="0" applyNumberFormat="1" applyFont="1" applyFill="1" applyBorder="1" applyAlignment="1">
      <alignment horizontal="center" vertical="center"/>
    </xf>
    <xf numFmtId="0" fontId="10" fillId="19" borderId="9" xfId="0" applyFont="1" applyFill="1" applyBorder="1" applyAlignment="1">
      <alignment horizontal="center"/>
    </xf>
    <xf numFmtId="0" fontId="10" fillId="19" borderId="63" xfId="0" applyFont="1" applyFill="1" applyBorder="1" applyAlignment="1">
      <alignment horizontal="center"/>
    </xf>
    <xf numFmtId="0" fontId="10" fillId="19" borderId="13" xfId="0" applyFont="1" applyFill="1" applyBorder="1" applyAlignment="1">
      <alignment horizontal="center"/>
    </xf>
    <xf numFmtId="0" fontId="10" fillId="38" borderId="9" xfId="0" applyFont="1" applyFill="1" applyBorder="1" applyAlignment="1">
      <alignment horizontal="center"/>
    </xf>
    <xf numFmtId="0" fontId="10" fillId="38" borderId="63" xfId="0" applyFont="1" applyFill="1" applyBorder="1" applyAlignment="1">
      <alignment horizontal="center"/>
    </xf>
    <xf numFmtId="0" fontId="10" fillId="38" borderId="13" xfId="0" applyFont="1" applyFill="1" applyBorder="1" applyAlignment="1">
      <alignment horizontal="center"/>
    </xf>
    <xf numFmtId="0" fontId="13" fillId="60" borderId="24" xfId="0" applyFont="1" applyFill="1" applyBorder="1" applyAlignment="1">
      <alignment horizontal="right" indent="1"/>
    </xf>
    <xf numFmtId="0" fontId="13" fillId="60" borderId="20" xfId="0" applyFont="1" applyFill="1" applyBorder="1" applyAlignment="1">
      <alignment horizontal="right" indent="1"/>
    </xf>
    <xf numFmtId="0" fontId="13" fillId="60" borderId="11" xfId="0" applyFont="1" applyFill="1" applyBorder="1" applyAlignment="1">
      <alignment horizontal="right" indent="1"/>
    </xf>
    <xf numFmtId="0" fontId="13" fillId="60" borderId="15" xfId="0" applyFont="1" applyFill="1" applyBorder="1" applyAlignment="1">
      <alignment horizontal="right" inden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65" borderId="9" xfId="0" applyFont="1" applyFill="1" applyBorder="1" applyAlignment="1">
      <alignment horizontal="center"/>
    </xf>
    <xf numFmtId="0" fontId="3" fillId="65" borderId="63" xfId="0" applyFont="1" applyFill="1" applyBorder="1" applyAlignment="1">
      <alignment horizontal="center"/>
    </xf>
    <xf numFmtId="0" fontId="3" fillId="65" borderId="13" xfId="0" applyFont="1" applyFill="1" applyBorder="1" applyAlignment="1">
      <alignment horizont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0DCE2"/>
        </patternFill>
      </fill>
    </dxf>
    <dxf>
      <fill>
        <patternFill>
          <bgColor rgb="FFFFF0E1"/>
        </patternFill>
      </fill>
    </dxf>
    <dxf>
      <fill>
        <patternFill>
          <bgColor rgb="FFECE3F1"/>
        </patternFill>
      </fill>
    </dxf>
    <dxf>
      <fill>
        <patternFill>
          <bgColor rgb="FFFDD7D7"/>
        </patternFill>
      </fill>
    </dxf>
    <dxf>
      <fill>
        <patternFill>
          <bgColor rgb="FFD6E3EE"/>
        </patternFill>
      </fill>
    </dxf>
    <dxf>
      <font>
        <color auto="1"/>
      </font>
      <fill>
        <patternFill>
          <bgColor rgb="FFFA9898"/>
        </patternFill>
      </fill>
    </dxf>
    <dxf>
      <font>
        <color auto="1"/>
      </font>
      <fill>
        <patternFill>
          <bgColor rgb="FFB390C6"/>
        </patternFill>
      </fill>
    </dxf>
    <dxf>
      <font>
        <color auto="1"/>
      </font>
      <fill>
        <patternFill>
          <bgColor rgb="FF5B8EB9"/>
        </patternFill>
      </fill>
    </dxf>
    <dxf>
      <font>
        <color auto="1"/>
      </font>
      <fill>
        <patternFill>
          <bgColor rgb="FFFEDBB8"/>
        </patternFill>
      </fill>
    </dxf>
    <dxf>
      <font>
        <color auto="1"/>
      </font>
      <fill>
        <patternFill>
          <bgColor rgb="FFD296A7"/>
        </patternFill>
      </fill>
    </dxf>
    <dxf>
      <font>
        <color auto="1"/>
      </font>
      <fill>
        <patternFill>
          <bgColor rgb="FFFA9898"/>
        </patternFill>
      </fill>
    </dxf>
    <dxf>
      <font>
        <color auto="1"/>
      </font>
      <fill>
        <patternFill>
          <bgColor rgb="FFB390C6"/>
        </patternFill>
      </fill>
    </dxf>
    <dxf>
      <font>
        <color auto="1"/>
      </font>
      <fill>
        <patternFill>
          <bgColor rgb="FF5B8EB9"/>
        </patternFill>
      </fill>
    </dxf>
    <dxf>
      <font>
        <color auto="1"/>
      </font>
      <fill>
        <patternFill>
          <bgColor rgb="FFFEDBB8"/>
        </patternFill>
      </fill>
    </dxf>
    <dxf>
      <font>
        <color auto="1"/>
      </font>
      <fill>
        <patternFill>
          <bgColor rgb="FFD296A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FCAFB"/>
      <color rgb="FFBF9EEC"/>
      <color rgb="FFFDCFCF"/>
      <color rgb="FFD9D9D9"/>
      <color rgb="FF98BAEC"/>
      <color rgb="FF5D92E1"/>
      <color rgb="FFD7E5FD"/>
      <color rgb="FFC2D6F4"/>
      <color rgb="FF84ACE8"/>
      <color rgb="FF8ED7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Absenteeism Rate by</a:t>
            </a:r>
            <a:r>
              <a:rPr lang="en-US" baseline="0"/>
              <a:t> </a:t>
            </a:r>
            <a:r>
              <a:rPr lang="en-US" b="1" baseline="0"/>
              <a:t>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Tables'!$K$2</c:f>
              <c:strCache>
                <c:ptCount val="1"/>
                <c:pt idx="0">
                  <c:v>Ab.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EDB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94B-4556-B3FD-F633BD1B2A80}"/>
              </c:ext>
            </c:extLst>
          </c:dPt>
          <c:dPt>
            <c:idx val="1"/>
            <c:invertIfNegative val="0"/>
            <c:bubble3D val="0"/>
            <c:spPr>
              <a:solidFill>
                <a:srgbClr val="FA98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4B-4556-B3FD-F633BD1B2A80}"/>
              </c:ext>
            </c:extLst>
          </c:dPt>
          <c:dPt>
            <c:idx val="2"/>
            <c:invertIfNegative val="0"/>
            <c:bubble3D val="0"/>
            <c:spPr>
              <a:solidFill>
                <a:srgbClr val="D296A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4B-4556-B3FD-F633BD1B2A80}"/>
              </c:ext>
            </c:extLst>
          </c:dPt>
          <c:dPt>
            <c:idx val="3"/>
            <c:invertIfNegative val="0"/>
            <c:bubble3D val="0"/>
            <c:spPr>
              <a:solidFill>
                <a:srgbClr val="B390C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4B-4556-B3FD-F633BD1B2A80}"/>
              </c:ext>
            </c:extLst>
          </c:dPt>
          <c:dPt>
            <c:idx val="4"/>
            <c:invertIfNegative val="0"/>
            <c:bubble3D val="0"/>
            <c:spPr>
              <a:solidFill>
                <a:srgbClr val="5B8E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94B-4556-B3FD-F633BD1B2A8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BCB30E3-3AC4-48E2-80DE-A5EE17D887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94B-4556-B3FD-F633BD1B2A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59410D-B876-4DE7-B9ED-B07673DEC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94B-4556-B3FD-F633BD1B2A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650B91-1C52-4F56-A669-6090F5D8B0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94B-4556-B3FD-F633BD1B2A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A7D26E-7F1D-492D-8FB5-CF2EE91BC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94B-4556-B3FD-F633BD1B2A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504AD62-9B3F-4F75-9ECA-B146A0B4C7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94B-4556-B3FD-F633BD1B2A80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Tables'!$J$3:$J$7</c:f>
              <c:strCache>
                <c:ptCount val="5"/>
                <c:pt idx="0">
                  <c:v>Customer Experience</c:v>
                </c:pt>
                <c:pt idx="1">
                  <c:v>Marketing</c:v>
                </c:pt>
                <c:pt idx="2">
                  <c:v>Operations</c:v>
                </c:pt>
                <c:pt idx="3">
                  <c:v>Product &amp; Engineering</c:v>
                </c:pt>
                <c:pt idx="4">
                  <c:v>Sales</c:v>
                </c:pt>
              </c:strCache>
            </c:strRef>
          </c:cat>
          <c:val>
            <c:numRef>
              <c:f>'Dashboard Tables'!$K$3:$K$7</c:f>
              <c:numCache>
                <c:formatCode>0.00%</c:formatCode>
                <c:ptCount val="5"/>
                <c:pt idx="0">
                  <c:v>3.4883720930232558E-2</c:v>
                </c:pt>
                <c:pt idx="1">
                  <c:v>3.9276485788113692E-2</c:v>
                </c:pt>
                <c:pt idx="2">
                  <c:v>2.2932816537467701E-2</c:v>
                </c:pt>
                <c:pt idx="3">
                  <c:v>3.3250048049202383E-2</c:v>
                </c:pt>
                <c:pt idx="4">
                  <c:v>5.9196617336152217E-2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'Dashboard Tables'!$N$3:$N$7</c15:f>
                <c15:dlblRangeCache>
                  <c:ptCount val="5"/>
                  <c:pt idx="1">
                    <c:v>3.93%, Marketing</c:v>
                  </c:pt>
                  <c:pt idx="4">
                    <c:v>5.92%, Sales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94B-4556-B3FD-F633BD1B2A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66437264"/>
        <c:axId val="1166437592"/>
      </c:barChart>
      <c:lineChart>
        <c:grouping val="standard"/>
        <c:varyColors val="0"/>
        <c:ser>
          <c:idx val="1"/>
          <c:order val="1"/>
          <c:tx>
            <c:strRef>
              <c:f>'Dashboard Tables'!$L$2</c:f>
              <c:strCache>
                <c:ptCount val="1"/>
                <c:pt idx="0">
                  <c:v>W.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'Dashboard Tables'!$J$3:$J$7</c:f>
              <c:strCache>
                <c:ptCount val="5"/>
                <c:pt idx="0">
                  <c:v>Customer Experience</c:v>
                </c:pt>
                <c:pt idx="1">
                  <c:v>Marketing</c:v>
                </c:pt>
                <c:pt idx="2">
                  <c:v>Operations</c:v>
                </c:pt>
                <c:pt idx="3">
                  <c:v>Product &amp; Engineering</c:v>
                </c:pt>
                <c:pt idx="4">
                  <c:v>Sales</c:v>
                </c:pt>
              </c:strCache>
            </c:strRef>
          </c:cat>
          <c:val>
            <c:numRef>
              <c:f>'Dashboard Tables'!$L$3:$L$7</c:f>
              <c:numCache>
                <c:formatCode>0.00%</c:formatCode>
                <c:ptCount val="5"/>
                <c:pt idx="0">
                  <c:v>3.5437430786267994E-2</c:v>
                </c:pt>
                <c:pt idx="1">
                  <c:v>3.5437430786267994E-2</c:v>
                </c:pt>
                <c:pt idx="2">
                  <c:v>3.5437430786267994E-2</c:v>
                </c:pt>
                <c:pt idx="3">
                  <c:v>3.5437430786267994E-2</c:v>
                </c:pt>
                <c:pt idx="4">
                  <c:v>3.5437430786267994E-2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4B-4556-B3FD-F633BD1B2A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6437264"/>
        <c:axId val="1166437592"/>
      </c:lineChart>
      <c:catAx>
        <c:axId val="11664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37592"/>
        <c:crosses val="autoZero"/>
        <c:auto val="1"/>
        <c:lblAlgn val="ctr"/>
        <c:lblOffset val="100"/>
        <c:noMultiLvlLbl val="0"/>
      </c:catAx>
      <c:valAx>
        <c:axId val="116643759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3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Absenteeism Rate by</a:t>
            </a:r>
            <a:r>
              <a:rPr lang="en-US" baseline="0"/>
              <a:t> </a:t>
            </a:r>
            <a:r>
              <a:rPr lang="en-US" b="1" baseline="0"/>
              <a:t>Team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Tables'!$D$2</c:f>
              <c:strCache>
                <c:ptCount val="1"/>
                <c:pt idx="0">
                  <c:v>Ab Rate</c:v>
                </c:pt>
              </c:strCache>
            </c:strRef>
          </c:tx>
          <c:spPr>
            <a:solidFill>
              <a:srgbClr val="B390C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EDB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39-4271-BB51-95A82EBB3C2D}"/>
              </c:ext>
            </c:extLst>
          </c:dPt>
          <c:dPt>
            <c:idx val="1"/>
            <c:invertIfNegative val="0"/>
            <c:bubble3D val="0"/>
            <c:spPr>
              <a:solidFill>
                <a:srgbClr val="FEDB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39-4271-BB51-95A82EBB3C2D}"/>
              </c:ext>
            </c:extLst>
          </c:dPt>
          <c:dPt>
            <c:idx val="2"/>
            <c:invertIfNegative val="0"/>
            <c:bubble3D val="0"/>
            <c:spPr>
              <a:solidFill>
                <a:srgbClr val="FA98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39-4271-BB51-95A82EBB3C2D}"/>
              </c:ext>
            </c:extLst>
          </c:dPt>
          <c:dPt>
            <c:idx val="3"/>
            <c:invertIfNegative val="0"/>
            <c:bubble3D val="0"/>
            <c:spPr>
              <a:solidFill>
                <a:srgbClr val="FA98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39-4271-BB51-95A82EBB3C2D}"/>
              </c:ext>
            </c:extLst>
          </c:dPt>
          <c:dPt>
            <c:idx val="4"/>
            <c:invertIfNegative val="0"/>
            <c:bubble3D val="0"/>
            <c:spPr>
              <a:solidFill>
                <a:srgbClr val="FA98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39-4271-BB51-95A82EBB3C2D}"/>
              </c:ext>
            </c:extLst>
          </c:dPt>
          <c:dPt>
            <c:idx val="5"/>
            <c:invertIfNegative val="0"/>
            <c:bubble3D val="0"/>
            <c:spPr>
              <a:solidFill>
                <a:srgbClr val="D296A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A39-4271-BB51-95A82EBB3C2D}"/>
              </c:ext>
            </c:extLst>
          </c:dPt>
          <c:dPt>
            <c:idx val="6"/>
            <c:invertIfNegative val="0"/>
            <c:bubble3D val="0"/>
            <c:spPr>
              <a:solidFill>
                <a:srgbClr val="D296A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A39-4271-BB51-95A82EBB3C2D}"/>
              </c:ext>
            </c:extLst>
          </c:dPt>
          <c:dPt>
            <c:idx val="7"/>
            <c:invertIfNegative val="0"/>
            <c:bubble3D val="0"/>
            <c:spPr>
              <a:solidFill>
                <a:srgbClr val="D296A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A39-4271-BB51-95A82EBB3C2D}"/>
              </c:ext>
            </c:extLst>
          </c:dPt>
          <c:dPt>
            <c:idx val="8"/>
            <c:invertIfNegative val="0"/>
            <c:bubble3D val="0"/>
            <c:spPr>
              <a:solidFill>
                <a:srgbClr val="D296A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A39-4271-BB51-95A82EBB3C2D}"/>
              </c:ext>
            </c:extLst>
          </c:dPt>
          <c:dPt>
            <c:idx val="21"/>
            <c:invertIfNegative val="0"/>
            <c:bubble3D val="0"/>
            <c:spPr>
              <a:solidFill>
                <a:srgbClr val="5B8E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A39-4271-BB51-95A82EBB3C2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FC0AC29-C6C2-4B37-B77D-9C8FD2FA0B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A39-4271-BB51-95A82EBB3C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2E569C-F124-4793-B761-B80D01B8D9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A39-4271-BB51-95A82EBB3C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4A3067-D47C-4D66-8F87-5617B88DB4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A39-4271-BB51-95A82EBB3C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FBB511-A993-43BE-B33E-F76FA34FE5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A39-4271-BB51-95A82EBB3C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6E5232-AFDA-4F09-B8CD-A3BD841E87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A39-4271-BB51-95A82EBB3C2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823B512-2D8E-4602-AD8C-647DA07B2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A39-4271-BB51-95A82EBB3C2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D6E9D3-72EF-45EF-A8FA-E479D67992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A39-4271-BB51-95A82EBB3C2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4B30BB4-CE99-4D6D-8CBE-79167C40C3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A39-4271-BB51-95A82EBB3C2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3FBB349-4A43-40F6-8597-98B6C8DE85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A39-4271-BB51-95A82EBB3C2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9A687FC-6DA3-4BE0-8D2B-B144B4BC2E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A39-4271-BB51-95A82EBB3C2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45EC07C-FD52-4E5C-B774-BFAB2F1154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A39-4271-BB51-95A82EBB3C2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611405A-755E-4D4B-89F7-2F6AEE16F4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A39-4271-BB51-95A82EBB3C2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F0A5412-FEB0-420F-A855-1EC50B9EC8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A39-4271-BB51-95A82EBB3C2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B156090-2087-4CD3-828E-3B9BA92CBD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A39-4271-BB51-95A82EBB3C2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1FE4297-0118-4395-9337-822BF71594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A39-4271-BB51-95A82EBB3C2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2B126AA-D4F4-4E96-897D-705D5BD3CB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A39-4271-BB51-95A82EBB3C2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4F7BAD5-FAEA-4626-8BDF-710582379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A39-4271-BB51-95A82EBB3C2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179BE57-C6A1-4F37-9BDC-FA6875B5B6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A39-4271-BB51-95A82EBB3C2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7FFC901-D819-4F65-B831-F6FBD0A74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A39-4271-BB51-95A82EBB3C2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3B98FC8-D84C-4339-AE7F-C5EDA5A53B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A39-4271-BB51-95A82EBB3C2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1F08586-B86D-44B2-BDB8-C67666FB39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A39-4271-BB51-95A82EBB3C2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D20E292-606A-4DBE-A297-0D9B8081C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A39-4271-BB51-95A82EBB3C2D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f>'Dashboard Tables'!$C$3:$C$24</c:f>
              <c:strCache>
                <c:ptCount val="22"/>
                <c:pt idx="0">
                  <c:v>Success</c:v>
                </c:pt>
                <c:pt idx="1">
                  <c:v>Support</c:v>
                </c:pt>
                <c:pt idx="2">
                  <c:v>Customer Marketing</c:v>
                </c:pt>
                <c:pt idx="3">
                  <c:v>Leap</c:v>
                </c:pt>
                <c:pt idx="4">
                  <c:v>Unknown</c:v>
                </c:pt>
                <c:pt idx="5">
                  <c:v>Biz Ops</c:v>
                </c:pt>
                <c:pt idx="6">
                  <c:v>Compliance</c:v>
                </c:pt>
                <c:pt idx="7">
                  <c:v>Finance</c:v>
                </c:pt>
                <c:pt idx="8">
                  <c:v>Talent Acquisition</c:v>
                </c:pt>
                <c:pt idx="9">
                  <c:v>Activation</c:v>
                </c:pt>
                <c:pt idx="10">
                  <c:v>Business Enablement</c:v>
                </c:pt>
                <c:pt idx="11">
                  <c:v>Buyer Experience</c:v>
                </c:pt>
                <c:pt idx="12">
                  <c:v>Core UX</c:v>
                </c:pt>
                <c:pt idx="13">
                  <c:v>Data Analytics</c:v>
                </c:pt>
                <c:pt idx="14">
                  <c:v>Data Engineering</c:v>
                </c:pt>
                <c:pt idx="15">
                  <c:v>Feedback</c:v>
                </c:pt>
                <c:pt idx="16">
                  <c:v>Foundations</c:v>
                </c:pt>
                <c:pt idx="17">
                  <c:v>Monetization Platform</c:v>
                </c:pt>
                <c:pt idx="18">
                  <c:v>Security &amp; Auth</c:v>
                </c:pt>
                <c:pt idx="19">
                  <c:v>SRE</c:v>
                </c:pt>
                <c:pt idx="20">
                  <c:v>Supply Chain</c:v>
                </c:pt>
                <c:pt idx="21">
                  <c:v>Sales</c:v>
                </c:pt>
              </c:strCache>
            </c:strRef>
          </c:cat>
          <c:val>
            <c:numRef>
              <c:f>'Dashboard Tables'!$D$3:$D$24</c:f>
              <c:numCache>
                <c:formatCode>0.00%</c:formatCode>
                <c:ptCount val="22"/>
                <c:pt idx="0">
                  <c:v>4.9956933677863913E-2</c:v>
                </c:pt>
                <c:pt idx="1">
                  <c:v>2.77437780497756E-2</c:v>
                </c:pt>
                <c:pt idx="2">
                  <c:v>1.4642549526270457E-2</c:v>
                </c:pt>
                <c:pt idx="3">
                  <c:v>0.10465116279069768</c:v>
                </c:pt>
                <c:pt idx="4">
                  <c:v>1.937984496124031E-2</c:v>
                </c:pt>
                <c:pt idx="5">
                  <c:v>4.8449612403100778E-2</c:v>
                </c:pt>
                <c:pt idx="6">
                  <c:v>2.4224806201550389E-2</c:v>
                </c:pt>
                <c:pt idx="7">
                  <c:v>7.7519379844961239E-3</c:v>
                </c:pt>
                <c:pt idx="8">
                  <c:v>1.7718715393133997E-2</c:v>
                </c:pt>
                <c:pt idx="9">
                  <c:v>3.7350246652572236E-2</c:v>
                </c:pt>
                <c:pt idx="10">
                  <c:v>1.5503875968992248E-2</c:v>
                </c:pt>
                <c:pt idx="11">
                  <c:v>3.0303030303030304E-2</c:v>
                </c:pt>
                <c:pt idx="12">
                  <c:v>2.9715762273901807E-2</c:v>
                </c:pt>
                <c:pt idx="13">
                  <c:v>3.6821705426356592E-2</c:v>
                </c:pt>
                <c:pt idx="14">
                  <c:v>3.5495716034271728E-2</c:v>
                </c:pt>
                <c:pt idx="15">
                  <c:v>1.9810508182601206E-2</c:v>
                </c:pt>
                <c:pt idx="16">
                  <c:v>2.0671834625322998E-2</c:v>
                </c:pt>
                <c:pt idx="17">
                  <c:v>4.7921071176885127E-2</c:v>
                </c:pt>
                <c:pt idx="18">
                  <c:v>7.3643410852713184E-2</c:v>
                </c:pt>
                <c:pt idx="19">
                  <c:v>3.391472868217054E-2</c:v>
                </c:pt>
                <c:pt idx="20">
                  <c:v>2.2148394241417499E-2</c:v>
                </c:pt>
                <c:pt idx="21">
                  <c:v>5.9196617336152217E-2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'Dashboard Tables'!$H$3:$H$24</c15:f>
                <c15:dlblRangeCache>
                  <c:ptCount val="22"/>
                  <c:pt idx="3">
                    <c:v>10.47%, Leap</c:v>
                  </c:pt>
                  <c:pt idx="18">
                    <c:v>7.36%, Security &amp; Auth</c:v>
                  </c:pt>
                  <c:pt idx="21">
                    <c:v>5.92%, Sales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1A39-4271-BB51-95A82EBB3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324255"/>
        <c:axId val="1972327583"/>
      </c:barChart>
      <c:lineChart>
        <c:grouping val="standard"/>
        <c:varyColors val="0"/>
        <c:ser>
          <c:idx val="1"/>
          <c:order val="1"/>
          <c:tx>
            <c:strRef>
              <c:f>'Dashboard Tables'!$E$2</c:f>
              <c:strCache>
                <c:ptCount val="1"/>
                <c:pt idx="0">
                  <c:v>W.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'Dashboard Tables'!$C$3:$C$24</c:f>
              <c:strCache>
                <c:ptCount val="22"/>
                <c:pt idx="0">
                  <c:v>Success</c:v>
                </c:pt>
                <c:pt idx="1">
                  <c:v>Support</c:v>
                </c:pt>
                <c:pt idx="2">
                  <c:v>Customer Marketing</c:v>
                </c:pt>
                <c:pt idx="3">
                  <c:v>Leap</c:v>
                </c:pt>
                <c:pt idx="4">
                  <c:v>Unknown</c:v>
                </c:pt>
                <c:pt idx="5">
                  <c:v>Biz Ops</c:v>
                </c:pt>
                <c:pt idx="6">
                  <c:v>Compliance</c:v>
                </c:pt>
                <c:pt idx="7">
                  <c:v>Finance</c:v>
                </c:pt>
                <c:pt idx="8">
                  <c:v>Talent Acquisition</c:v>
                </c:pt>
                <c:pt idx="9">
                  <c:v>Activation</c:v>
                </c:pt>
                <c:pt idx="10">
                  <c:v>Business Enablement</c:v>
                </c:pt>
                <c:pt idx="11">
                  <c:v>Buyer Experience</c:v>
                </c:pt>
                <c:pt idx="12">
                  <c:v>Core UX</c:v>
                </c:pt>
                <c:pt idx="13">
                  <c:v>Data Analytics</c:v>
                </c:pt>
                <c:pt idx="14">
                  <c:v>Data Engineering</c:v>
                </c:pt>
                <c:pt idx="15">
                  <c:v>Feedback</c:v>
                </c:pt>
                <c:pt idx="16">
                  <c:v>Foundations</c:v>
                </c:pt>
                <c:pt idx="17">
                  <c:v>Monetization Platform</c:v>
                </c:pt>
                <c:pt idx="18">
                  <c:v>Security &amp; Auth</c:v>
                </c:pt>
                <c:pt idx="19">
                  <c:v>SRE</c:v>
                </c:pt>
                <c:pt idx="20">
                  <c:v>Supply Chain</c:v>
                </c:pt>
                <c:pt idx="21">
                  <c:v>Sales</c:v>
                </c:pt>
              </c:strCache>
            </c:strRef>
          </c:cat>
          <c:val>
            <c:numRef>
              <c:f>'Dashboard Tables'!$E$3:$E$24</c:f>
              <c:numCache>
                <c:formatCode>0.00%</c:formatCode>
                <c:ptCount val="22"/>
                <c:pt idx="0">
                  <c:v>3.5437430786267994E-2</c:v>
                </c:pt>
                <c:pt idx="1">
                  <c:v>3.5437430786267994E-2</c:v>
                </c:pt>
                <c:pt idx="2">
                  <c:v>3.5437430786267994E-2</c:v>
                </c:pt>
                <c:pt idx="3">
                  <c:v>3.5437430786267994E-2</c:v>
                </c:pt>
                <c:pt idx="4">
                  <c:v>3.5437430786267994E-2</c:v>
                </c:pt>
                <c:pt idx="5">
                  <c:v>3.5437430786267994E-2</c:v>
                </c:pt>
                <c:pt idx="6">
                  <c:v>3.5437430786267994E-2</c:v>
                </c:pt>
                <c:pt idx="7">
                  <c:v>3.5437430786267994E-2</c:v>
                </c:pt>
                <c:pt idx="8">
                  <c:v>3.5437430786267994E-2</c:v>
                </c:pt>
                <c:pt idx="9">
                  <c:v>3.5437430786267994E-2</c:v>
                </c:pt>
                <c:pt idx="10">
                  <c:v>3.5437430786267994E-2</c:v>
                </c:pt>
                <c:pt idx="11">
                  <c:v>3.5437430786267994E-2</c:v>
                </c:pt>
                <c:pt idx="12">
                  <c:v>3.5437430786267994E-2</c:v>
                </c:pt>
                <c:pt idx="13">
                  <c:v>3.5437430786267994E-2</c:v>
                </c:pt>
                <c:pt idx="14">
                  <c:v>3.5437430786267994E-2</c:v>
                </c:pt>
                <c:pt idx="15">
                  <c:v>3.5437430786267994E-2</c:v>
                </c:pt>
                <c:pt idx="16">
                  <c:v>3.5437430786267994E-2</c:v>
                </c:pt>
                <c:pt idx="17">
                  <c:v>3.5437430786267994E-2</c:v>
                </c:pt>
                <c:pt idx="18">
                  <c:v>3.5437430786267994E-2</c:v>
                </c:pt>
                <c:pt idx="19">
                  <c:v>3.5437430786267994E-2</c:v>
                </c:pt>
                <c:pt idx="20">
                  <c:v>3.5437430786267994E-2</c:v>
                </c:pt>
                <c:pt idx="21">
                  <c:v>3.5437430786267994E-2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A39-4271-BB51-95A82EBB3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324255"/>
        <c:axId val="1972327583"/>
      </c:lineChart>
      <c:catAx>
        <c:axId val="197232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27583"/>
        <c:crosses val="autoZero"/>
        <c:auto val="1"/>
        <c:lblAlgn val="ctr"/>
        <c:lblOffset val="100"/>
        <c:noMultiLvlLbl val="0"/>
      </c:catAx>
      <c:valAx>
        <c:axId val="197232758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2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Absenteeism Rate by</a:t>
            </a:r>
            <a:r>
              <a:rPr lang="en-US" baseline="0"/>
              <a:t> </a:t>
            </a:r>
            <a:r>
              <a:rPr lang="en-US" b="1" baseline="0"/>
              <a:t>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Tables'!$K$10</c:f>
              <c:strCache>
                <c:ptCount val="1"/>
                <c:pt idx="0">
                  <c:v>Absenteeism Rate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5E0F0D8-7333-4412-83D5-81866A3527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A8-4B12-93F8-9C2910AA3E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602A09-4EF2-493E-A92A-29678940B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BA8-4B12-93F8-9C2910AA3E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562C60-00C0-4AFF-A413-BE2C02649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BA8-4B12-93F8-9C2910AA3E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0585C29-5337-4430-AF07-7EA84D762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BA8-4B12-93F8-9C2910AA3E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CCBC1D-6E92-479F-B2CB-0D632A8866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BA8-4B12-93F8-9C2910AA3E64}"/>
                </c:ext>
              </c:extLst>
            </c:dLbl>
            <c:spPr>
              <a:solidFill>
                <a:srgbClr val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Tables'!$J$11:$J$15</c:f>
              <c:strCache>
                <c:ptCount val="5"/>
                <c:pt idx="0">
                  <c:v>Germany</c:v>
                </c:pt>
                <c:pt idx="1">
                  <c:v>Romania</c:v>
                </c:pt>
                <c:pt idx="2">
                  <c:v>Spain</c:v>
                </c:pt>
                <c:pt idx="3">
                  <c:v>Poland</c:v>
                </c:pt>
                <c:pt idx="4">
                  <c:v>USA</c:v>
                </c:pt>
              </c:strCache>
            </c:strRef>
          </c:cat>
          <c:val>
            <c:numRef>
              <c:f>'Dashboard Tables'!$K$11:$K$15</c:f>
              <c:numCache>
                <c:formatCode>0.00%</c:formatCode>
                <c:ptCount val="5"/>
                <c:pt idx="0">
                  <c:v>0.10852713178294573</c:v>
                </c:pt>
                <c:pt idx="1">
                  <c:v>6.3953488372093026E-2</c:v>
                </c:pt>
                <c:pt idx="2">
                  <c:v>4.3604651162790699E-2</c:v>
                </c:pt>
                <c:pt idx="3">
                  <c:v>2.8792912513842746E-2</c:v>
                </c:pt>
                <c:pt idx="4">
                  <c:v>3.1223083548664946E-2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'Dashboard Tables'!$N$11:$N$15</c15:f>
                <c15:dlblRangeCache>
                  <c:ptCount val="5"/>
                  <c:pt idx="0">
                    <c:v>10.85%, Germany</c:v>
                  </c:pt>
                  <c:pt idx="1">
                    <c:v>6.4%, Romania</c:v>
                  </c:pt>
                  <c:pt idx="2">
                    <c:v>4.36%, Spain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BA8-4B12-93F8-9C2910AA3E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3888456"/>
        <c:axId val="1173888784"/>
      </c:barChart>
      <c:lineChart>
        <c:grouping val="standard"/>
        <c:varyColors val="0"/>
        <c:ser>
          <c:idx val="1"/>
          <c:order val="1"/>
          <c:tx>
            <c:strRef>
              <c:f>'Dashboard Tables'!$L$10</c:f>
              <c:strCache>
                <c:ptCount val="1"/>
                <c:pt idx="0">
                  <c:v>W.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'Dashboard Tables'!$J$11:$J$15</c:f>
              <c:strCache>
                <c:ptCount val="5"/>
                <c:pt idx="0">
                  <c:v>Germany</c:v>
                </c:pt>
                <c:pt idx="1">
                  <c:v>Romania</c:v>
                </c:pt>
                <c:pt idx="2">
                  <c:v>Spain</c:v>
                </c:pt>
                <c:pt idx="3">
                  <c:v>Poland</c:v>
                </c:pt>
                <c:pt idx="4">
                  <c:v>USA</c:v>
                </c:pt>
              </c:strCache>
            </c:strRef>
          </c:cat>
          <c:val>
            <c:numRef>
              <c:f>'Dashboard Tables'!$L$11:$L$15</c:f>
              <c:numCache>
                <c:formatCode>0.00%</c:formatCode>
                <c:ptCount val="5"/>
                <c:pt idx="0">
                  <c:v>3.5437430786267994E-2</c:v>
                </c:pt>
                <c:pt idx="1">
                  <c:v>3.5437430786267994E-2</c:v>
                </c:pt>
                <c:pt idx="2">
                  <c:v>3.5437430786267994E-2</c:v>
                </c:pt>
                <c:pt idx="3">
                  <c:v>3.5437430786267994E-2</c:v>
                </c:pt>
                <c:pt idx="4">
                  <c:v>3.5437430786267994E-2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A8-4B12-93F8-9C2910AA3E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3888456"/>
        <c:axId val="1173888784"/>
      </c:lineChart>
      <c:catAx>
        <c:axId val="117388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88784"/>
        <c:crosses val="autoZero"/>
        <c:auto val="1"/>
        <c:lblAlgn val="ctr"/>
        <c:lblOffset val="100"/>
        <c:noMultiLvlLbl val="0"/>
      </c:catAx>
      <c:valAx>
        <c:axId val="117388878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8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32</xdr:row>
      <xdr:rowOff>0</xdr:rowOff>
    </xdr:from>
    <xdr:to>
      <xdr:col>13</xdr:col>
      <xdr:colOff>0</xdr:colOff>
      <xdr:row>52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CC98EA-79EA-40EF-8897-DC8BE93C6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32</xdr:row>
      <xdr:rowOff>0</xdr:rowOff>
    </xdr:from>
    <xdr:to>
      <xdr:col>19</xdr:col>
      <xdr:colOff>1</xdr:colOff>
      <xdr:row>50</xdr:row>
      <xdr:rowOff>155726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672F10-DB70-472E-ABE3-F4D7BF44A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32</xdr:row>
      <xdr:rowOff>0</xdr:rowOff>
    </xdr:from>
    <xdr:to>
      <xdr:col>6</xdr:col>
      <xdr:colOff>0</xdr:colOff>
      <xdr:row>52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78FB4-CFEB-4292-9393-F70104E6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606246-1947-4C25-A1AB-05441D0D008F}" name="Table2" displayName="Table2" ref="A1:T17" totalsRowShown="0" headerRowDxfId="26" dataDxfId="24" headerRowBorderDxfId="25" tableBorderDxfId="23" totalsRowBorderDxfId="22">
  <autoFilter ref="A1:T17" xr:uid="{AA606246-1947-4C25-A1AB-05441D0D008F}"/>
  <tableColumns count="20">
    <tableColumn id="1" xr3:uid="{8938E950-4E20-415E-B3EB-BD716D0A74AC}" name="Employee ID" dataDxfId="21"/>
    <tableColumn id="2" xr3:uid="{893F3902-A56A-430D-AF0D-E3AD058462D1}" name="Work flexibility" dataDxfId="20"/>
    <tableColumn id="3" xr3:uid="{A6AB4520-D1D6-4674-93AE-2FC10D673B92}" name="Vision clarity" dataDxfId="19"/>
    <tableColumn id="4" xr3:uid="{CE950485-F6B7-40C0-83BF-95E77AE99315}" name="Values fit" dataDxfId="18"/>
    <tableColumn id="5" xr3:uid="{94DED921-3DE3-4CA0-8225-4CA5EA8C8354}" name="Perks" dataDxfId="17"/>
    <tableColumn id="6" xr3:uid="{F87BD0A7-F12F-49F5-92AB-77E5CB86F1D9}" name="Peer quality" dataDxfId="16"/>
    <tableColumn id="7" xr3:uid="{BF8890DD-3075-4E24-B9A9-92C9056E85E5}" name="Office proximity" dataDxfId="15"/>
    <tableColumn id="8" xr3:uid="{498DE7DE-3478-4BEE-AECC-8E0F4DF4976B}" name="Manager quality" dataDxfId="14"/>
    <tableColumn id="9" xr3:uid="{B88DC2DE-C1B9-4F61-A06E-636CE029DCE8}" name="Long-term value of cash compensation" dataDxfId="13"/>
    <tableColumn id="10" xr3:uid="{A297719B-39C6-41CB-B2A8-7656569DDBE8}" name="Long-term career opportunity" dataDxfId="12"/>
    <tableColumn id="11" xr3:uid="{F0A6EA39-CB7E-4476-957B-B2B005B635EA}" name="Long-term value of equity" dataDxfId="11"/>
    <tableColumn id="12" xr3:uid="{7B870C3C-E9B5-42FC-88FE-192E7F69C969}" name="Learning and development opportunities" dataDxfId="10"/>
    <tableColumn id="13" xr3:uid="{D62F69DB-92B1-45EC-A4CD-129CEFDD61FE}" name="Leadership team quality" dataDxfId="9"/>
    <tableColumn id="14" xr3:uid="{FDC2B2BD-D73B-4816-BDBC-4E77D601035A}" name="Job fit" dataDxfId="8"/>
    <tableColumn id="15" xr3:uid="{4C497E59-0592-476F-85F3-F2205AC919C7}" name="Immediate value of equity" dataDxfId="7"/>
    <tableColumn id="16" xr3:uid="{D5A5EE81-5902-40CE-86BF-72E21CFBB68E}" name="Immediate value of cash compensation" dataDxfId="6"/>
    <tableColumn id="17" xr3:uid="{14B0967F-9D1D-4710-882F-49D701EE6838}" name="Current job level" dataDxfId="5"/>
    <tableColumn id="18" xr3:uid="{606D788C-C357-48DE-9708-7A0E13122384}" name="Coordination and organization" dataDxfId="4"/>
    <tableColumn id="19" xr3:uid="{AED66D91-038C-4B3E-993A-8F9F722AE153}" name="Company reputation" dataDxfId="3"/>
    <tableColumn id="20" xr3:uid="{46E27E7B-E250-44E8-83B9-890D07BA54B0}" name="Benefit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75A6-CC4F-40ED-85FC-FAD1AE9F12BE}">
  <sheetPr codeName="Sheet1">
    <tabColor theme="5" tint="0.39997558519241921"/>
  </sheetPr>
  <dimension ref="B1:DH57"/>
  <sheetViews>
    <sheetView tabSelected="1" zoomScale="80" zoomScaleNormal="80" workbookViewId="0">
      <selection activeCell="F7" sqref="F7"/>
    </sheetView>
  </sheetViews>
  <sheetFormatPr defaultRowHeight="12.75"/>
  <cols>
    <col min="1" max="1" width="0.85546875" customWidth="1"/>
    <col min="2" max="2" width="2.42578125" customWidth="1"/>
    <col min="3" max="4" width="26.140625" customWidth="1"/>
    <col min="5" max="5" width="28.5703125" customWidth="1"/>
    <col min="6" max="6" width="20.7109375" customWidth="1"/>
    <col min="7" max="8" width="2.140625" customWidth="1"/>
    <col min="9" max="10" width="21.140625" customWidth="1"/>
    <col min="11" max="11" width="16.140625" customWidth="1"/>
    <col min="12" max="12" width="24.7109375" customWidth="1"/>
    <col min="13" max="13" width="2.7109375" customWidth="1"/>
    <col min="14" max="14" width="2.42578125" customWidth="1"/>
    <col min="15" max="16" width="17.28515625" customWidth="1"/>
    <col min="17" max="18" width="20.28515625" customWidth="1"/>
    <col min="19" max="19" width="25.7109375" bestFit="1" customWidth="1"/>
    <col min="20" max="21" width="2" customWidth="1"/>
    <col min="22" max="23" width="28.5703125" customWidth="1"/>
    <col min="24" max="24" width="19.140625" bestFit="1" customWidth="1"/>
    <col min="25" max="25" width="20.5703125" customWidth="1"/>
    <col min="26" max="27" width="26.85546875" customWidth="1"/>
    <col min="28" max="28" width="36.5703125" customWidth="1"/>
    <col min="29" max="30" width="1.5703125" customWidth="1"/>
    <col min="31" max="32" width="28.5703125" customWidth="1"/>
    <col min="33" max="34" width="20" customWidth="1"/>
    <col min="35" max="35" width="2.7109375" customWidth="1"/>
    <col min="36" max="36" width="13.140625" customWidth="1"/>
    <col min="37" max="37" width="9.140625" customWidth="1"/>
    <col min="38" max="38" width="20.5703125" customWidth="1"/>
    <col min="39" max="44" width="18" customWidth="1"/>
    <col min="45" max="45" width="2.85546875" customWidth="1"/>
    <col min="46" max="46" width="7.85546875" customWidth="1"/>
    <col min="47" max="47" width="16.42578125" customWidth="1"/>
    <col min="48" max="48" width="15" customWidth="1"/>
    <col min="49" max="49" width="24.140625" customWidth="1"/>
    <col min="50" max="50" width="18.7109375" customWidth="1"/>
    <col min="51" max="51" width="20.28515625" bestFit="1" customWidth="1"/>
    <col min="52" max="52" width="13.85546875" hidden="1" customWidth="1"/>
    <col min="53" max="53" width="3.42578125" hidden="1" customWidth="1"/>
    <col min="54" max="54" width="13.85546875" hidden="1" customWidth="1"/>
    <col min="55" max="55" width="5.28515625" hidden="1" customWidth="1"/>
    <col min="56" max="56" width="2.140625" customWidth="1"/>
    <col min="57" max="57" width="2.42578125" customWidth="1"/>
    <col min="58" max="59" width="29" customWidth="1"/>
    <col min="60" max="61" width="19.5703125" bestFit="1" customWidth="1"/>
    <col min="62" max="63" width="19.5703125" customWidth="1"/>
    <col min="64" max="64" width="18.7109375" customWidth="1"/>
    <col min="65" max="65" width="21.140625" bestFit="1" customWidth="1"/>
    <col min="66" max="66" width="38.5703125" bestFit="1" customWidth="1"/>
    <col min="67" max="67" width="23.140625" bestFit="1" customWidth="1"/>
    <col min="68" max="68" width="24.42578125" customWidth="1"/>
    <col min="69" max="69" width="20" customWidth="1"/>
    <col min="70" max="70" width="18.5703125" customWidth="1"/>
    <col min="71" max="71" width="22.140625" customWidth="1"/>
    <col min="72" max="72" width="18.5703125" customWidth="1"/>
    <col min="73" max="73" width="18.5703125" style="2" customWidth="1"/>
    <col min="74" max="74" width="21.85546875" style="2" customWidth="1"/>
    <col min="75" max="75" width="24.85546875" style="2" customWidth="1"/>
    <col min="76" max="76" width="18.5703125" style="2" customWidth="1"/>
    <col min="77" max="78" width="26.28515625" style="258" customWidth="1"/>
    <col min="79" max="80" width="2" customWidth="1"/>
    <col min="81" max="81" width="63.7109375" customWidth="1"/>
    <col min="82" max="82" width="23.5703125" customWidth="1"/>
    <col min="83" max="83" width="1.7109375" customWidth="1"/>
    <col min="84" max="84" width="2.140625" customWidth="1"/>
    <col min="85" max="86" width="29" customWidth="1"/>
    <col min="87" max="90" width="20.28515625" customWidth="1"/>
    <col min="91" max="91" width="2.42578125" customWidth="1"/>
    <col min="92" max="92" width="1.7109375" customWidth="1"/>
    <col min="93" max="93" width="22.28515625" bestFit="1" customWidth="1"/>
    <col min="94" max="94" width="27.7109375" customWidth="1"/>
    <col min="95" max="96" width="20.85546875" customWidth="1"/>
    <col min="97" max="97" width="3" customWidth="1"/>
    <col min="99" max="99" width="25.42578125" bestFit="1" customWidth="1"/>
  </cols>
  <sheetData>
    <row r="1" spans="2:112" ht="7.5" customHeight="1" thickBot="1">
      <c r="BS1" t="s">
        <v>190</v>
      </c>
    </row>
    <row r="2" spans="2:112" ht="13.5" thickBot="1">
      <c r="B2" s="135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41"/>
      <c r="U2" s="135"/>
      <c r="V2" s="138"/>
      <c r="W2" s="138"/>
      <c r="X2" s="138"/>
      <c r="Y2" s="138"/>
      <c r="Z2" s="138"/>
      <c r="AA2" s="138"/>
      <c r="AB2" s="138"/>
      <c r="AC2" s="141"/>
      <c r="AD2" s="135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41"/>
      <c r="BE2" s="135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325"/>
      <c r="BV2" s="325"/>
      <c r="BW2" s="325"/>
      <c r="BX2" s="325"/>
      <c r="BY2" s="259"/>
      <c r="BZ2" s="259"/>
      <c r="CA2" s="138"/>
      <c r="CB2" s="138"/>
      <c r="CC2" s="138"/>
      <c r="CD2" s="138"/>
      <c r="CE2" s="138"/>
      <c r="CF2" s="135"/>
      <c r="CG2" s="138"/>
      <c r="CH2" s="138"/>
      <c r="CI2" s="138"/>
      <c r="CJ2" s="138"/>
      <c r="CK2" s="138"/>
      <c r="CL2" s="138"/>
      <c r="CM2" s="141"/>
      <c r="CN2" s="135"/>
      <c r="CO2" s="138"/>
      <c r="CP2" s="138"/>
      <c r="CQ2" s="138"/>
      <c r="CR2" s="138"/>
      <c r="CS2" s="141"/>
    </row>
    <row r="3" spans="2:112" ht="20.25" customHeight="1" thickBot="1">
      <c r="B3" s="136"/>
      <c r="C3" s="736" t="s">
        <v>127</v>
      </c>
      <c r="D3" s="737"/>
      <c r="E3" s="737"/>
      <c r="F3" s="737"/>
      <c r="G3" s="737"/>
      <c r="H3" s="737"/>
      <c r="I3" s="737"/>
      <c r="J3" s="737"/>
      <c r="K3" s="737"/>
      <c r="L3" s="737"/>
      <c r="M3" s="737"/>
      <c r="N3" s="737"/>
      <c r="O3" s="737"/>
      <c r="P3" s="737"/>
      <c r="Q3" s="737"/>
      <c r="R3" s="737"/>
      <c r="S3" s="738"/>
      <c r="T3" s="142"/>
      <c r="U3" s="136"/>
      <c r="V3" s="733" t="s">
        <v>118</v>
      </c>
      <c r="W3" s="734"/>
      <c r="X3" s="734"/>
      <c r="Y3" s="734"/>
      <c r="Z3" s="734"/>
      <c r="AA3" s="734"/>
      <c r="AB3" s="735"/>
      <c r="AC3" s="142"/>
      <c r="AD3" s="136"/>
      <c r="AE3" s="766" t="s">
        <v>116</v>
      </c>
      <c r="AF3" s="767"/>
      <c r="AG3" s="767"/>
      <c r="AH3" s="767"/>
      <c r="AI3" s="767"/>
      <c r="AJ3" s="767"/>
      <c r="AK3" s="767"/>
      <c r="AL3" s="767"/>
      <c r="AM3" s="767"/>
      <c r="AN3" s="767"/>
      <c r="AO3" s="767"/>
      <c r="AP3" s="767"/>
      <c r="AQ3" s="767"/>
      <c r="AR3" s="767"/>
      <c r="AS3" s="767"/>
      <c r="AT3" s="767"/>
      <c r="AU3" s="767"/>
      <c r="AV3" s="767"/>
      <c r="AW3" s="767"/>
      <c r="AX3" s="767"/>
      <c r="AY3" s="768"/>
      <c r="AZ3" s="330"/>
      <c r="BA3" s="330"/>
      <c r="BB3" s="330"/>
      <c r="BC3" s="330"/>
      <c r="BD3" s="142"/>
      <c r="BE3" s="136"/>
      <c r="BF3" s="728" t="s">
        <v>189</v>
      </c>
      <c r="BG3" s="729"/>
      <c r="BH3" s="729"/>
      <c r="BI3" s="729"/>
      <c r="BJ3" s="729"/>
      <c r="BK3" s="729"/>
      <c r="BL3" s="729"/>
      <c r="BM3" s="729"/>
      <c r="BN3" s="729"/>
      <c r="BO3" s="729"/>
      <c r="BP3" s="729"/>
      <c r="BQ3" s="729"/>
      <c r="BR3" s="729"/>
      <c r="BS3" s="729"/>
      <c r="BT3" s="729"/>
      <c r="BU3" s="729"/>
      <c r="BV3" s="729"/>
      <c r="BW3" s="729"/>
      <c r="BX3" s="729"/>
      <c r="BY3" s="729"/>
      <c r="BZ3" s="729"/>
      <c r="CA3" s="729"/>
      <c r="CB3" s="729"/>
      <c r="CC3" s="729"/>
      <c r="CD3" s="730"/>
      <c r="CE3" s="330"/>
      <c r="CF3" s="136"/>
      <c r="CG3" s="801" t="s">
        <v>106</v>
      </c>
      <c r="CH3" s="802"/>
      <c r="CI3" s="802"/>
      <c r="CJ3" s="802"/>
      <c r="CK3" s="802"/>
      <c r="CL3" s="803"/>
      <c r="CM3" s="142"/>
      <c r="CN3" s="136"/>
      <c r="CO3" s="774" t="s">
        <v>215</v>
      </c>
      <c r="CP3" s="775"/>
      <c r="CQ3" s="775"/>
      <c r="CR3" s="776"/>
      <c r="CS3" s="142"/>
    </row>
    <row r="4" spans="2:112" ht="15.75" customHeight="1" thickBot="1">
      <c r="B4" s="136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142"/>
      <c r="U4" s="136"/>
      <c r="V4" s="330"/>
      <c r="W4" s="330"/>
      <c r="X4" s="330"/>
      <c r="Y4" s="330"/>
      <c r="Z4" s="330"/>
      <c r="AA4" s="330"/>
      <c r="AB4" s="330"/>
      <c r="AC4" s="142"/>
      <c r="AD4" s="136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0"/>
      <c r="AY4" s="330"/>
      <c r="AZ4" s="330"/>
      <c r="BA4" s="330"/>
      <c r="BB4" s="330"/>
      <c r="BC4" s="330"/>
      <c r="BD4" s="142"/>
      <c r="BE4" s="136"/>
      <c r="BF4" s="330"/>
      <c r="BG4" s="330"/>
      <c r="BH4" s="330"/>
      <c r="BI4" s="330"/>
      <c r="BJ4" s="330"/>
      <c r="BK4" s="330"/>
      <c r="BL4" s="330"/>
      <c r="BM4" s="330"/>
      <c r="BN4" s="330"/>
      <c r="BO4" s="330"/>
      <c r="BP4" s="330"/>
      <c r="BQ4" s="330"/>
      <c r="BR4" s="330"/>
      <c r="BS4" s="330"/>
      <c r="BT4" s="418"/>
      <c r="BU4" s="419"/>
      <c r="BV4" s="420"/>
      <c r="BW4" s="420"/>
      <c r="BX4" s="420"/>
      <c r="BY4" s="330"/>
      <c r="BZ4" s="330"/>
      <c r="CA4" s="330"/>
      <c r="CB4" s="330"/>
      <c r="CC4" s="330"/>
      <c r="CD4" s="330"/>
      <c r="CE4" s="330"/>
      <c r="CF4" s="136"/>
      <c r="CG4" s="330"/>
      <c r="CH4" s="330"/>
      <c r="CI4" s="330"/>
      <c r="CJ4" s="330"/>
      <c r="CK4" s="330"/>
      <c r="CL4" s="330"/>
      <c r="CM4" s="142"/>
      <c r="CN4" s="136"/>
      <c r="CO4" s="330"/>
      <c r="CP4" s="330"/>
      <c r="CQ4" s="330"/>
      <c r="CR4" s="330"/>
      <c r="CS4" s="142"/>
      <c r="CU4" s="7"/>
    </row>
    <row r="5" spans="2:112" ht="15.75" customHeight="1" thickBot="1">
      <c r="B5" s="136"/>
      <c r="C5" s="905" t="s">
        <v>213</v>
      </c>
      <c r="D5" s="423" t="s">
        <v>211</v>
      </c>
      <c r="E5" s="658" t="s">
        <v>212</v>
      </c>
      <c r="F5" s="660" t="s">
        <v>210</v>
      </c>
      <c r="G5" s="330"/>
      <c r="H5" s="610"/>
      <c r="I5" s="611"/>
      <c r="J5" s="611"/>
      <c r="K5" s="611"/>
      <c r="L5" s="611"/>
      <c r="M5" s="612"/>
      <c r="N5" s="331"/>
      <c r="O5" s="769" t="s">
        <v>274</v>
      </c>
      <c r="P5" s="770"/>
      <c r="Q5" s="770"/>
      <c r="R5" s="770"/>
      <c r="S5" s="771"/>
      <c r="T5" s="142"/>
      <c r="U5" s="136"/>
      <c r="V5" s="705" t="s">
        <v>117</v>
      </c>
      <c r="W5" s="761"/>
      <c r="X5" s="48" t="s">
        <v>119</v>
      </c>
      <c r="Y5" s="48" t="s">
        <v>120</v>
      </c>
      <c r="Z5" s="48" t="s">
        <v>125</v>
      </c>
      <c r="AA5" s="128" t="s">
        <v>121</v>
      </c>
      <c r="AB5" s="130" t="s">
        <v>124</v>
      </c>
      <c r="AC5" s="142"/>
      <c r="AD5" s="136"/>
      <c r="AE5" s="723" t="s">
        <v>117</v>
      </c>
      <c r="AF5" s="724"/>
      <c r="AG5" s="71" t="s">
        <v>104</v>
      </c>
      <c r="AH5" s="70" t="s">
        <v>105</v>
      </c>
      <c r="AI5" s="330"/>
      <c r="AJ5" s="853" t="s">
        <v>81</v>
      </c>
      <c r="AK5" s="851" t="s">
        <v>101</v>
      </c>
      <c r="AL5" s="852"/>
      <c r="AM5" s="852"/>
      <c r="AN5" s="855" t="s">
        <v>103</v>
      </c>
      <c r="AO5" s="857" t="s">
        <v>226</v>
      </c>
      <c r="AP5" s="858"/>
      <c r="AQ5" s="859" t="s">
        <v>109</v>
      </c>
      <c r="AR5" s="861" t="s">
        <v>242</v>
      </c>
      <c r="AS5" s="330"/>
      <c r="AT5" s="845" t="s">
        <v>240</v>
      </c>
      <c r="AU5" s="846"/>
      <c r="AV5" s="846"/>
      <c r="AW5" s="847"/>
      <c r="AX5" s="330"/>
      <c r="AY5" s="506" t="s">
        <v>236</v>
      </c>
      <c r="AZ5" s="330"/>
      <c r="BA5" s="330"/>
      <c r="BB5" s="330"/>
      <c r="BC5" s="330"/>
      <c r="BD5" s="142"/>
      <c r="BE5" s="136"/>
      <c r="BF5" s="723" t="s">
        <v>117</v>
      </c>
      <c r="BG5" s="831"/>
      <c r="BH5" s="129" t="s">
        <v>119</v>
      </c>
      <c r="BI5" s="48" t="s">
        <v>120</v>
      </c>
      <c r="BJ5" s="253" t="s">
        <v>101</v>
      </c>
      <c r="BK5" s="253" t="s">
        <v>102</v>
      </c>
      <c r="BL5" s="253" t="s">
        <v>125</v>
      </c>
      <c r="BM5" s="253" t="s">
        <v>121</v>
      </c>
      <c r="BN5" s="263" t="s">
        <v>124</v>
      </c>
      <c r="BO5" s="391" t="s">
        <v>196</v>
      </c>
      <c r="BP5" s="392" t="s">
        <v>194</v>
      </c>
      <c r="BQ5" s="393" t="s">
        <v>195</v>
      </c>
      <c r="BR5" s="394" t="s">
        <v>192</v>
      </c>
      <c r="BS5" s="395" t="s">
        <v>191</v>
      </c>
      <c r="BT5" s="396" t="s">
        <v>193</v>
      </c>
      <c r="BU5" s="330"/>
      <c r="BV5" s="330"/>
      <c r="BW5" s="330"/>
      <c r="BX5" s="330"/>
      <c r="BY5" s="330"/>
      <c r="BZ5" s="330"/>
      <c r="CA5" s="330"/>
      <c r="CB5" s="330"/>
      <c r="CC5" s="330"/>
      <c r="CD5" s="330"/>
      <c r="CE5" s="330"/>
      <c r="CF5" s="136"/>
      <c r="CG5" s="795" t="s">
        <v>3</v>
      </c>
      <c r="CH5" s="796"/>
      <c r="CI5" s="60" t="s">
        <v>114</v>
      </c>
      <c r="CJ5" s="121" t="s">
        <v>112</v>
      </c>
      <c r="CK5" s="122" t="s">
        <v>113</v>
      </c>
      <c r="CL5" s="310" t="s">
        <v>111</v>
      </c>
      <c r="CM5" s="142"/>
      <c r="CN5" s="136"/>
      <c r="CO5" s="833" t="s">
        <v>3</v>
      </c>
      <c r="CP5" s="834"/>
      <c r="CQ5" s="171" t="s">
        <v>214</v>
      </c>
      <c r="CR5" s="171" t="s">
        <v>121</v>
      </c>
      <c r="CS5" s="142"/>
    </row>
    <row r="6" spans="2:112" ht="15.75" customHeight="1" thickBot="1">
      <c r="B6" s="136"/>
      <c r="C6" s="906"/>
      <c r="D6" s="424">
        <v>44197</v>
      </c>
      <c r="E6" s="659">
        <v>44377</v>
      </c>
      <c r="F6" s="661">
        <f>NETWORKDAYS(D6,E6)</f>
        <v>129</v>
      </c>
      <c r="G6" s="656"/>
      <c r="H6" s="616"/>
      <c r="I6" s="865" t="s">
        <v>275</v>
      </c>
      <c r="J6" s="866"/>
      <c r="K6" s="866"/>
      <c r="L6" s="867"/>
      <c r="M6" s="613"/>
      <c r="N6" s="330"/>
      <c r="O6" s="901" t="s">
        <v>3</v>
      </c>
      <c r="P6" s="902"/>
      <c r="Q6" s="887" t="str">
        <f>INDEX($W$6:$W$10,MATCH(S6,$AA$6:$AA$10,0))</f>
        <v>Germany</v>
      </c>
      <c r="R6" s="888"/>
      <c r="S6" s="578">
        <f>LARGE($AA$6:$AA$10,1)</f>
        <v>0.10852713178294573</v>
      </c>
      <c r="T6" s="142"/>
      <c r="U6" s="136"/>
      <c r="V6" s="342"/>
      <c r="W6" s="359" t="s">
        <v>16</v>
      </c>
      <c r="X6" s="282">
        <f t="shared" ref="X6:X11" si="0">CL6</f>
        <v>7</v>
      </c>
      <c r="Y6" s="39">
        <f t="shared" ref="Y6:Y11" si="1">AH6</f>
        <v>98</v>
      </c>
      <c r="Z6" s="25">
        <f>X6/$X$11</f>
        <v>3.3333333333333333E-2</v>
      </c>
      <c r="AA6" s="144">
        <f>$Y6/($X6*$F$6)</f>
        <v>0.10852713178294573</v>
      </c>
      <c r="AB6" s="125">
        <f>Y6/X6</f>
        <v>14</v>
      </c>
      <c r="AC6" s="142"/>
      <c r="AD6" s="136"/>
      <c r="AE6" s="829" t="s">
        <v>16</v>
      </c>
      <c r="AF6" s="830"/>
      <c r="AG6" s="11">
        <f>COUNTIF('Employee Leaves'!$D:$D,AE6)</f>
        <v>10</v>
      </c>
      <c r="AH6" s="8">
        <f>SUMIFS('Employee Leaves'!$G:$G,'Employee Leaves'!$D:$D,AE6)</f>
        <v>98</v>
      </c>
      <c r="AI6" s="330"/>
      <c r="AJ6" s="854"/>
      <c r="AK6" s="476" t="s">
        <v>86</v>
      </c>
      <c r="AL6" s="477" t="s">
        <v>83</v>
      </c>
      <c r="AM6" s="478" t="s">
        <v>85</v>
      </c>
      <c r="AN6" s="856"/>
      <c r="AO6" s="23" t="s">
        <v>88</v>
      </c>
      <c r="AP6" s="24" t="s">
        <v>87</v>
      </c>
      <c r="AQ6" s="860"/>
      <c r="AR6" s="862"/>
      <c r="AS6" s="330"/>
      <c r="AT6" s="848">
        <f>CORREL(BB10:BB29,BC10:BC29)</f>
        <v>-0.86576262392559211</v>
      </c>
      <c r="AU6" s="849"/>
      <c r="AV6" s="849"/>
      <c r="AW6" s="850"/>
      <c r="AX6" s="330"/>
      <c r="AY6" s="507">
        <f>CORREL(BB10:BB29,BC10:BC29)^2</f>
        <v>0.74954492098652625</v>
      </c>
      <c r="AZ6" s="330"/>
      <c r="BA6" s="330"/>
      <c r="BB6" s="330"/>
      <c r="BC6" s="330"/>
      <c r="BD6" s="142"/>
      <c r="BE6" s="136"/>
      <c r="BF6" s="829" t="s">
        <v>16</v>
      </c>
      <c r="BG6" s="830"/>
      <c r="BH6" s="8">
        <f>CL6</f>
        <v>7</v>
      </c>
      <c r="BI6" s="231">
        <f>AH6</f>
        <v>98</v>
      </c>
      <c r="BJ6" s="8">
        <f>SUMIFS('Employee Leaves'!$G:$G,'Employee Leaves'!$D:$D,BF6,'Employee Leaves'!$E:$E,"Holiday")+SUMIFS('Employee Leaves'!$G:$G,'Employee Leaves'!$D:$D,BF6,'Employee Leaves'!$E:$E,"Paternity Leave")+SUMIFS('Employee Leaves'!$G:$G,'Employee Leaves'!$D:$D,BF6,'Employee Leaves'!$E:$E,"Maternity Leave")</f>
        <v>83</v>
      </c>
      <c r="BK6" s="414">
        <f>SUMIFS('Employee Leaves'!$G:$G,'Employee Leaves'!$D:$D,BF6,'Employee Leaves'!$E:$E,"Sick")+SUMIFS('Employee Leaves'!$G:$G,'Employee Leaves'!$D:$D,BF6,'Employee Leaves'!$E:$E,"Others")</f>
        <v>15</v>
      </c>
      <c r="BL6" s="131">
        <f>BH6/$BH$11</f>
        <v>3.3333333333333333E-2</v>
      </c>
      <c r="BM6" s="144">
        <f t="shared" ref="BM6:BM11" si="2">AA6</f>
        <v>0.10852713178294573</v>
      </c>
      <c r="BN6" s="125">
        <f>BI6/BH6</f>
        <v>14</v>
      </c>
      <c r="BO6" s="295">
        <f>BR6/BH6</f>
        <v>16.237142857142857</v>
      </c>
      <c r="BP6" s="272">
        <f>BS6/BH6</f>
        <v>24.355714285714289</v>
      </c>
      <c r="BQ6" s="286">
        <f>BT6/BH6</f>
        <v>129.89714285714285</v>
      </c>
      <c r="BR6" s="265">
        <f>SUMIFS(Employees!$T:$T,Employees!$D:$D,$BF6:$BF6)</f>
        <v>113.66</v>
      </c>
      <c r="BS6" s="274">
        <f>SUMIFS(Employees!$V:$V,Employees!$D:$D,$BF6:$BF6)</f>
        <v>170.49</v>
      </c>
      <c r="BT6" s="292">
        <f>BR6*8</f>
        <v>909.28</v>
      </c>
      <c r="BU6" s="330"/>
      <c r="BV6" s="330"/>
      <c r="BW6" s="330"/>
      <c r="BX6" s="330"/>
      <c r="BY6" s="330"/>
      <c r="BZ6" s="330"/>
      <c r="CA6" s="330"/>
      <c r="CB6" s="418"/>
      <c r="CC6" s="330"/>
      <c r="CD6" s="330"/>
      <c r="CE6" s="330"/>
      <c r="CF6" s="136"/>
      <c r="CG6" s="786" t="s">
        <v>16</v>
      </c>
      <c r="CH6" s="787"/>
      <c r="CI6" s="403">
        <f t="shared" ref="CI6:CI11" si="3">CL6-CK6-CJ6</f>
        <v>7</v>
      </c>
      <c r="CJ6" s="57">
        <f>COUNTIFS(Employees!$D:$D,$CG6,Employees!G:G,"Resignation (Voluntary)")</f>
        <v>0</v>
      </c>
      <c r="CK6" s="8">
        <f>COUNTIFS(Employees!$D:$D,$CG6,Employees!G:G,"Termination (Involuntary)")</f>
        <v>0</v>
      </c>
      <c r="CL6" s="45">
        <f>COUNTIF(Employees!$D:$D,$CG6)</f>
        <v>7</v>
      </c>
      <c r="CM6" s="142"/>
      <c r="CN6" s="136"/>
      <c r="CO6" s="462"/>
      <c r="CP6" s="370" t="s">
        <v>16</v>
      </c>
      <c r="CQ6" s="144">
        <f>(CJ6+CK6)/((CI6+CL6)/2)</f>
        <v>0</v>
      </c>
      <c r="CR6" s="25">
        <f>$Y6/($X6*$F$6)</f>
        <v>0.10852713178294573</v>
      </c>
      <c r="CS6" s="142"/>
      <c r="CU6" s="432"/>
    </row>
    <row r="7" spans="2:112" ht="15.75" customHeight="1" thickBot="1">
      <c r="B7" s="136"/>
      <c r="C7" s="656"/>
      <c r="D7" s="656"/>
      <c r="E7" s="656"/>
      <c r="F7" s="330"/>
      <c r="G7" s="330"/>
      <c r="H7" s="616"/>
      <c r="I7" s="744" t="s">
        <v>276</v>
      </c>
      <c r="J7" s="745"/>
      <c r="K7" s="745"/>
      <c r="L7" s="746"/>
      <c r="M7" s="613"/>
      <c r="N7" s="330"/>
      <c r="O7" s="817" t="s">
        <v>1</v>
      </c>
      <c r="P7" s="818"/>
      <c r="Q7" s="889" t="str">
        <f>INDEX($W$14:$W$18,MATCH(S7,$AA$14:$AA$18,0))</f>
        <v>Sales</v>
      </c>
      <c r="R7" s="890"/>
      <c r="S7" s="469">
        <f>LARGE($AA$14:$AA$18,1)</f>
        <v>5.9196617336152217E-2</v>
      </c>
      <c r="T7" s="142"/>
      <c r="U7" s="136"/>
      <c r="V7" s="343"/>
      <c r="W7" s="360" t="s">
        <v>27</v>
      </c>
      <c r="X7" s="282">
        <f t="shared" si="0"/>
        <v>8</v>
      </c>
      <c r="Y7" s="9">
        <f t="shared" si="1"/>
        <v>66</v>
      </c>
      <c r="Z7" s="26">
        <f>X7/$X$11</f>
        <v>3.8095238095238099E-2</v>
      </c>
      <c r="AA7" s="145">
        <f>$Y7/($X7*$F$6)</f>
        <v>6.3953488372093026E-2</v>
      </c>
      <c r="AB7" s="126">
        <f>Y7/X7</f>
        <v>8.25</v>
      </c>
      <c r="AC7" s="142"/>
      <c r="AD7" s="136"/>
      <c r="AE7" s="731" t="s">
        <v>27</v>
      </c>
      <c r="AF7" s="732"/>
      <c r="AG7" s="3">
        <f>COUNTIF('Employee Leaves'!$D:$D,AE7)</f>
        <v>8</v>
      </c>
      <c r="AH7" s="9">
        <f>SUMIFS('Employee Leaves'!$G:$G,'Employee Leaves'!$D:$D,AE7)</f>
        <v>66</v>
      </c>
      <c r="AI7" s="330"/>
      <c r="AJ7" s="546" t="s">
        <v>84</v>
      </c>
      <c r="AK7" s="8">
        <f>SUMIFS('Employee Leaves'!$G:$G,'Employee Leaves'!$F:$F,$AJ7,'Employee Leaves'!$E:$E,AK$6)</f>
        <v>73</v>
      </c>
      <c r="AL7" s="414">
        <f>SUMIFS('Employee Leaves'!$G:$G,'Employee Leaves'!$F:$F,$AJ7,'Employee Leaves'!$E:$E,AL$6)</f>
        <v>21</v>
      </c>
      <c r="AM7" s="57">
        <f>SUMIFS('Employee Leaves'!$G:$G,'Employee Leaves'!$F:$F,$AJ7,'Employee Leaves'!$E:$E,AM$6)</f>
        <v>16</v>
      </c>
      <c r="AN7" s="8">
        <f>SUM(AK7:AM7)</f>
        <v>110</v>
      </c>
      <c r="AO7" s="57">
        <f>SUMIFS('Employee Leaves'!$G:$G,'Employee Leaves'!$F:$F,$AJ7,'Employee Leaves'!$E:$E,AO$6)</f>
        <v>8</v>
      </c>
      <c r="AP7" s="11">
        <f>SUMIFS('Employee Leaves'!$G:$G,'Employee Leaves'!$F:$F,$AJ7,'Employee Leaves'!$E:$E,AP$6)</f>
        <v>65</v>
      </c>
      <c r="AQ7" s="11">
        <f>SUM(AO7:AP7)</f>
        <v>73</v>
      </c>
      <c r="AR7" s="8">
        <f>AN7+AQ7</f>
        <v>183</v>
      </c>
      <c r="AS7" s="330"/>
      <c r="AT7" s="330"/>
      <c r="AU7" s="330"/>
      <c r="AV7" s="330"/>
      <c r="AW7" s="330"/>
      <c r="AX7" s="330"/>
      <c r="AY7" s="330"/>
      <c r="AZ7" s="330"/>
      <c r="BA7" s="330"/>
      <c r="BB7" s="330"/>
      <c r="BC7" s="330"/>
      <c r="BD7" s="142"/>
      <c r="BE7" s="136"/>
      <c r="BF7" s="731" t="s">
        <v>27</v>
      </c>
      <c r="BG7" s="732"/>
      <c r="BH7" s="9">
        <f>CL7</f>
        <v>8</v>
      </c>
      <c r="BI7" s="231">
        <f>AH7</f>
        <v>66</v>
      </c>
      <c r="BJ7" s="9">
        <f>SUMIFS('Employee Leaves'!$G:$G,'Employee Leaves'!$D:$D,BF7,'Employee Leaves'!$E:$E,"Holiday")+SUMIFS('Employee Leaves'!$G:$G,'Employee Leaves'!$D:$D,BF7,'Employee Leaves'!$E:$E,"Paternity Leave")+SUMIFS('Employee Leaves'!$G:$G,'Employee Leaves'!$D:$D,BF7,'Employee Leaves'!$E:$E,"Maternity Leave")</f>
        <v>66</v>
      </c>
      <c r="BK7" s="416">
        <f>SUMIFS('Employee Leaves'!$G:$G,'Employee Leaves'!$D:$D,BF7,'Employee Leaves'!$E:$E,"Sick")+SUMIFS('Employee Leaves'!$G:$G,'Employee Leaves'!$D:$D,BF7,'Employee Leaves'!$E:$E,"Others")</f>
        <v>0</v>
      </c>
      <c r="BL7" s="132">
        <f t="shared" ref="BL7:BL9" si="4">BH7/$BH$11</f>
        <v>3.8095238095238099E-2</v>
      </c>
      <c r="BM7" s="145">
        <f t="shared" si="2"/>
        <v>6.3953488372093026E-2</v>
      </c>
      <c r="BN7" s="126">
        <f>BI7/BH7</f>
        <v>8.25</v>
      </c>
      <c r="BO7" s="296">
        <f>BR7/BH7</f>
        <v>48.519999999999996</v>
      </c>
      <c r="BP7" s="270">
        <f>BS7/BH7</f>
        <v>72.779999999999987</v>
      </c>
      <c r="BQ7" s="287">
        <f>BT7/BH7</f>
        <v>388.15999999999997</v>
      </c>
      <c r="BR7" s="266">
        <f>SUMIFS(Employees!$T:$T,Employees!$D:$D,BF7:BF7)</f>
        <v>388.15999999999997</v>
      </c>
      <c r="BS7" s="275">
        <f>SUMIFS(Employees!$V:$V,Employees!$D:$D,$BF7:$BF7)</f>
        <v>582.2399999999999</v>
      </c>
      <c r="BT7" s="293">
        <f t="shared" ref="BT7:BT10" si="5">BR7*8</f>
        <v>3105.2799999999997</v>
      </c>
      <c r="BU7" s="330"/>
      <c r="BV7" s="330"/>
      <c r="BW7" s="330"/>
      <c r="BX7" s="330"/>
      <c r="BY7" s="330"/>
      <c r="BZ7" s="330"/>
      <c r="CA7" s="330"/>
      <c r="CB7" s="418"/>
      <c r="CC7" s="837" t="s">
        <v>209</v>
      </c>
      <c r="CD7" s="838"/>
      <c r="CE7" s="330"/>
      <c r="CF7" s="136"/>
      <c r="CG7" s="791" t="s">
        <v>36</v>
      </c>
      <c r="CH7" s="792"/>
      <c r="CI7" s="404">
        <f t="shared" si="3"/>
        <v>6</v>
      </c>
      <c r="CJ7" s="58">
        <f>COUNTIFS(Employees!$D:$D,$CG7,Employees!G:G,"Resignation (Voluntary)")</f>
        <v>0</v>
      </c>
      <c r="CK7" s="9">
        <f>COUNTIFS(Employees!$D:$D,$CG7,Employees!G:G,"Termination (Involuntary)")</f>
        <v>2</v>
      </c>
      <c r="CL7" s="46">
        <f>COUNTIF(Employees!$D:$D,$CG7)</f>
        <v>8</v>
      </c>
      <c r="CM7" s="142"/>
      <c r="CN7" s="136"/>
      <c r="CO7" s="463"/>
      <c r="CP7" s="371" t="s">
        <v>36</v>
      </c>
      <c r="CQ7" s="145">
        <f t="shared" ref="CQ7:CQ10" si="6">(CJ7+CK7)/((CI7+CL7)/2)</f>
        <v>0.2857142857142857</v>
      </c>
      <c r="CR7" s="26">
        <f>$Y7/($X7*$F$6)</f>
        <v>6.3953488372093026E-2</v>
      </c>
      <c r="CS7" s="142"/>
      <c r="CU7" s="432"/>
    </row>
    <row r="8" spans="2:112" ht="15.75" customHeight="1" thickBot="1">
      <c r="B8" s="136"/>
      <c r="C8" s="656"/>
      <c r="D8" s="668" t="s">
        <v>247</v>
      </c>
      <c r="E8" s="669"/>
      <c r="F8" s="580">
        <f>X11</f>
        <v>210</v>
      </c>
      <c r="G8" s="330"/>
      <c r="H8" s="616"/>
      <c r="I8" s="618"/>
      <c r="J8" s="657"/>
      <c r="K8" s="657"/>
      <c r="L8" s="619"/>
      <c r="M8" s="613"/>
      <c r="N8" s="330"/>
      <c r="O8" s="819" t="s">
        <v>2</v>
      </c>
      <c r="P8" s="820"/>
      <c r="Q8" s="891" t="str">
        <f>INDEX($W$22:$W$43,MATCH(S8,$AA$22:$AA$43,0))</f>
        <v>Leap</v>
      </c>
      <c r="R8" s="892"/>
      <c r="S8" s="470">
        <f>LARGE($AA$22:$AA$43,1)</f>
        <v>0.10465116279069768</v>
      </c>
      <c r="T8" s="142"/>
      <c r="U8" s="136"/>
      <c r="V8" s="343"/>
      <c r="W8" s="360" t="s">
        <v>17</v>
      </c>
      <c r="X8" s="282">
        <f t="shared" si="0"/>
        <v>8</v>
      </c>
      <c r="Y8" s="9">
        <f t="shared" si="1"/>
        <v>45</v>
      </c>
      <c r="Z8" s="26">
        <f>X8/$X$11</f>
        <v>3.8095238095238099E-2</v>
      </c>
      <c r="AA8" s="145">
        <f>$Y8/($X8*$F$6)</f>
        <v>4.3604651162790699E-2</v>
      </c>
      <c r="AB8" s="126">
        <f>Y8/X8</f>
        <v>5.625</v>
      </c>
      <c r="AC8" s="142"/>
      <c r="AD8" s="136"/>
      <c r="AE8" s="731" t="s">
        <v>17</v>
      </c>
      <c r="AF8" s="732"/>
      <c r="AG8" s="3">
        <f>COUNTIF('Employee Leaves'!$D:$D,AE8)</f>
        <v>5</v>
      </c>
      <c r="AH8" s="9">
        <f>SUMIFS('Employee Leaves'!$G:$G,'Employee Leaves'!$D:$D,AE8)</f>
        <v>45</v>
      </c>
      <c r="AI8" s="330"/>
      <c r="AJ8" s="228" t="s">
        <v>89</v>
      </c>
      <c r="AK8" s="9">
        <f>SUMIFS('Employee Leaves'!$G:$G,'Employee Leaves'!$F:$F,$AJ8,'Employee Leaves'!$E:$E,AK$6)</f>
        <v>79</v>
      </c>
      <c r="AL8" s="416">
        <f>SUMIFS('Employee Leaves'!$G:$G,'Employee Leaves'!$F:$F,$AJ8,'Employee Leaves'!$E:$E,AL$6)</f>
        <v>20</v>
      </c>
      <c r="AM8" s="58">
        <f>SUMIFS('Employee Leaves'!$G:$G,'Employee Leaves'!$F:$F,$AJ8,'Employee Leaves'!$E:$E,AM$6)</f>
        <v>0</v>
      </c>
      <c r="AN8" s="9">
        <f>SUM(AK8:AM8)</f>
        <v>99</v>
      </c>
      <c r="AO8" s="58">
        <f>SUMIFS('Employee Leaves'!$G:$G,'Employee Leaves'!$F:$F,$AJ8,'Employee Leaves'!$E:$E,AO$6)</f>
        <v>0</v>
      </c>
      <c r="AP8" s="3">
        <f>SUMIFS('Employee Leaves'!$G:$G,'Employee Leaves'!$F:$F,$AJ8,'Employee Leaves'!$E:$E,AP$6)</f>
        <v>40</v>
      </c>
      <c r="AQ8" s="3">
        <f t="shared" ref="AQ8:AQ18" si="7">SUM(AO8:AP8)</f>
        <v>40</v>
      </c>
      <c r="AR8" s="9">
        <f t="shared" ref="AR8:AR18" si="8">AN8+AQ8</f>
        <v>139</v>
      </c>
      <c r="AS8" s="330"/>
      <c r="AT8" s="839" t="s">
        <v>231</v>
      </c>
      <c r="AU8" s="840"/>
      <c r="AV8" s="840"/>
      <c r="AW8" s="840"/>
      <c r="AX8" s="841"/>
      <c r="AY8" s="772" t="s">
        <v>237</v>
      </c>
      <c r="AZ8" s="490"/>
      <c r="BA8" s="330"/>
      <c r="BB8" s="863" t="s">
        <v>239</v>
      </c>
      <c r="BC8" s="864"/>
      <c r="BD8" s="142"/>
      <c r="BE8" s="136"/>
      <c r="BF8" s="731" t="s">
        <v>17</v>
      </c>
      <c r="BG8" s="732"/>
      <c r="BH8" s="9">
        <f>CL8</f>
        <v>8</v>
      </c>
      <c r="BI8" s="231">
        <f>AH8</f>
        <v>45</v>
      </c>
      <c r="BJ8" s="9">
        <f>SUMIFS('Employee Leaves'!$G:$G,'Employee Leaves'!$D:$D,BF8,'Employee Leaves'!$E:$E,"Holiday")+SUMIFS('Employee Leaves'!$G:$G,'Employee Leaves'!$D:$D,BF8,'Employee Leaves'!$E:$E,"Paternity Leave")+SUMIFS('Employee Leaves'!$G:$G,'Employee Leaves'!$D:$D,BF8,'Employee Leaves'!$E:$E,"Maternity Leave")</f>
        <v>38</v>
      </c>
      <c r="BK8" s="416">
        <f>SUMIFS('Employee Leaves'!$G:$G,'Employee Leaves'!$D:$D,BF8,'Employee Leaves'!$E:$E,"Sick")+SUMIFS('Employee Leaves'!$G:$G,'Employee Leaves'!$D:$D,BF8,'Employee Leaves'!$E:$E,"Others")</f>
        <v>7</v>
      </c>
      <c r="BL8" s="132">
        <f t="shared" si="4"/>
        <v>3.8095238095238099E-2</v>
      </c>
      <c r="BM8" s="145">
        <f t="shared" si="2"/>
        <v>4.3604651162790699E-2</v>
      </c>
      <c r="BN8" s="126">
        <f>BI8/BH8</f>
        <v>5.625</v>
      </c>
      <c r="BO8" s="296">
        <f>BR8/BH8</f>
        <v>14.2075</v>
      </c>
      <c r="BP8" s="270">
        <f>BS8/BH8</f>
        <v>21.311250000000001</v>
      </c>
      <c r="BQ8" s="287">
        <f>BT8/BH8</f>
        <v>113.66</v>
      </c>
      <c r="BR8" s="266">
        <f>SUMIFS(Employees!$T:$T,Employees!$D:$D,BF8:BF8)</f>
        <v>113.66</v>
      </c>
      <c r="BS8" s="275">
        <f>SUMIFS(Employees!$V:$V,Employees!$D:$D,$BF8:$BF8)</f>
        <v>170.49</v>
      </c>
      <c r="BT8" s="293">
        <f>BR8*8</f>
        <v>909.28</v>
      </c>
      <c r="BU8" s="330"/>
      <c r="BV8" s="330"/>
      <c r="BW8" s="330"/>
      <c r="BX8" s="330"/>
      <c r="BY8" s="330"/>
      <c r="BZ8" s="330"/>
      <c r="CA8" s="330"/>
      <c r="CB8" s="418"/>
      <c r="CC8" s="430" t="s">
        <v>2</v>
      </c>
      <c r="CD8" s="384" t="s">
        <v>38</v>
      </c>
      <c r="CE8" s="330"/>
      <c r="CF8" s="136"/>
      <c r="CG8" s="791" t="s">
        <v>27</v>
      </c>
      <c r="CH8" s="792"/>
      <c r="CI8" s="404">
        <f t="shared" si="3"/>
        <v>8</v>
      </c>
      <c r="CJ8" s="58">
        <f>COUNTIFS(Employees!$D:$D,$CG8,Employees!G:G,"Resignation (Voluntary)")</f>
        <v>0</v>
      </c>
      <c r="CK8" s="9">
        <f>COUNTIFS(Employees!$D:$D,$CG8,Employees!G:G,"Termination (Involuntary)")</f>
        <v>0</v>
      </c>
      <c r="CL8" s="46">
        <f>COUNTIF(Employees!$D:$D,$CG8)</f>
        <v>8</v>
      </c>
      <c r="CM8" s="142"/>
      <c r="CN8" s="136"/>
      <c r="CO8" s="463"/>
      <c r="CP8" s="371" t="s">
        <v>27</v>
      </c>
      <c r="CQ8" s="145">
        <f t="shared" si="6"/>
        <v>0</v>
      </c>
      <c r="CR8" s="26">
        <f>$Y8/($X8*$F$6)</f>
        <v>4.3604651162790699E-2</v>
      </c>
      <c r="CS8" s="142"/>
      <c r="CU8" s="432"/>
    </row>
    <row r="9" spans="2:112" ht="15.75" customHeight="1" thickBot="1">
      <c r="B9" s="136"/>
      <c r="C9" s="330"/>
      <c r="D9" s="670" t="s">
        <v>248</v>
      </c>
      <c r="E9" s="671"/>
      <c r="F9" s="581">
        <f>Y11</f>
        <v>960</v>
      </c>
      <c r="G9" s="330"/>
      <c r="H9" s="616"/>
      <c r="I9" s="741" t="s">
        <v>273</v>
      </c>
      <c r="J9" s="742"/>
      <c r="K9" s="743"/>
      <c r="L9" s="913">
        <v>0.75</v>
      </c>
      <c r="M9" s="613"/>
      <c r="N9" s="330"/>
      <c r="O9" s="330"/>
      <c r="P9" s="330"/>
      <c r="Q9" s="330"/>
      <c r="R9" s="330"/>
      <c r="S9" s="330"/>
      <c r="T9" s="142"/>
      <c r="U9" s="136"/>
      <c r="V9" s="346"/>
      <c r="W9" s="361" t="s">
        <v>36</v>
      </c>
      <c r="X9" s="282">
        <f t="shared" si="0"/>
        <v>7</v>
      </c>
      <c r="Y9" s="9">
        <f t="shared" si="1"/>
        <v>26</v>
      </c>
      <c r="Z9" s="26">
        <f>X9/$X$11</f>
        <v>3.3333333333333333E-2</v>
      </c>
      <c r="AA9" s="145">
        <f>$Y9/($X9*$F$6)</f>
        <v>2.8792912513842746E-2</v>
      </c>
      <c r="AB9" s="126">
        <f>Y9/X9</f>
        <v>3.7142857142857144</v>
      </c>
      <c r="AC9" s="142"/>
      <c r="AD9" s="136"/>
      <c r="AE9" s="731" t="s">
        <v>36</v>
      </c>
      <c r="AF9" s="732"/>
      <c r="AG9" s="3">
        <f>COUNTIF('Employee Leaves'!$D:$D,AE9)</f>
        <v>4</v>
      </c>
      <c r="AH9" s="9">
        <f>SUMIFS('Employee Leaves'!$G:$G,'Employee Leaves'!$D:$D,AE9)</f>
        <v>26</v>
      </c>
      <c r="AI9" s="330"/>
      <c r="AJ9" s="228" t="s">
        <v>90</v>
      </c>
      <c r="AK9" s="9">
        <f>SUMIFS('Employee Leaves'!$G:$G,'Employee Leaves'!$F:$F,$AJ9,'Employee Leaves'!$E:$E,AK$6)</f>
        <v>59</v>
      </c>
      <c r="AL9" s="416">
        <f>SUMIFS('Employee Leaves'!$G:$G,'Employee Leaves'!$F:$F,$AJ9,'Employee Leaves'!$E:$E,AL$6)</f>
        <v>14</v>
      </c>
      <c r="AM9" s="58">
        <f>SUMIFS('Employee Leaves'!$G:$G,'Employee Leaves'!$F:$F,$AJ9,'Employee Leaves'!$E:$E,AM$6)</f>
        <v>0</v>
      </c>
      <c r="AN9" s="9">
        <f t="shared" ref="AN9:AN18" si="9">SUM(AK9:AM9)</f>
        <v>73</v>
      </c>
      <c r="AO9" s="58">
        <f>SUMIFS('Employee Leaves'!$G:$G,'Employee Leaves'!$F:$F,$AJ9,'Employee Leaves'!$E:$E,AO$6)</f>
        <v>0</v>
      </c>
      <c r="AP9" s="3">
        <f>SUMIFS('Employee Leaves'!$G:$G,'Employee Leaves'!$F:$F,$AJ9,'Employee Leaves'!$E:$E,AP$6)</f>
        <v>70</v>
      </c>
      <c r="AQ9" s="3">
        <f t="shared" si="7"/>
        <v>70</v>
      </c>
      <c r="AR9" s="9">
        <f t="shared" si="8"/>
        <v>143</v>
      </c>
      <c r="AS9" s="330"/>
      <c r="AT9" s="510" t="s">
        <v>94</v>
      </c>
      <c r="AU9" s="511" t="s">
        <v>0</v>
      </c>
      <c r="AV9" s="512" t="s">
        <v>229</v>
      </c>
      <c r="AW9" s="510" t="s">
        <v>1</v>
      </c>
      <c r="AX9" s="513" t="s">
        <v>2</v>
      </c>
      <c r="AY9" s="773"/>
      <c r="AZ9" s="491" t="s">
        <v>234</v>
      </c>
      <c r="BA9" s="330"/>
      <c r="BB9" s="479" t="s">
        <v>86</v>
      </c>
      <c r="BC9" s="480" t="s">
        <v>87</v>
      </c>
      <c r="BD9" s="142"/>
      <c r="BE9" s="136"/>
      <c r="BF9" s="731" t="s">
        <v>36</v>
      </c>
      <c r="BG9" s="732"/>
      <c r="BH9" s="9">
        <f>CL9</f>
        <v>7</v>
      </c>
      <c r="BI9" s="231">
        <f>AH9</f>
        <v>26</v>
      </c>
      <c r="BJ9" s="9">
        <f>SUMIFS('Employee Leaves'!$G:$G,'Employee Leaves'!$D:$D,BF9,'Employee Leaves'!$E:$E,"Holiday")+SUMIFS('Employee Leaves'!$G:$G,'Employee Leaves'!$D:$D,BF9,'Employee Leaves'!$E:$E,"Paternity Leave")+SUMIFS('Employee Leaves'!$G:$G,'Employee Leaves'!$D:$D,BF9,'Employee Leaves'!$E:$E,"Maternity Leave")</f>
        <v>22</v>
      </c>
      <c r="BK9" s="416">
        <f>SUMIFS('Employee Leaves'!$G:$G,'Employee Leaves'!$D:$D,BF9,'Employee Leaves'!$E:$E,"Sick")+SUMIFS('Employee Leaves'!$G:$G,'Employee Leaves'!$D:$D,BF9,'Employee Leaves'!$E:$E,"Others")</f>
        <v>4</v>
      </c>
      <c r="BL9" s="132">
        <f t="shared" si="4"/>
        <v>3.3333333333333333E-2</v>
      </c>
      <c r="BM9" s="145">
        <f t="shared" si="2"/>
        <v>2.8792912513842746E-2</v>
      </c>
      <c r="BN9" s="126">
        <f>BI9/BH9</f>
        <v>3.7142857142857144</v>
      </c>
      <c r="BO9" s="296">
        <f>BR9/BH9</f>
        <v>55.451428571428565</v>
      </c>
      <c r="BP9" s="270">
        <f>BS9/BH9</f>
        <v>83.17714285714284</v>
      </c>
      <c r="BQ9" s="287">
        <f>BT9/BH9</f>
        <v>443.61142857142852</v>
      </c>
      <c r="BR9" s="266">
        <f>SUMIFS(Employees!$T:$T,Employees!$D:$D,BF9:BF9)</f>
        <v>388.15999999999997</v>
      </c>
      <c r="BS9" s="275">
        <f>SUMIFS(Employees!$V:$V,Employees!$D:$D,$BF9:$BF9)</f>
        <v>582.2399999999999</v>
      </c>
      <c r="BT9" s="293">
        <f t="shared" si="5"/>
        <v>3105.2799999999997</v>
      </c>
      <c r="BU9" s="330"/>
      <c r="BV9" s="330"/>
      <c r="BW9" s="330"/>
      <c r="BX9" s="330"/>
      <c r="BY9" s="330"/>
      <c r="BZ9" s="330"/>
      <c r="CA9" s="330"/>
      <c r="CB9" s="418"/>
      <c r="CC9" s="339" t="s">
        <v>119</v>
      </c>
      <c r="CD9" s="8">
        <f>INDEX($BH$22:$BH$43,MATCH($CD$8,$BG$22:$BG$43,0))</f>
        <v>9</v>
      </c>
      <c r="CE9" s="330"/>
      <c r="CF9" s="136"/>
      <c r="CG9" s="791" t="s">
        <v>17</v>
      </c>
      <c r="CH9" s="792"/>
      <c r="CI9" s="404">
        <f t="shared" si="3"/>
        <v>6</v>
      </c>
      <c r="CJ9" s="58">
        <f>COUNTIFS(Employees!$D:$D,$CG9,Employees!G:G,"Resignation (Voluntary)")</f>
        <v>1</v>
      </c>
      <c r="CK9" s="9">
        <f>COUNTIFS(Employees!$D:$D,$CG9,Employees!G:G,"Termination (Involuntary)")</f>
        <v>0</v>
      </c>
      <c r="CL9" s="46">
        <f>COUNTIF(Employees!$D:$D,$CG9)</f>
        <v>7</v>
      </c>
      <c r="CM9" s="142"/>
      <c r="CN9" s="136"/>
      <c r="CO9" s="463"/>
      <c r="CP9" s="371" t="s">
        <v>17</v>
      </c>
      <c r="CQ9" s="145">
        <f t="shared" si="6"/>
        <v>0.15384615384615385</v>
      </c>
      <c r="CR9" s="26">
        <f>$Y9/($X9*$F$6)</f>
        <v>2.8792912513842746E-2</v>
      </c>
      <c r="CS9" s="142"/>
      <c r="CU9" s="432"/>
    </row>
    <row r="10" spans="2:112" ht="15.75" customHeight="1" thickBot="1">
      <c r="B10" s="136"/>
      <c r="C10" s="330"/>
      <c r="D10" s="582"/>
      <c r="E10" s="330"/>
      <c r="F10" s="582"/>
      <c r="G10" s="330"/>
      <c r="H10" s="616"/>
      <c r="I10" s="910" t="s">
        <v>277</v>
      </c>
      <c r="J10" s="911"/>
      <c r="K10" s="912"/>
      <c r="L10" s="914"/>
      <c r="M10" s="613"/>
      <c r="N10" s="330"/>
      <c r="O10" s="918" t="s">
        <v>227</v>
      </c>
      <c r="P10" s="919"/>
      <c r="Q10" s="919"/>
      <c r="R10" s="919"/>
      <c r="S10" s="920"/>
      <c r="T10" s="142"/>
      <c r="U10" s="136"/>
      <c r="V10" s="344"/>
      <c r="W10" s="362" t="s">
        <v>9</v>
      </c>
      <c r="X10" s="345">
        <f t="shared" si="0"/>
        <v>180</v>
      </c>
      <c r="Y10" s="40">
        <f t="shared" si="1"/>
        <v>725</v>
      </c>
      <c r="Z10" s="27">
        <f>X10/$X$11</f>
        <v>0.8571428571428571</v>
      </c>
      <c r="AA10" s="146">
        <f>$Y10/($X10*$F$6)</f>
        <v>3.1223083548664946E-2</v>
      </c>
      <c r="AB10" s="127">
        <f>Y10/X10</f>
        <v>4.0277777777777777</v>
      </c>
      <c r="AC10" s="142"/>
      <c r="AD10" s="136"/>
      <c r="AE10" s="764" t="s">
        <v>9</v>
      </c>
      <c r="AF10" s="765"/>
      <c r="AG10" s="4">
        <f>COUNTIF('Employee Leaves'!$D:$D,AE10)</f>
        <v>116</v>
      </c>
      <c r="AH10" s="10">
        <f>SUMIFS('Employee Leaves'!$G:$G,'Employee Leaves'!$D:$D,AE10)</f>
        <v>725</v>
      </c>
      <c r="AI10" s="330"/>
      <c r="AJ10" s="228" t="s">
        <v>91</v>
      </c>
      <c r="AK10" s="9">
        <f>SUMIFS('Employee Leaves'!$G:$G,'Employee Leaves'!$F:$F,$AJ10,'Employee Leaves'!$E:$E,AK$6)</f>
        <v>91</v>
      </c>
      <c r="AL10" s="416">
        <f>SUMIFS('Employee Leaves'!$G:$G,'Employee Leaves'!$F:$F,$AJ10,'Employee Leaves'!$E:$E,AL$6)</f>
        <v>0</v>
      </c>
      <c r="AM10" s="58">
        <f>SUMIFS('Employee Leaves'!$G:$G,'Employee Leaves'!$F:$F,$AJ10,'Employee Leaves'!$E:$E,AM$6)</f>
        <v>0</v>
      </c>
      <c r="AN10" s="9">
        <f t="shared" si="9"/>
        <v>91</v>
      </c>
      <c r="AO10" s="58">
        <f>SUMIFS('Employee Leaves'!$G:$G,'Employee Leaves'!$F:$F,$AJ10,'Employee Leaves'!$E:$E,AO$6)</f>
        <v>8</v>
      </c>
      <c r="AP10" s="3">
        <f>SUMIFS('Employee Leaves'!$G:$G,'Employee Leaves'!$F:$F,$AJ10,'Employee Leaves'!$E:$E,AP$6)</f>
        <v>28</v>
      </c>
      <c r="AQ10" s="3">
        <f t="shared" si="7"/>
        <v>36</v>
      </c>
      <c r="AR10" s="9">
        <f t="shared" si="8"/>
        <v>127</v>
      </c>
      <c r="AS10" s="330"/>
      <c r="AT10" s="211">
        <v>1</v>
      </c>
      <c r="AU10" s="522">
        <f>INDEX(Employees!$A:$A,MATCH($AZ10,Employees!$J:$J,0))</f>
        <v>4068</v>
      </c>
      <c r="AV10" s="523">
        <f>INDEX(Employees!$H:$H,MATCH($AZ10,Employees!$J:$J,0))</f>
        <v>17</v>
      </c>
      <c r="AW10" s="524" t="str">
        <f>INDEX(Employees!$B:$B,MATCH($AZ10,Employees!$J:$J,0))</f>
        <v>Product &amp; Engineering</v>
      </c>
      <c r="AX10" s="525" t="str">
        <f>INDEX(Employees!$C:$C,MATCH($AZ10,Employees!$J:$J,0))</f>
        <v>Activation</v>
      </c>
      <c r="AY10" s="523">
        <f>INDEX(Employees!$M:$M,MATCH($AZ10,Employees!$J:$J,0))</f>
        <v>0</v>
      </c>
      <c r="AZ10" s="414">
        <f>LARGE(Employees!$J:$J,AT10)</f>
        <v>17.245821042281218</v>
      </c>
      <c r="BA10" s="330"/>
      <c r="BB10" s="504">
        <f t="shared" ref="BB10:BB19" si="10">AV10</f>
        <v>17</v>
      </c>
      <c r="BC10" s="505">
        <f>AY10</f>
        <v>0</v>
      </c>
      <c r="BD10" s="142"/>
      <c r="BE10" s="136"/>
      <c r="BF10" s="764" t="s">
        <v>9</v>
      </c>
      <c r="BG10" s="765"/>
      <c r="BH10" s="10">
        <f>CL10</f>
        <v>180</v>
      </c>
      <c r="BI10" s="2">
        <f>AH10</f>
        <v>725</v>
      </c>
      <c r="BJ10" s="10">
        <f>SUMIFS('Employee Leaves'!$G:$G,'Employee Leaves'!$D:$D,BF10,'Employee Leaves'!$E:$E,"Holiday")+SUMIFS('Employee Leaves'!$G:$G,'Employee Leaves'!$D:$D,BF10,'Employee Leaves'!$E:$E,"Paternity Leave")+SUMIFS('Employee Leaves'!$G:$G,'Employee Leaves'!$D:$D,BF10,'Employee Leaves'!$E:$E,"Maternity Leave")</f>
        <v>413</v>
      </c>
      <c r="BK10" s="417">
        <f>SUMIFS('Employee Leaves'!$G:$G,'Employee Leaves'!$D:$D,BF10,'Employee Leaves'!$E:$E,"Sick")+SUMIFS('Employee Leaves'!$G:$G,'Employee Leaves'!$D:$D,BF10,'Employee Leaves'!$E:$E,"Others")</f>
        <v>312</v>
      </c>
      <c r="BL10" s="133">
        <f>BH10/$BH$11</f>
        <v>0.8571428571428571</v>
      </c>
      <c r="BM10" s="146">
        <f t="shared" si="2"/>
        <v>3.1223083548664946E-2</v>
      </c>
      <c r="BN10" s="127">
        <f>BI10/BH10</f>
        <v>4.0277777777777777</v>
      </c>
      <c r="BO10" s="385">
        <f>BR10/BH10</f>
        <v>35.650388888888948</v>
      </c>
      <c r="BP10" s="280">
        <f>BS10/BH10</f>
        <v>53.475583333333354</v>
      </c>
      <c r="BQ10" s="324">
        <f>BT10/BH10</f>
        <v>285.20311111111158</v>
      </c>
      <c r="BR10" s="267">
        <f>SUMIFS(Employees!$T:$T,Employees!$D:$D,BF10:BF10)</f>
        <v>6417.0700000000106</v>
      </c>
      <c r="BS10" s="276">
        <f>SUMIFS(Employees!$V:$V,Employees!$D:$D,$BF10:$BF10)</f>
        <v>9625.6050000000032</v>
      </c>
      <c r="BT10" s="294">
        <f t="shared" si="5"/>
        <v>51336.560000000085</v>
      </c>
      <c r="BU10" s="330"/>
      <c r="BV10" s="330"/>
      <c r="BW10" s="330"/>
      <c r="BX10" s="330"/>
      <c r="BY10" s="330"/>
      <c r="BZ10" s="330"/>
      <c r="CA10" s="330"/>
      <c r="CB10" s="418"/>
      <c r="CC10" s="340" t="s">
        <v>184</v>
      </c>
      <c r="CD10" s="221">
        <f>INDEX($BO$22:$BO$43,MATCH($CD$8,$BG$22:$BG$43,0))</f>
        <v>17.75</v>
      </c>
      <c r="CE10" s="330"/>
      <c r="CF10" s="136"/>
      <c r="CG10" s="793" t="s">
        <v>9</v>
      </c>
      <c r="CH10" s="794"/>
      <c r="CI10" s="405">
        <f t="shared" si="3"/>
        <v>158</v>
      </c>
      <c r="CJ10" s="59">
        <f>COUNTIFS(Employees!$D:$D,$CG10,Employees!G:G,"Resignation (Voluntary)")</f>
        <v>15</v>
      </c>
      <c r="CK10" s="40">
        <f>COUNTIFS(Employees!$D:$D,$CG10,Employees!G:G,"Termination (Involuntary)")</f>
        <v>7</v>
      </c>
      <c r="CL10" s="47">
        <f>COUNTIF(Employees!$D:$D,$CG10)</f>
        <v>180</v>
      </c>
      <c r="CM10" s="142"/>
      <c r="CN10" s="136"/>
      <c r="CO10" s="464"/>
      <c r="CP10" s="372" t="s">
        <v>9</v>
      </c>
      <c r="CQ10" s="465">
        <f t="shared" si="6"/>
        <v>0.13017751479289941</v>
      </c>
      <c r="CR10" s="298">
        <f>$Y10/($X10*$F$6)</f>
        <v>3.1223083548664946E-2</v>
      </c>
      <c r="CS10" s="142"/>
      <c r="CU10" s="432"/>
    </row>
    <row r="11" spans="2:112" ht="15.75" customHeight="1" thickBot="1">
      <c r="B11" s="136"/>
      <c r="C11" s="582"/>
      <c r="D11" s="921" t="s">
        <v>244</v>
      </c>
      <c r="E11" s="922"/>
      <c r="F11" s="637">
        <f>$F$9/($F$8*$F$6)</f>
        <v>3.5437430786267994E-2</v>
      </c>
      <c r="G11" s="656"/>
      <c r="H11" s="616"/>
      <c r="I11" s="884" t="s">
        <v>259</v>
      </c>
      <c r="J11" s="885"/>
      <c r="K11" s="886"/>
      <c r="L11" s="753">
        <v>0.1</v>
      </c>
      <c r="M11" s="613"/>
      <c r="N11" s="330"/>
      <c r="O11" s="901" t="s">
        <v>1</v>
      </c>
      <c r="P11" s="902"/>
      <c r="Q11" s="893" t="str">
        <f>INDEX($W$14:$W$18,MATCH($S$11,BY14:BY18,0))</f>
        <v>Product &amp; Engineering</v>
      </c>
      <c r="R11" s="894"/>
      <c r="S11" s="471">
        <f>LARGE($BY$14:$BY$18,1)</f>
        <v>312419.83999999997</v>
      </c>
      <c r="T11" s="142"/>
      <c r="U11" s="136"/>
      <c r="V11" s="762" t="s">
        <v>110</v>
      </c>
      <c r="W11" s="763"/>
      <c r="X11" s="347">
        <f t="shared" si="0"/>
        <v>210</v>
      </c>
      <c r="Y11" s="5">
        <f t="shared" si="1"/>
        <v>960</v>
      </c>
      <c r="Z11" s="72" t="s">
        <v>126</v>
      </c>
      <c r="AA11" s="364">
        <f>SUMPRODUCT(Z6:Z10,AA6:AA10)</f>
        <v>3.5437430786267994E-2</v>
      </c>
      <c r="AB11" s="365">
        <f>SUMPRODUCT(Z6:Z10,AB6:AB10)</f>
        <v>4.5714285714285712</v>
      </c>
      <c r="AC11" s="142"/>
      <c r="AD11" s="136"/>
      <c r="AE11" s="715" t="s">
        <v>110</v>
      </c>
      <c r="AF11" s="716"/>
      <c r="AG11" s="363">
        <f>SUM(AG6:AG10)</f>
        <v>143</v>
      </c>
      <c r="AH11" s="534">
        <f>SUM(AH6:AH10)</f>
        <v>960</v>
      </c>
      <c r="AI11" s="330"/>
      <c r="AJ11" s="228" t="s">
        <v>92</v>
      </c>
      <c r="AK11" s="9">
        <f>SUMIFS('Employee Leaves'!$G:$G,'Employee Leaves'!$F:$F,$AJ11,'Employee Leaves'!$E:$E,AK$6)</f>
        <v>77</v>
      </c>
      <c r="AL11" s="416">
        <f>SUMIFS('Employee Leaves'!$G:$G,'Employee Leaves'!$F:$F,$AJ11,'Employee Leaves'!$E:$E,AL$6)</f>
        <v>0</v>
      </c>
      <c r="AM11" s="58">
        <f>SUMIFS('Employee Leaves'!$G:$G,'Employee Leaves'!$F:$F,$AJ11,'Employee Leaves'!$E:$E,AM$6)</f>
        <v>0</v>
      </c>
      <c r="AN11" s="9">
        <f t="shared" si="9"/>
        <v>77</v>
      </c>
      <c r="AO11" s="58">
        <f>SUMIFS('Employee Leaves'!$G:$G,'Employee Leaves'!$F:$F,$AJ11,'Employee Leaves'!$E:$E,AO$6)</f>
        <v>6</v>
      </c>
      <c r="AP11" s="3">
        <f>SUMIFS('Employee Leaves'!$G:$G,'Employee Leaves'!$F:$F,$AJ11,'Employee Leaves'!$E:$E,AP$6)</f>
        <v>52</v>
      </c>
      <c r="AQ11" s="3">
        <f t="shared" si="7"/>
        <v>58</v>
      </c>
      <c r="AR11" s="9">
        <f t="shared" si="8"/>
        <v>135</v>
      </c>
      <c r="AS11" s="330"/>
      <c r="AT11" s="212">
        <v>2</v>
      </c>
      <c r="AU11" s="526">
        <f>INDEX(Employees!$A:$A,MATCH($AZ11,Employees!$J:$J,0))</f>
        <v>4031</v>
      </c>
      <c r="AV11" s="527">
        <f>INDEX(Employees!$H:$H,MATCH($AZ11,Employees!$J:$J,0))</f>
        <v>15</v>
      </c>
      <c r="AW11" s="524" t="str">
        <f>INDEX(Employees!$B:$B,MATCH($AZ11,Employees!$J:$J,0))</f>
        <v>Product &amp; Engineering</v>
      </c>
      <c r="AX11" s="525" t="str">
        <f>INDEX(Employees!$C:$C,MATCH($AZ11,Employees!$J:$J,0))</f>
        <v>Security &amp; Auth</v>
      </c>
      <c r="AY11" s="527">
        <f>INDEX(Employees!$M:$M,MATCH($AZ11,Employees!$J:$J,0))</f>
        <v>0</v>
      </c>
      <c r="AZ11" s="416">
        <f>LARGE(Employees!$J:$J,AT11)</f>
        <v>15.248077400148846</v>
      </c>
      <c r="BA11" s="330"/>
      <c r="BB11" s="494">
        <f t="shared" si="10"/>
        <v>15</v>
      </c>
      <c r="BC11" s="496">
        <f t="shared" ref="BC11:BC19" si="11">AY11</f>
        <v>0</v>
      </c>
      <c r="BD11" s="142"/>
      <c r="BE11" s="136"/>
      <c r="BF11" s="715" t="s">
        <v>110</v>
      </c>
      <c r="BG11" s="799"/>
      <c r="BH11" s="149">
        <f>SUM(BH6:BH10)</f>
        <v>210</v>
      </c>
      <c r="BI11" s="48">
        <f>SUM(BI6:BI10)</f>
        <v>960</v>
      </c>
      <c r="BJ11" s="149">
        <f t="shared" ref="BJ11:BK11" si="12">SUM(BJ6:BJ10)</f>
        <v>622</v>
      </c>
      <c r="BK11" s="149">
        <f t="shared" si="12"/>
        <v>338</v>
      </c>
      <c r="BL11" s="297"/>
      <c r="BM11" s="254">
        <f t="shared" si="2"/>
        <v>3.5437430786267994E-2</v>
      </c>
      <c r="BN11" s="255">
        <f>AB11</f>
        <v>4.5714285714285712</v>
      </c>
      <c r="BO11" s="386"/>
      <c r="BP11" s="387"/>
      <c r="BQ11" s="388"/>
      <c r="BR11" s="397">
        <f>SUM(BR6:BR10)</f>
        <v>7420.71000000001</v>
      </c>
      <c r="BS11" s="398">
        <f>SUM(BS6:BS10)</f>
        <v>11131.065000000002</v>
      </c>
      <c r="BT11" s="399">
        <f>SUM(BT6:BT10)</f>
        <v>59365.68000000008</v>
      </c>
      <c r="BU11" s="330"/>
      <c r="BV11" s="330"/>
      <c r="BW11" s="330"/>
      <c r="BX11" s="330"/>
      <c r="BY11" s="330"/>
      <c r="BZ11" s="330"/>
      <c r="CA11" s="330"/>
      <c r="CB11" s="418"/>
      <c r="CC11" s="340" t="s">
        <v>186</v>
      </c>
      <c r="CD11" s="221">
        <f>INDEX($BP$22:$BP$43,MATCH($CD$8,$BG$22:$BG$43,0))</f>
        <v>26.625</v>
      </c>
      <c r="CE11" s="330"/>
      <c r="CF11" s="136"/>
      <c r="CG11" s="788" t="s">
        <v>110</v>
      </c>
      <c r="CH11" s="789"/>
      <c r="CI11" s="61">
        <f t="shared" si="3"/>
        <v>185</v>
      </c>
      <c r="CJ11" s="123">
        <f>SUM(CJ6:CJ10)</f>
        <v>16</v>
      </c>
      <c r="CK11" s="124">
        <f>SUM(CK6:CK10)</f>
        <v>9</v>
      </c>
      <c r="CL11" s="310">
        <f>SUM(CL6:CL10)</f>
        <v>210</v>
      </c>
      <c r="CM11" s="142"/>
      <c r="CN11" s="136"/>
      <c r="CO11" s="835" t="s">
        <v>216</v>
      </c>
      <c r="CP11" s="836"/>
      <c r="CQ11" s="475">
        <f>CORREL(CQ6:CQ10,CR6:CR10)^2</f>
        <v>8.8840104021872771E-2</v>
      </c>
      <c r="CR11" s="454" t="str">
        <f>IF(CORREL(CQ6:CQ10,CR6:CR10)&lt;0,", Negative Corr.",", Positive Corr.")</f>
        <v>, Negative Corr.</v>
      </c>
      <c r="CS11" s="142"/>
    </row>
    <row r="12" spans="2:112" ht="15.75" customHeight="1" thickBot="1">
      <c r="B12" s="136"/>
      <c r="C12" s="330"/>
      <c r="D12" s="923" t="s">
        <v>245</v>
      </c>
      <c r="E12" s="924"/>
      <c r="F12" s="638">
        <f>$AN$19/($F$8*$F$6)</f>
        <v>2.2960502030269472E-2</v>
      </c>
      <c r="G12" s="656"/>
      <c r="H12" s="616"/>
      <c r="I12" s="907" t="s">
        <v>271</v>
      </c>
      <c r="J12" s="908"/>
      <c r="K12" s="909"/>
      <c r="L12" s="874"/>
      <c r="M12" s="613"/>
      <c r="N12" s="330"/>
      <c r="O12" s="819" t="s">
        <v>2</v>
      </c>
      <c r="P12" s="820"/>
      <c r="Q12" s="891" t="str">
        <f>INDEX($W$22:$W$43,MATCH($S$12,$BY$22:$BY$43,0))</f>
        <v>Data Engineering</v>
      </c>
      <c r="R12" s="892"/>
      <c r="S12" s="472">
        <f>LARGE($BY$22:$BY$43,1)</f>
        <v>57350.640000000007</v>
      </c>
      <c r="T12" s="142"/>
      <c r="U12" s="136"/>
      <c r="V12" s="330"/>
      <c r="W12" s="330"/>
      <c r="X12" s="330"/>
      <c r="Y12" s="330"/>
      <c r="Z12" s="330"/>
      <c r="AA12" s="330"/>
      <c r="AB12" s="330"/>
      <c r="AC12" s="142"/>
      <c r="AD12" s="136"/>
      <c r="AE12" s="330"/>
      <c r="AF12" s="330"/>
      <c r="AG12" s="330"/>
      <c r="AH12" s="330"/>
      <c r="AI12" s="330"/>
      <c r="AJ12" s="228" t="s">
        <v>93</v>
      </c>
      <c r="AK12" s="9">
        <f>SUMIFS('Employee Leaves'!$G:$G,'Employee Leaves'!$F:$F,$AJ12,'Employee Leaves'!$E:$E,AK$6)</f>
        <v>172</v>
      </c>
      <c r="AL12" s="416">
        <f>SUMIFS('Employee Leaves'!$G:$G,'Employee Leaves'!$F:$F,$AJ12,'Employee Leaves'!$E:$E,AL$6)</f>
        <v>0</v>
      </c>
      <c r="AM12" s="58">
        <f>SUMIFS('Employee Leaves'!$G:$G,'Employee Leaves'!$F:$F,$AJ12,'Employee Leaves'!$E:$E,AM$6)</f>
        <v>0</v>
      </c>
      <c r="AN12" s="9">
        <f t="shared" si="9"/>
        <v>172</v>
      </c>
      <c r="AO12" s="58">
        <f>SUMIFS('Employee Leaves'!$G:$G,'Employee Leaves'!$F:$F,$AJ12,'Employee Leaves'!$E:$E,AO$6)</f>
        <v>9</v>
      </c>
      <c r="AP12" s="3">
        <f>SUMIFS('Employee Leaves'!$G:$G,'Employee Leaves'!$F:$F,$AJ12,'Employee Leaves'!$E:$E,AP$6)</f>
        <v>52</v>
      </c>
      <c r="AQ12" s="3">
        <f t="shared" si="7"/>
        <v>61</v>
      </c>
      <c r="AR12" s="9">
        <f t="shared" si="8"/>
        <v>233</v>
      </c>
      <c r="AS12" s="330"/>
      <c r="AT12" s="212">
        <v>3</v>
      </c>
      <c r="AU12" s="526">
        <f>INDEX(Employees!$A:$A,MATCH($AZ12,Employees!$J:$J,0))</f>
        <v>4052</v>
      </c>
      <c r="AV12" s="527">
        <f>INDEX(Employees!$H:$H,MATCH($AZ12,Employees!$J:$J,0))</f>
        <v>15</v>
      </c>
      <c r="AW12" s="524" t="str">
        <f>INDEX(Employees!$B:$B,MATCH($AZ12,Employees!$J:$J,0))</f>
        <v>Product &amp; Engineering</v>
      </c>
      <c r="AX12" s="525" t="str">
        <f>INDEX(Employees!$C:$C,MATCH($AZ12,Employees!$J:$J,0))</f>
        <v>Data Analytics</v>
      </c>
      <c r="AY12" s="527">
        <f>INDEX(Employees!$M:$M,MATCH($AZ12,Employees!$J:$J,0))</f>
        <v>0</v>
      </c>
      <c r="AZ12" s="416">
        <f>LARGE(Employees!$J:$J,AT12)</f>
        <v>15.246791707798618</v>
      </c>
      <c r="BA12" s="330"/>
      <c r="BB12" s="494">
        <f t="shared" si="10"/>
        <v>15</v>
      </c>
      <c r="BC12" s="496">
        <f t="shared" si="11"/>
        <v>0</v>
      </c>
      <c r="BD12" s="142"/>
      <c r="BE12" s="136"/>
      <c r="BF12" s="330"/>
      <c r="BG12" s="330"/>
      <c r="BH12" s="330"/>
      <c r="BI12" s="330"/>
      <c r="BJ12" s="330"/>
      <c r="BK12" s="330"/>
      <c r="BL12" s="330"/>
      <c r="BM12" s="421"/>
      <c r="BN12" s="421"/>
      <c r="BO12" s="330"/>
      <c r="BP12" s="330"/>
      <c r="BQ12" s="330"/>
      <c r="BR12" s="330"/>
      <c r="BS12" s="330"/>
      <c r="BT12" s="330"/>
      <c r="BU12" s="420"/>
      <c r="BV12" s="420"/>
      <c r="BW12" s="420"/>
      <c r="BX12" s="420"/>
      <c r="BY12" s="418"/>
      <c r="BZ12" s="418"/>
      <c r="CA12" s="330"/>
      <c r="CB12" s="418"/>
      <c r="CC12" s="341" t="s">
        <v>185</v>
      </c>
      <c r="CD12" s="222">
        <f>INDEX($BQ$22:$BQ$43,MATCH($CD$8,$BG$22:$BG$43,0))</f>
        <v>142</v>
      </c>
      <c r="CE12" s="330"/>
      <c r="CF12" s="136"/>
      <c r="CG12" s="330"/>
      <c r="CH12" s="330"/>
      <c r="CI12" s="330"/>
      <c r="CJ12" s="420"/>
      <c r="CK12" s="420"/>
      <c r="CL12" s="330"/>
      <c r="CM12" s="142"/>
      <c r="CN12" s="136"/>
      <c r="CO12" s="330"/>
      <c r="CP12" s="330"/>
      <c r="CQ12" s="330"/>
      <c r="CR12" s="330"/>
      <c r="CS12" s="142"/>
    </row>
    <row r="13" spans="2:112" ht="15.75" customHeight="1" thickBot="1">
      <c r="B13" s="136"/>
      <c r="C13" s="330"/>
      <c r="D13" s="823" t="s">
        <v>246</v>
      </c>
      <c r="E13" s="824"/>
      <c r="F13" s="639">
        <f>$AQ$19/($F$8*$F$6)</f>
        <v>1.2476928755998524E-2</v>
      </c>
      <c r="G13" s="656"/>
      <c r="H13" s="616"/>
      <c r="I13" s="747" t="s">
        <v>260</v>
      </c>
      <c r="J13" s="748"/>
      <c r="K13" s="749"/>
      <c r="L13" s="753">
        <v>-0.1</v>
      </c>
      <c r="M13" s="613"/>
      <c r="N13" s="330"/>
      <c r="O13" s="330"/>
      <c r="P13" s="330"/>
      <c r="Q13" s="330"/>
      <c r="R13" s="330"/>
      <c r="S13" s="330"/>
      <c r="T13" s="142"/>
      <c r="U13" s="136"/>
      <c r="V13" s="705" t="s">
        <v>1</v>
      </c>
      <c r="W13" s="706"/>
      <c r="X13" s="129" t="s">
        <v>119</v>
      </c>
      <c r="Y13" s="129" t="s">
        <v>120</v>
      </c>
      <c r="Z13" s="129" t="s">
        <v>125</v>
      </c>
      <c r="AA13" s="130" t="s">
        <v>121</v>
      </c>
      <c r="AB13" s="128" t="s">
        <v>124</v>
      </c>
      <c r="AC13" s="142"/>
      <c r="AD13" s="136"/>
      <c r="AE13" s="723" t="s">
        <v>1</v>
      </c>
      <c r="AF13" s="724"/>
      <c r="AG13" s="509" t="s">
        <v>104</v>
      </c>
      <c r="AH13" s="70" t="s">
        <v>105</v>
      </c>
      <c r="AI13" s="330"/>
      <c r="AJ13" s="228" t="s">
        <v>95</v>
      </c>
      <c r="AK13" s="9">
        <f>SUMIFS('Employee Leaves'!$G:$G,'Employee Leaves'!$F:$F,$AJ13,'Employee Leaves'!$E:$E,AK$6)</f>
        <v>0</v>
      </c>
      <c r="AL13" s="416">
        <f>SUMIFS('Employee Leaves'!$G:$G,'Employee Leaves'!$F:$F,$AJ13,'Employee Leaves'!$E:$E,AL$6)</f>
        <v>0</v>
      </c>
      <c r="AM13" s="58">
        <f>SUMIFS('Employee Leaves'!$G:$G,'Employee Leaves'!$F:$F,$AJ13,'Employee Leaves'!$E:$E,AM$6)</f>
        <v>0</v>
      </c>
      <c r="AN13" s="9">
        <f t="shared" si="9"/>
        <v>0</v>
      </c>
      <c r="AO13" s="58">
        <f>SUMIFS('Employee Leaves'!$G:$G,'Employee Leaves'!$F:$F,$AJ13,'Employee Leaves'!$E:$E,AO$6)</f>
        <v>0</v>
      </c>
      <c r="AP13" s="3">
        <f>SUMIFS('Employee Leaves'!$G:$G,'Employee Leaves'!$F:$F,$AJ13,'Employee Leaves'!$E:$E,AP$6)</f>
        <v>0</v>
      </c>
      <c r="AQ13" s="3">
        <f t="shared" si="7"/>
        <v>0</v>
      </c>
      <c r="AR13" s="9">
        <f t="shared" si="8"/>
        <v>0</v>
      </c>
      <c r="AS13" s="330"/>
      <c r="AT13" s="212">
        <v>4</v>
      </c>
      <c r="AU13" s="526">
        <f>INDEX(Employees!$A:$A,MATCH($AZ13,Employees!$J:$J,0))</f>
        <v>4064</v>
      </c>
      <c r="AV13" s="527">
        <f>INDEX(Employees!$H:$H,MATCH($AZ13,Employees!$J:$J,0))</f>
        <v>15</v>
      </c>
      <c r="AW13" s="524" t="str">
        <f>INDEX(Employees!$B:$B,MATCH($AZ13,Employees!$J:$J,0))</f>
        <v>Product &amp; Engineering</v>
      </c>
      <c r="AX13" s="525" t="str">
        <f>INDEX(Employees!$C:$C,MATCH($AZ13,Employees!$J:$J,0))</f>
        <v>Data Analytics</v>
      </c>
      <c r="AY13" s="527">
        <f>INDEX(Employees!$M:$M,MATCH($AZ13,Employees!$J:$J,0))</f>
        <v>0</v>
      </c>
      <c r="AZ13" s="416">
        <f>LARGE(Employees!$J:$J,AT13)</f>
        <v>15.246062992125985</v>
      </c>
      <c r="BA13" s="330"/>
      <c r="BB13" s="494">
        <f t="shared" si="10"/>
        <v>15</v>
      </c>
      <c r="BC13" s="496">
        <f t="shared" si="11"/>
        <v>0</v>
      </c>
      <c r="BD13" s="142"/>
      <c r="BE13" s="136"/>
      <c r="BF13" s="723" t="s">
        <v>1</v>
      </c>
      <c r="BG13" s="724"/>
      <c r="BH13" s="518" t="s">
        <v>119</v>
      </c>
      <c r="BI13" s="129" t="s">
        <v>120</v>
      </c>
      <c r="BJ13" s="253" t="s">
        <v>101</v>
      </c>
      <c r="BK13" s="253" t="s">
        <v>102</v>
      </c>
      <c r="BL13" s="253" t="s">
        <v>125</v>
      </c>
      <c r="BM13" s="129" t="s">
        <v>121</v>
      </c>
      <c r="BN13" s="264" t="s">
        <v>124</v>
      </c>
      <c r="BO13" s="400" t="s">
        <v>199</v>
      </c>
      <c r="BP13" s="400" t="s">
        <v>200</v>
      </c>
      <c r="BQ13" s="394" t="s">
        <v>201</v>
      </c>
      <c r="BR13" s="394" t="s">
        <v>192</v>
      </c>
      <c r="BS13" s="395" t="s">
        <v>191</v>
      </c>
      <c r="BT13" s="396" t="s">
        <v>193</v>
      </c>
      <c r="BU13" s="130" t="s">
        <v>206</v>
      </c>
      <c r="BV13" s="130" t="s">
        <v>254</v>
      </c>
      <c r="BW13" s="130" t="s">
        <v>255</v>
      </c>
      <c r="BX13" s="130" t="s">
        <v>204</v>
      </c>
      <c r="BY13" s="564" t="s">
        <v>202</v>
      </c>
      <c r="BZ13" s="262" t="s">
        <v>243</v>
      </c>
      <c r="CA13" s="330"/>
      <c r="CB13" s="418"/>
      <c r="CC13" s="335" t="s">
        <v>188</v>
      </c>
      <c r="CD13" s="39">
        <f>F6</f>
        <v>129</v>
      </c>
      <c r="CE13" s="330"/>
      <c r="CF13" s="136"/>
      <c r="CG13" s="795" t="s">
        <v>1</v>
      </c>
      <c r="CH13" s="796"/>
      <c r="CI13" s="60" t="s">
        <v>114</v>
      </c>
      <c r="CJ13" s="121" t="s">
        <v>112</v>
      </c>
      <c r="CK13" s="122" t="s">
        <v>113</v>
      </c>
      <c r="CL13" s="310" t="s">
        <v>111</v>
      </c>
      <c r="CM13" s="142"/>
      <c r="CN13" s="136"/>
      <c r="CO13" s="804" t="s">
        <v>1</v>
      </c>
      <c r="CP13" s="805"/>
      <c r="CQ13" s="171" t="s">
        <v>214</v>
      </c>
      <c r="CR13" s="5" t="s">
        <v>121</v>
      </c>
      <c r="CS13" s="142"/>
      <c r="CU13" s="432"/>
      <c r="DH13" s="7"/>
    </row>
    <row r="14" spans="2:112" ht="15.75" customHeight="1" thickBot="1">
      <c r="B14" s="136"/>
      <c r="C14" s="330"/>
      <c r="D14" s="330"/>
      <c r="E14" s="330"/>
      <c r="F14" s="330"/>
      <c r="G14" s="656"/>
      <c r="H14" s="616"/>
      <c r="I14" s="750"/>
      <c r="J14" s="751"/>
      <c r="K14" s="752"/>
      <c r="L14" s="754"/>
      <c r="M14" s="613"/>
      <c r="N14" s="330"/>
      <c r="O14" s="915" t="s">
        <v>228</v>
      </c>
      <c r="P14" s="916"/>
      <c r="Q14" s="916"/>
      <c r="R14" s="916"/>
      <c r="S14" s="917"/>
      <c r="T14" s="142"/>
      <c r="U14" s="136"/>
      <c r="V14" s="348"/>
      <c r="W14" s="354" t="s">
        <v>37</v>
      </c>
      <c r="X14" s="353">
        <f>CL14</f>
        <v>28</v>
      </c>
      <c r="Y14" s="8">
        <f>AH14</f>
        <v>126</v>
      </c>
      <c r="Z14" s="25">
        <f>X14/$X$19</f>
        <v>0.13333333333333333</v>
      </c>
      <c r="AA14" s="144">
        <f>$Y14/($X14*$F$6)</f>
        <v>3.4883720930232558E-2</v>
      </c>
      <c r="AB14" s="125">
        <f>Y14/X14</f>
        <v>4.5</v>
      </c>
      <c r="AC14" s="142"/>
      <c r="AD14" s="136"/>
      <c r="AE14" s="782" t="s">
        <v>37</v>
      </c>
      <c r="AF14" s="783"/>
      <c r="AG14" s="11">
        <f>COUNTIF('Employee Leaves'!$B:$B,AE14)</f>
        <v>18</v>
      </c>
      <c r="AH14" s="8">
        <f>SUMIFS('Employee Leaves'!$G:$G,'Employee Leaves'!$B:$B,AE14)</f>
        <v>126</v>
      </c>
      <c r="AI14" s="330"/>
      <c r="AJ14" s="228" t="s">
        <v>96</v>
      </c>
      <c r="AK14" s="9">
        <f>SUMIFS('Employee Leaves'!$G:$G,'Employee Leaves'!$F:$F,$AJ14,'Employee Leaves'!$E:$E,AK$6)</f>
        <v>0</v>
      </c>
      <c r="AL14" s="416">
        <f>SUMIFS('Employee Leaves'!$G:$G,'Employee Leaves'!$F:$F,$AJ14,'Employee Leaves'!$E:$E,AL$6)</f>
        <v>0</v>
      </c>
      <c r="AM14" s="58">
        <f>SUMIFS('Employee Leaves'!$G:$G,'Employee Leaves'!$F:$F,$AJ14,'Employee Leaves'!$E:$E,AM$6)</f>
        <v>0</v>
      </c>
      <c r="AN14" s="9">
        <f t="shared" si="9"/>
        <v>0</v>
      </c>
      <c r="AO14" s="58">
        <f>SUMIFS('Employee Leaves'!$G:$G,'Employee Leaves'!$F:$F,$AJ14,'Employee Leaves'!$E:$E,AO$6)</f>
        <v>0</v>
      </c>
      <c r="AP14" s="3">
        <f>SUMIFS('Employee Leaves'!$G:$G,'Employee Leaves'!$F:$F,$AJ14,'Employee Leaves'!$E:$E,AP$6)</f>
        <v>0</v>
      </c>
      <c r="AQ14" s="3">
        <f t="shared" si="7"/>
        <v>0</v>
      </c>
      <c r="AR14" s="9">
        <f t="shared" si="8"/>
        <v>0</v>
      </c>
      <c r="AS14" s="330"/>
      <c r="AT14" s="212">
        <v>5</v>
      </c>
      <c r="AU14" s="526">
        <f>INDEX(Employees!$A:$A,MATCH($AZ14,Employees!$J:$J,0))</f>
        <v>4036</v>
      </c>
      <c r="AV14" s="527">
        <f>INDEX(Employees!$H:$H,MATCH($AZ14,Employees!$J:$J,0))</f>
        <v>14</v>
      </c>
      <c r="AW14" s="524" t="str">
        <f>INDEX(Employees!$B:$B,MATCH($AZ14,Employees!$J:$J,0))</f>
        <v>Product &amp; Engineering</v>
      </c>
      <c r="AX14" s="525" t="str">
        <f>INDEX(Employees!$C:$C,MATCH($AZ14,Employees!$J:$J,0))</f>
        <v>Data Engineering</v>
      </c>
      <c r="AY14" s="527">
        <f>INDEX(Employees!$M:$M,MATCH($AZ14,Employees!$J:$J,0))</f>
        <v>0</v>
      </c>
      <c r="AZ14" s="416">
        <f>LARGE(Employees!$J:$J,AT14)</f>
        <v>14.247770069375619</v>
      </c>
      <c r="BA14" s="330"/>
      <c r="BB14" s="494">
        <f t="shared" si="10"/>
        <v>14</v>
      </c>
      <c r="BC14" s="496">
        <f t="shared" si="11"/>
        <v>0</v>
      </c>
      <c r="BD14" s="142"/>
      <c r="BE14" s="136"/>
      <c r="BF14" s="782" t="s">
        <v>37</v>
      </c>
      <c r="BG14" s="783"/>
      <c r="BH14" s="227">
        <f>CL14</f>
        <v>28</v>
      </c>
      <c r="BI14" s="11">
        <f>AH14:AH18</f>
        <v>126</v>
      </c>
      <c r="BJ14" s="11">
        <f>SUMIFS('Employee Leaves'!$G:$G,'Employee Leaves'!$B:$B,BF14,'Employee Leaves'!$E:$E,"Holiday")+SUMIFS('Employee Leaves'!$G:$G,'Employee Leaves'!$B:$B,BF14,'Employee Leaves'!$E:$E,"Paternity Leave")+SUMIFS('Employee Leaves'!$G:$G,'Employee Leaves'!$B:$B,BF14,'Employee Leaves'!$E:$E,"Maternity Leave")</f>
        <v>71</v>
      </c>
      <c r="BK14" s="8">
        <f>SUMIFS('Employee Leaves'!$G:$G,'Employee Leaves'!$B:$B,BF14,'Employee Leaves'!$E:$E,"Sick")+SUMIFS('Employee Leaves'!$G:$G,'Employee Leaves'!$B:$B,BF14,'Employee Leaves'!$E:$E,"Others")</f>
        <v>55</v>
      </c>
      <c r="BL14" s="131">
        <f>BH14/$BH$11</f>
        <v>0.13333333333333333</v>
      </c>
      <c r="BM14" s="144">
        <f>$Y14/($X14*$F$6)</f>
        <v>3.4883720930232558E-2</v>
      </c>
      <c r="BN14" s="247">
        <f>BI14/BH14</f>
        <v>4.5</v>
      </c>
      <c r="BO14" s="223">
        <f>SUMIF($BF$22:$BF$43,BF14,$BL$22:$BL$43)</f>
        <v>17.75</v>
      </c>
      <c r="BP14" s="223">
        <f>BO14*1.5</f>
        <v>26.625</v>
      </c>
      <c r="BQ14" s="220">
        <f>BO14*8</f>
        <v>142</v>
      </c>
      <c r="BR14" s="265">
        <f>SUMIFS(Employees!$T:$T,Employees!$B:$B,$BF14)</f>
        <v>497</v>
      </c>
      <c r="BS14" s="274">
        <f>SUMIFS(Employees!$V:$V,Employees!$B:$B,$BF14)</f>
        <v>745.5</v>
      </c>
      <c r="BT14" s="283">
        <f>BR14*8</f>
        <v>3976</v>
      </c>
      <c r="BU14" s="283">
        <f>BI14*BQ14</f>
        <v>17892</v>
      </c>
      <c r="BV14" s="220">
        <f>SUMIF($BF$22:$BF$43,BF14,$BV$22:$BV$43)</f>
        <v>3780.75</v>
      </c>
      <c r="BW14" s="585">
        <f>SUMIF($BF$22:$BF$43,BF14,$BW$22:$BW$43)</f>
        <v>11715</v>
      </c>
      <c r="BX14" s="585">
        <f>SUMIF($BF$22:$BF$43,BF14,$BX$22:$BX$43)</f>
        <v>15495.75</v>
      </c>
      <c r="BY14" s="561">
        <f>SUMIF($BF$22:$BF$43,BF14,$BY$22:$BY$43)</f>
        <v>33387.75</v>
      </c>
      <c r="BZ14" s="220">
        <f>BY14/BH14</f>
        <v>1192.4196428571429</v>
      </c>
      <c r="CA14" s="330"/>
      <c r="CB14" s="418"/>
      <c r="CC14" s="336" t="s">
        <v>203</v>
      </c>
      <c r="CD14" s="9">
        <f>INDEX($BI$22:$BI$43,MATCH($CD$8,$BG$22:$BG$43,0))</f>
        <v>58</v>
      </c>
      <c r="CE14" s="330"/>
      <c r="CF14" s="136"/>
      <c r="CG14" s="782" t="s">
        <v>37</v>
      </c>
      <c r="CH14" s="797"/>
      <c r="CI14" s="406">
        <f t="shared" ref="CI14:CI19" si="13">CL14-CK14-CJ14</f>
        <v>20</v>
      </c>
      <c r="CJ14" s="11">
        <f>COUNTIFS(Employees!$B:$B,$CG14,Employees!G:G,"Resignation (Voluntary)")</f>
        <v>4</v>
      </c>
      <c r="CK14" s="8">
        <f>COUNTIFS(Employees!$B:$B,$CG14,Employees!G:G,"Termination (Involuntary)")</f>
        <v>4</v>
      </c>
      <c r="CL14" s="45">
        <f>COUNTIF(Employees!$B:$B,$CG14)</f>
        <v>28</v>
      </c>
      <c r="CM14" s="142"/>
      <c r="CN14" s="136"/>
      <c r="CO14" s="319"/>
      <c r="CP14" s="320" t="s">
        <v>37</v>
      </c>
      <c r="CQ14" s="25">
        <f>(CJ14+CK14)/((CI14+CL14)/2)</f>
        <v>0.33333333333333331</v>
      </c>
      <c r="CR14" s="25">
        <f>$Y14/($X14*$F$6)</f>
        <v>3.4883720930232558E-2</v>
      </c>
      <c r="CS14" s="142"/>
      <c r="CU14" s="432"/>
    </row>
    <row r="15" spans="2:112" ht="15.75" customHeight="1">
      <c r="B15" s="136"/>
      <c r="C15" s="330"/>
      <c r="D15" s="672" t="s">
        <v>278</v>
      </c>
      <c r="E15" s="673"/>
      <c r="F15" s="583">
        <f>BU44</f>
        <v>257421.60000000003</v>
      </c>
      <c r="G15" s="656"/>
      <c r="H15" s="616"/>
      <c r="I15" s="755" t="s">
        <v>261</v>
      </c>
      <c r="J15" s="756"/>
      <c r="K15" s="757"/>
      <c r="L15" s="627">
        <f>'COA Estimator'!T25</f>
        <v>447387.66</v>
      </c>
      <c r="M15" s="613"/>
      <c r="N15" s="331"/>
      <c r="O15" s="901" t="s">
        <v>3</v>
      </c>
      <c r="P15" s="902"/>
      <c r="Q15" s="717" t="str">
        <f>INDEX($CP$6:$CP$10,MATCH(S15,$CQ$6:$CQ$10,0))</f>
        <v>Poland</v>
      </c>
      <c r="R15" s="718"/>
      <c r="S15" s="641">
        <f>LARGE($CQ$6:$CQ$10,1)</f>
        <v>0.2857142857142857</v>
      </c>
      <c r="T15" s="142"/>
      <c r="U15" s="136"/>
      <c r="V15" s="349"/>
      <c r="W15" s="355" t="s">
        <v>18</v>
      </c>
      <c r="X15" s="304">
        <f>CL15</f>
        <v>15</v>
      </c>
      <c r="Y15" s="9">
        <f>AH15</f>
        <v>76</v>
      </c>
      <c r="Z15" s="26">
        <f>X15/$X$19</f>
        <v>7.1428571428571425E-2</v>
      </c>
      <c r="AA15" s="145">
        <f>$Y15/($X15*$F$6)</f>
        <v>3.9276485788113692E-2</v>
      </c>
      <c r="AB15" s="126">
        <f>Y15/X15</f>
        <v>5.0666666666666664</v>
      </c>
      <c r="AC15" s="142"/>
      <c r="AD15" s="136"/>
      <c r="AE15" s="784" t="s">
        <v>18</v>
      </c>
      <c r="AF15" s="785"/>
      <c r="AG15" s="3">
        <f>COUNTIF('Employee Leaves'!$B:$B,AE15)</f>
        <v>10</v>
      </c>
      <c r="AH15" s="9">
        <f>SUMIFS('Employee Leaves'!$G:$G,'Employee Leaves'!$B:$B,AE15)</f>
        <v>76</v>
      </c>
      <c r="AI15" s="330"/>
      <c r="AJ15" s="228" t="s">
        <v>97</v>
      </c>
      <c r="AK15" s="9">
        <f>SUMIFS('Employee Leaves'!$G:$G,'Employee Leaves'!$F:$F,$AJ15,'Employee Leaves'!$E:$E,AK$6)</f>
        <v>0</v>
      </c>
      <c r="AL15" s="416">
        <f>SUMIFS('Employee Leaves'!$G:$G,'Employee Leaves'!$F:$F,$AJ15,'Employee Leaves'!$E:$E,AL$6)</f>
        <v>0</v>
      </c>
      <c r="AM15" s="58">
        <f>SUMIFS('Employee Leaves'!$G:$G,'Employee Leaves'!$F:$F,$AJ15,'Employee Leaves'!$E:$E,AM$6)</f>
        <v>0</v>
      </c>
      <c r="AN15" s="9">
        <f t="shared" si="9"/>
        <v>0</v>
      </c>
      <c r="AO15" s="58">
        <f>SUMIFS('Employee Leaves'!$G:$G,'Employee Leaves'!$F:$F,$AJ15,'Employee Leaves'!$E:$E,AO$6)</f>
        <v>0</v>
      </c>
      <c r="AP15" s="3">
        <f>SUMIFS('Employee Leaves'!$G:$G,'Employee Leaves'!$F:$F,$AJ15,'Employee Leaves'!$E:$E,AP$6)</f>
        <v>0</v>
      </c>
      <c r="AQ15" s="3">
        <f t="shared" si="7"/>
        <v>0</v>
      </c>
      <c r="AR15" s="9">
        <f t="shared" si="8"/>
        <v>0</v>
      </c>
      <c r="AS15" s="330"/>
      <c r="AT15" s="212">
        <v>6</v>
      </c>
      <c r="AU15" s="526">
        <f>INDEX(Employees!$A:$A,MATCH($AZ15,Employees!$J:$J,0))</f>
        <v>2011</v>
      </c>
      <c r="AV15" s="527">
        <f>INDEX(Employees!$H:$H,MATCH($AZ15,Employees!$J:$J,0))</f>
        <v>13</v>
      </c>
      <c r="AW15" s="524" t="str">
        <f>INDEX(Employees!$B:$B,MATCH($AZ15,Employees!$J:$J,0))</f>
        <v>Sales</v>
      </c>
      <c r="AX15" s="525" t="str">
        <f>INDEX(Employees!$C:$C,MATCH($AZ15,Employees!$J:$J,0))</f>
        <v>Sales</v>
      </c>
      <c r="AY15" s="527">
        <f>INDEX(Employees!$M:$M,MATCH($AZ15,Employees!$J:$J,0))</f>
        <v>0</v>
      </c>
      <c r="AZ15" s="416">
        <f>LARGE(Employees!$J:$J,AT15)</f>
        <v>13.497265042267529</v>
      </c>
      <c r="BA15" s="330"/>
      <c r="BB15" s="494">
        <f t="shared" si="10"/>
        <v>13</v>
      </c>
      <c r="BC15" s="496">
        <f t="shared" si="11"/>
        <v>0</v>
      </c>
      <c r="BD15" s="142"/>
      <c r="BE15" s="136"/>
      <c r="BF15" s="784" t="s">
        <v>18</v>
      </c>
      <c r="BG15" s="785"/>
      <c r="BH15" s="228">
        <f>CL15</f>
        <v>15</v>
      </c>
      <c r="BI15" s="3">
        <f>AH15:AH19</f>
        <v>76</v>
      </c>
      <c r="BJ15" s="3">
        <f>SUMIFS('Employee Leaves'!$G:$G,'Employee Leaves'!$B:$B,BF15,'Employee Leaves'!$E:$E,"Holiday")+SUMIFS('Employee Leaves'!$G:$G,'Employee Leaves'!$B:$B,BF15,'Employee Leaves'!$E:$E,"Paternity Leave")+SUMIFS('Employee Leaves'!$G:$G,'Employee Leaves'!$B:$B,BF15,'Employee Leaves'!$E:$E,"Maternity Leave")</f>
        <v>37</v>
      </c>
      <c r="BK15" s="9">
        <f>SUMIFS('Employee Leaves'!$G:$G,'Employee Leaves'!$B:$B,BF15,'Employee Leaves'!$E:$E,"Sick")+SUMIFS('Employee Leaves'!$G:$G,'Employee Leaves'!$B:$B,BF15,'Employee Leaves'!$E:$E,"Others")</f>
        <v>39</v>
      </c>
      <c r="BL15" s="132">
        <f t="shared" ref="BL15:BL18" si="14">BH15/$BH$11</f>
        <v>7.1428571428571425E-2</v>
      </c>
      <c r="BM15" s="145">
        <f>$Y15/($X15*$F$6)</f>
        <v>3.9276485788113692E-2</v>
      </c>
      <c r="BN15" s="248">
        <f>BI15/BH15</f>
        <v>5.0666666666666664</v>
      </c>
      <c r="BO15" s="224">
        <f>SUMIF($BF$22:$BF$43,BF15,$BL$22:$BL$43)</f>
        <v>30.729999999999997</v>
      </c>
      <c r="BP15" s="224">
        <f>BO15*1.5</f>
        <v>46.094999999999999</v>
      </c>
      <c r="BQ15" s="221">
        <f t="shared" ref="BQ15:BQ18" si="15">BO15*8</f>
        <v>245.83999999999997</v>
      </c>
      <c r="BR15" s="266">
        <f>SUMIFS(Employees!$T:$T,Employees!$B:$B,$BF15)</f>
        <v>460.9500000000001</v>
      </c>
      <c r="BS15" s="275">
        <f>SUMIFS(Employees!$V:$V,Employees!$B:$B,$BF15)</f>
        <v>691.42500000000018</v>
      </c>
      <c r="BT15" s="284">
        <f t="shared" ref="BT15:BT17" si="16">BR15*8</f>
        <v>3687.6000000000008</v>
      </c>
      <c r="BU15" s="224">
        <f>SUMIF($BF$22:$BF$43,$BF15,$BU$22:$BU$43)</f>
        <v>18683.84</v>
      </c>
      <c r="BV15" s="221">
        <f t="shared" ref="BV15:BV18" si="17">SUMIF($BF$22:$BF$43,BF15,$BV$22:$BV$43)</f>
        <v>3411.0299999999997</v>
      </c>
      <c r="BW15" s="586">
        <f t="shared" ref="BW15:BW18" si="18">SUMIF($BF$22:$BF$43,BF15,$BW$22:$BW$43)</f>
        <v>14381.64</v>
      </c>
      <c r="BX15" s="586">
        <f>SUMIF($BF$22:$BF$43,BF15,$BX$22:$BX$43)</f>
        <v>17792.669999999998</v>
      </c>
      <c r="BY15" s="562">
        <f>SUMIF($BF$22:$BF$43,BF15,$BY$22:$BY$43)</f>
        <v>36476.51</v>
      </c>
      <c r="BZ15" s="221">
        <f t="shared" ref="BZ15:BZ18" si="19">BY15/BH15</f>
        <v>2431.7673333333337</v>
      </c>
      <c r="CA15" s="330"/>
      <c r="CB15" s="418"/>
      <c r="CC15" s="336" t="s">
        <v>205</v>
      </c>
      <c r="CD15" s="9">
        <f>CD14*8</f>
        <v>464</v>
      </c>
      <c r="CE15" s="330"/>
      <c r="CF15" s="136"/>
      <c r="CG15" s="784" t="s">
        <v>18</v>
      </c>
      <c r="CH15" s="798"/>
      <c r="CI15" s="407">
        <f t="shared" si="13"/>
        <v>14</v>
      </c>
      <c r="CJ15" s="3">
        <f>COUNTIFS(Employees!$B:$B,$CG15,Employees!G:G,"Resignation (Voluntary)")</f>
        <v>1</v>
      </c>
      <c r="CK15" s="9">
        <f>COUNTIFS(Employees!$B:$B,$CG15,Employees!G:G,"Termination (Involuntary)")</f>
        <v>0</v>
      </c>
      <c r="CL15" s="46">
        <f>COUNTIF(Employees!$B:$B,$CG15)</f>
        <v>15</v>
      </c>
      <c r="CM15" s="142"/>
      <c r="CN15" s="136"/>
      <c r="CO15" s="321"/>
      <c r="CP15" s="322" t="s">
        <v>18</v>
      </c>
      <c r="CQ15" s="26">
        <f t="shared" ref="CQ15:CQ18" si="20">(CJ15+CK15)/((CI15+CL15)/2)</f>
        <v>6.8965517241379309E-2</v>
      </c>
      <c r="CR15" s="26">
        <f>$Y15/($X15*$F$6)</f>
        <v>3.9276485788113692E-2</v>
      </c>
      <c r="CS15" s="142"/>
      <c r="CU15" s="432"/>
    </row>
    <row r="16" spans="2:112" ht="15.75" customHeight="1" thickBot="1">
      <c r="B16" s="136"/>
      <c r="C16" s="330"/>
      <c r="D16" s="686" t="s">
        <v>252</v>
      </c>
      <c r="E16" s="687"/>
      <c r="F16" s="584">
        <f>$BV$44</f>
        <v>63021.24</v>
      </c>
      <c r="G16" s="656"/>
      <c r="H16" s="616"/>
      <c r="I16" s="758" t="s">
        <v>262</v>
      </c>
      <c r="J16" s="759"/>
      <c r="K16" s="760"/>
      <c r="L16" s="628">
        <f>'COA Estimator'!Q25</f>
        <v>69323.364000000001</v>
      </c>
      <c r="M16" s="613"/>
      <c r="N16" s="331"/>
      <c r="O16" s="817" t="s">
        <v>1</v>
      </c>
      <c r="P16" s="818"/>
      <c r="Q16" s="719" t="str">
        <f>INDEX($CP$14:$CP$18,MATCH(S16,$CQ$14:$CQ$18,0))</f>
        <v>Customer Experience</v>
      </c>
      <c r="R16" s="720"/>
      <c r="S16" s="642">
        <f>LARGE($CQ$14:$CQ$18,1)</f>
        <v>0.33333333333333331</v>
      </c>
      <c r="T16" s="142"/>
      <c r="U16" s="136"/>
      <c r="V16" s="350"/>
      <c r="W16" s="356" t="s">
        <v>7</v>
      </c>
      <c r="X16" s="304">
        <f>CL16</f>
        <v>24</v>
      </c>
      <c r="Y16" s="9">
        <f>AH16</f>
        <v>71</v>
      </c>
      <c r="Z16" s="26">
        <f>X16/$X$19</f>
        <v>0.11428571428571428</v>
      </c>
      <c r="AA16" s="145">
        <f>$Y16/($X16*$F$6)</f>
        <v>2.2932816537467701E-2</v>
      </c>
      <c r="AB16" s="126">
        <f>Y16/X16</f>
        <v>2.9583333333333335</v>
      </c>
      <c r="AC16" s="142"/>
      <c r="AD16" s="136"/>
      <c r="AE16" s="699" t="s">
        <v>7</v>
      </c>
      <c r="AF16" s="700"/>
      <c r="AG16" s="3">
        <f>COUNTIF('Employee Leaves'!$B:$B,AE16)</f>
        <v>14</v>
      </c>
      <c r="AH16" s="9">
        <f>SUMIFS('Employee Leaves'!$G:$G,'Employee Leaves'!$B:$B,AE16)</f>
        <v>71</v>
      </c>
      <c r="AI16" s="330"/>
      <c r="AJ16" s="228" t="s">
        <v>98</v>
      </c>
      <c r="AK16" s="9">
        <f>SUMIFS('Employee Leaves'!$G:$G,'Employee Leaves'!$F:$F,$AJ16,'Employee Leaves'!$E:$E,AK$6)</f>
        <v>0</v>
      </c>
      <c r="AL16" s="416">
        <f>SUMIFS('Employee Leaves'!$G:$G,'Employee Leaves'!$F:$F,$AJ16,'Employee Leaves'!$E:$E,AL$6)</f>
        <v>0</v>
      </c>
      <c r="AM16" s="58">
        <f>SUMIFS('Employee Leaves'!$G:$G,'Employee Leaves'!$F:$F,$AJ16,'Employee Leaves'!$E:$E,AM$6)</f>
        <v>0</v>
      </c>
      <c r="AN16" s="9">
        <f t="shared" si="9"/>
        <v>0</v>
      </c>
      <c r="AO16" s="58">
        <f>SUMIFS('Employee Leaves'!$G:$G,'Employee Leaves'!$F:$F,$AJ16,'Employee Leaves'!$E:$E,AO$6)</f>
        <v>0</v>
      </c>
      <c r="AP16" s="3">
        <f>SUMIFS('Employee Leaves'!$G:$G,'Employee Leaves'!$F:$F,$AJ16,'Employee Leaves'!$E:$E,AP$6)</f>
        <v>0</v>
      </c>
      <c r="AQ16" s="3">
        <f t="shared" si="7"/>
        <v>0</v>
      </c>
      <c r="AR16" s="9">
        <f t="shared" si="8"/>
        <v>0</v>
      </c>
      <c r="AS16" s="330"/>
      <c r="AT16" s="212">
        <v>7</v>
      </c>
      <c r="AU16" s="526">
        <f>INDEX(Employees!$A:$A,MATCH($AZ16,Employees!$J:$J,0))</f>
        <v>4005</v>
      </c>
      <c r="AV16" s="527">
        <f>INDEX(Employees!$H:$H,MATCH($AZ16,Employees!$J:$J,0))</f>
        <v>13</v>
      </c>
      <c r="AW16" s="524" t="str">
        <f>INDEX(Employees!$B:$B,MATCH($AZ16,Employees!$J:$J,0))</f>
        <v>Product &amp; Engineering</v>
      </c>
      <c r="AX16" s="525" t="str">
        <f>INDEX(Employees!$C:$C,MATCH($AZ16,Employees!$J:$J,0))</f>
        <v>Data Engineering</v>
      </c>
      <c r="AY16" s="527">
        <f>INDEX(Employees!$M:$M,MATCH($AZ16,Employees!$J:$J,0))</f>
        <v>0</v>
      </c>
      <c r="AZ16" s="416">
        <f>LARGE(Employees!$J:$J,AT16)</f>
        <v>13.249687890137329</v>
      </c>
      <c r="BA16" s="330"/>
      <c r="BB16" s="494">
        <f t="shared" si="10"/>
        <v>13</v>
      </c>
      <c r="BC16" s="496">
        <f t="shared" si="11"/>
        <v>0</v>
      </c>
      <c r="BD16" s="142"/>
      <c r="BE16" s="136"/>
      <c r="BF16" s="699" t="s">
        <v>7</v>
      </c>
      <c r="BG16" s="700"/>
      <c r="BH16" s="228">
        <f>CL16</f>
        <v>24</v>
      </c>
      <c r="BI16" s="3">
        <f>AH16:AH20</f>
        <v>71</v>
      </c>
      <c r="BJ16" s="3">
        <f>SUMIFS('Employee Leaves'!$G:$G,'Employee Leaves'!$B:$B,BF16,'Employee Leaves'!$E:$E,"Holiday")+SUMIFS('Employee Leaves'!$G:$G,'Employee Leaves'!$B:$B,BF16,'Employee Leaves'!$E:$E,"Paternity Leave")+SUMIFS('Employee Leaves'!$G:$G,'Employee Leaves'!$B:$B,BF16,'Employee Leaves'!$E:$E,"Maternity Leave")</f>
        <v>25</v>
      </c>
      <c r="BK16" s="9">
        <f>SUMIFS('Employee Leaves'!$G:$G,'Employee Leaves'!$B:$B,BF16,'Employee Leaves'!$E:$E,"Sick")+SUMIFS('Employee Leaves'!$G:$G,'Employee Leaves'!$B:$B,BF16,'Employee Leaves'!$E:$E,"Others")</f>
        <v>46</v>
      </c>
      <c r="BL16" s="132">
        <f t="shared" si="14"/>
        <v>0.11428571428571428</v>
      </c>
      <c r="BM16" s="145">
        <f>$Y16/($X16*$F$6)</f>
        <v>2.2932816537467701E-2</v>
      </c>
      <c r="BN16" s="248">
        <f>BI16/BH16</f>
        <v>2.9583333333333335</v>
      </c>
      <c r="BO16" s="224">
        <f>SUMIF($BF$22:$BF$43,BF16,$BL$22:$BL$43)</f>
        <v>35.341666666666661</v>
      </c>
      <c r="BP16" s="224">
        <f t="shared" ref="BP16:BP17" si="21">BO16*1.5</f>
        <v>53.012499999999989</v>
      </c>
      <c r="BQ16" s="221">
        <f t="shared" si="15"/>
        <v>282.73333333333329</v>
      </c>
      <c r="BR16" s="266">
        <f>SUMIFS(Employees!$T:$T,Employees!$B:$B,$BF16)</f>
        <v>848.20000000000016</v>
      </c>
      <c r="BS16" s="275">
        <f>SUMIFS(Employees!$V:$V,Employees!$B:$B,$BF16)</f>
        <v>1272.2999999999997</v>
      </c>
      <c r="BT16" s="284">
        <f t="shared" si="16"/>
        <v>6785.6000000000013</v>
      </c>
      <c r="BU16" s="224">
        <f>SUMIF($BF$22:$BF$43,$BF16,$BU$22:$BU$43)</f>
        <v>19644.8</v>
      </c>
      <c r="BV16" s="221">
        <f t="shared" si="17"/>
        <v>2725.2</v>
      </c>
      <c r="BW16" s="586">
        <f t="shared" si="18"/>
        <v>18566.400000000001</v>
      </c>
      <c r="BX16" s="586">
        <f>SUMIF($BF$22:$BF$43,BF16,$BX$22:$BX$43)</f>
        <v>21291.599999999999</v>
      </c>
      <c r="BY16" s="562">
        <f>SUMIF($BF$22:$BF$43,BF16,$BY$22:$BY$43)</f>
        <v>40936.400000000001</v>
      </c>
      <c r="BZ16" s="221">
        <f t="shared" si="19"/>
        <v>1705.6833333333334</v>
      </c>
      <c r="CA16" s="330"/>
      <c r="CB16" s="418"/>
      <c r="CC16" s="337" t="s">
        <v>121</v>
      </c>
      <c r="CD16" s="27">
        <f>INDEX($BM$22:$BM$43,MATCH($CD$8,$BG$22:$BG$43,0))</f>
        <v>4.9956933677863913E-2</v>
      </c>
      <c r="CE16" s="330"/>
      <c r="CF16" s="136"/>
      <c r="CG16" s="699" t="s">
        <v>7</v>
      </c>
      <c r="CH16" s="800"/>
      <c r="CI16" s="407">
        <f t="shared" si="13"/>
        <v>21</v>
      </c>
      <c r="CJ16" s="3">
        <f>COUNTIFS(Employees!$B:$B,$CG16,Employees!G:G,"Resignation (Voluntary)")</f>
        <v>2</v>
      </c>
      <c r="CK16" s="9">
        <f>COUNTIFS(Employees!$B:$B,$CG16,Employees!G:G,"Termination (Involuntary)")</f>
        <v>1</v>
      </c>
      <c r="CL16" s="46">
        <f>COUNTIF(Employees!$B:$B,$CG16)</f>
        <v>24</v>
      </c>
      <c r="CM16" s="142"/>
      <c r="CN16" s="136"/>
      <c r="CO16" s="315"/>
      <c r="CP16" s="316" t="s">
        <v>7</v>
      </c>
      <c r="CQ16" s="26">
        <f t="shared" si="20"/>
        <v>0.13333333333333333</v>
      </c>
      <c r="CR16" s="26">
        <f>$Y16/($X16*$F$6)</f>
        <v>2.2932816537467701E-2</v>
      </c>
      <c r="CS16" s="142"/>
      <c r="CU16" s="432"/>
    </row>
    <row r="17" spans="2:105" ht="15.75" customHeight="1" thickBot="1">
      <c r="B17" s="136"/>
      <c r="C17" s="330"/>
      <c r="D17" s="686" t="s">
        <v>253</v>
      </c>
      <c r="E17" s="687"/>
      <c r="F17" s="584">
        <f>$BW$44</f>
        <v>134047.43999999997</v>
      </c>
      <c r="G17" s="330"/>
      <c r="H17" s="616"/>
      <c r="I17" s="758" t="s">
        <v>263</v>
      </c>
      <c r="J17" s="759"/>
      <c r="K17" s="760"/>
      <c r="L17" s="628">
        <f>'COA Estimator'!R25</f>
        <v>120642.696</v>
      </c>
      <c r="M17" s="613"/>
      <c r="N17" s="331"/>
      <c r="O17" s="819" t="s">
        <v>2</v>
      </c>
      <c r="P17" s="820"/>
      <c r="Q17" s="895" t="str">
        <f>INDEX($CP$22:$CP$43,MATCH(S17,$CQ$22:$CQ$43,0))</f>
        <v>Support</v>
      </c>
      <c r="R17" s="896"/>
      <c r="S17" s="643">
        <f>LARGE($CQ$22:$CQ$43,1)</f>
        <v>0.45161290322580644</v>
      </c>
      <c r="T17" s="142"/>
      <c r="U17" s="136"/>
      <c r="V17" s="351"/>
      <c r="W17" s="357" t="s">
        <v>22</v>
      </c>
      <c r="X17" s="304">
        <f>CL17</f>
        <v>121</v>
      </c>
      <c r="Y17" s="9">
        <f>AH17</f>
        <v>519</v>
      </c>
      <c r="Z17" s="26">
        <f>X17/$X$19</f>
        <v>0.57619047619047614</v>
      </c>
      <c r="AA17" s="145">
        <f>$Y17/($X17*$F$6)</f>
        <v>3.3250048049202383E-2</v>
      </c>
      <c r="AB17" s="126">
        <f>Y17/X17</f>
        <v>4.2892561983471076</v>
      </c>
      <c r="AC17" s="142"/>
      <c r="AD17" s="136"/>
      <c r="AE17" s="780" t="s">
        <v>22</v>
      </c>
      <c r="AF17" s="781"/>
      <c r="AG17" s="3">
        <f>COUNTIF('Employee Leaves'!$B:$B,AE17)</f>
        <v>82</v>
      </c>
      <c r="AH17" s="9">
        <f>SUMIFS('Employee Leaves'!$G:$G,'Employee Leaves'!$B:$B,AE17)</f>
        <v>519</v>
      </c>
      <c r="AI17" s="330"/>
      <c r="AJ17" s="228" t="s">
        <v>99</v>
      </c>
      <c r="AK17" s="9">
        <f>SUMIFS('Employee Leaves'!$G:$G,'Employee Leaves'!$F:$F,$AJ17,'Employee Leaves'!$E:$E,AK$6)</f>
        <v>0</v>
      </c>
      <c r="AL17" s="416">
        <f>SUMIFS('Employee Leaves'!$G:$G,'Employee Leaves'!$F:$F,$AJ17,'Employee Leaves'!$E:$E,AL$6)</f>
        <v>0</v>
      </c>
      <c r="AM17" s="58">
        <f>SUMIFS('Employee Leaves'!$G:$G,'Employee Leaves'!$F:$F,$AJ17,'Employee Leaves'!$E:$E,AM$6)</f>
        <v>0</v>
      </c>
      <c r="AN17" s="9">
        <f t="shared" si="9"/>
        <v>0</v>
      </c>
      <c r="AO17" s="58">
        <f>SUMIFS('Employee Leaves'!$G:$G,'Employee Leaves'!$F:$F,$AJ17,'Employee Leaves'!$E:$E,AO$6)</f>
        <v>0</v>
      </c>
      <c r="AP17" s="3">
        <f>SUMIFS('Employee Leaves'!$G:$G,'Employee Leaves'!$F:$F,$AJ17,'Employee Leaves'!$E:$E,AP$6)</f>
        <v>0</v>
      </c>
      <c r="AQ17" s="3">
        <f t="shared" si="7"/>
        <v>0</v>
      </c>
      <c r="AR17" s="9">
        <f t="shared" si="8"/>
        <v>0</v>
      </c>
      <c r="AS17" s="330"/>
      <c r="AT17" s="212">
        <v>8</v>
      </c>
      <c r="AU17" s="526">
        <f>INDEX(Employees!$A:$A,MATCH($AZ17,Employees!$J:$J,0))</f>
        <v>4106</v>
      </c>
      <c r="AV17" s="527">
        <f>INDEX(Employees!$H:$H,MATCH($AZ17,Employees!$J:$J,0))</f>
        <v>12</v>
      </c>
      <c r="AW17" s="524" t="str">
        <f>INDEX(Employees!$B:$B,MATCH($AZ17,Employees!$J:$J,0))</f>
        <v>Product &amp; Engineering</v>
      </c>
      <c r="AX17" s="525" t="str">
        <f>INDEX(Employees!$C:$C,MATCH($AZ17,Employees!$J:$J,0))</f>
        <v>Data Engineering</v>
      </c>
      <c r="AY17" s="527">
        <f>INDEX(Employees!$M:$M,MATCH($AZ17,Employees!$J:$J,0))</f>
        <v>0</v>
      </c>
      <c r="AZ17" s="416">
        <f>LARGE(Employees!$J:$J,AT17)</f>
        <v>12.243546030199708</v>
      </c>
      <c r="BA17" s="330"/>
      <c r="BB17" s="494">
        <f t="shared" si="10"/>
        <v>12</v>
      </c>
      <c r="BC17" s="496">
        <f t="shared" si="11"/>
        <v>0</v>
      </c>
      <c r="BD17" s="142"/>
      <c r="BE17" s="136"/>
      <c r="BF17" s="780" t="s">
        <v>22</v>
      </c>
      <c r="BG17" s="781"/>
      <c r="BH17" s="228">
        <f>CL17</f>
        <v>121</v>
      </c>
      <c r="BI17" s="3">
        <f>AH17:AH21</f>
        <v>519</v>
      </c>
      <c r="BJ17" s="3">
        <f>SUMIFS('Employee Leaves'!$G:$G,'Employee Leaves'!$B:$B,BF17,'Employee Leaves'!$E:$E,"Holiday")+SUMIFS('Employee Leaves'!$G:$G,'Employee Leaves'!$B:$B,BF17,'Employee Leaves'!$E:$E,"Paternity Leave")+SUMIFS('Employee Leaves'!$G:$G,'Employee Leaves'!$B:$B,BF17,'Employee Leaves'!$E:$E,"Maternity Leave")</f>
        <v>360</v>
      </c>
      <c r="BK17" s="9">
        <f>SUMIFS('Employee Leaves'!$G:$G,'Employee Leaves'!$B:$B,BF17,'Employee Leaves'!$E:$E,"Sick")+SUMIFS('Employee Leaves'!$G:$G,'Employee Leaves'!$B:$B,BF17,'Employee Leaves'!$E:$E,"Others")</f>
        <v>159</v>
      </c>
      <c r="BL17" s="132">
        <f t="shared" si="14"/>
        <v>0.57619047619047614</v>
      </c>
      <c r="BM17" s="145">
        <f>$Y17/($X17*$F$6)</f>
        <v>3.3250048049202383E-2</v>
      </c>
      <c r="BN17" s="248">
        <f>BI17/BH17</f>
        <v>4.2892561983471076</v>
      </c>
      <c r="BO17" s="224">
        <f>SUMIF($BF$22:$BF$43,BF17,$BL$22:$BL$43)</f>
        <v>43.815867768595034</v>
      </c>
      <c r="BP17" s="224">
        <f t="shared" si="21"/>
        <v>65.723801652892547</v>
      </c>
      <c r="BQ17" s="221">
        <f t="shared" si="15"/>
        <v>350.52694214876027</v>
      </c>
      <c r="BR17" s="266">
        <f>SUMIFS(Employees!$T:$T,Employees!$B:$B,$BF17)</f>
        <v>5301.7200000000103</v>
      </c>
      <c r="BS17" s="275">
        <f>SUMIFS(Employees!$V:$V,Employees!$B:$B,$BF17)</f>
        <v>7952.579999999989</v>
      </c>
      <c r="BT17" s="284">
        <f t="shared" si="16"/>
        <v>42413.760000000082</v>
      </c>
      <c r="BU17" s="224">
        <f>SUMIF($BF$22:$BF$43,$BF17,$BU$22:$BU$43)</f>
        <v>182089.28000000003</v>
      </c>
      <c r="BV17" s="221">
        <f t="shared" si="17"/>
        <v>47601.120000000003</v>
      </c>
      <c r="BW17" s="586">
        <f t="shared" si="18"/>
        <v>82729.439999999988</v>
      </c>
      <c r="BX17" s="586">
        <f>SUMIF($BF$22:$BF$43,BF17,$BX$22:$BX$43)</f>
        <v>130330.56000000001</v>
      </c>
      <c r="BY17" s="562">
        <f>SUMIF($BF$22:$BF$43,BF17,$BY$22:$BY$43)</f>
        <v>312419.83999999997</v>
      </c>
      <c r="BZ17" s="221">
        <f t="shared" si="19"/>
        <v>2581.9821487603303</v>
      </c>
      <c r="CA17" s="330"/>
      <c r="CB17" s="418"/>
      <c r="CC17" s="257" t="s">
        <v>207</v>
      </c>
      <c r="CD17" s="338">
        <f>INDEX($BU$22:$BU$43,MATCH($CD$8,$BG$22:$BG$43,0))</f>
        <v>8236</v>
      </c>
      <c r="CE17" s="330"/>
      <c r="CF17" s="136"/>
      <c r="CG17" s="780" t="s">
        <v>22</v>
      </c>
      <c r="CH17" s="790"/>
      <c r="CI17" s="407">
        <f t="shared" si="13"/>
        <v>109</v>
      </c>
      <c r="CJ17" s="3">
        <f>COUNTIFS(Employees!$B:$B,$CG17,Employees!G:G,"Resignation (Voluntary)")</f>
        <v>8</v>
      </c>
      <c r="CK17" s="9">
        <f>COUNTIFS(Employees!$B:$B,$CG17,Employees!G:G,"Termination (Involuntary)")</f>
        <v>4</v>
      </c>
      <c r="CL17" s="46">
        <f>COUNTIF(Employees!$B:$B,$CG17)</f>
        <v>121</v>
      </c>
      <c r="CM17" s="142"/>
      <c r="CN17" s="136"/>
      <c r="CO17" s="313"/>
      <c r="CP17" s="317" t="s">
        <v>22</v>
      </c>
      <c r="CQ17" s="26">
        <f t="shared" si="20"/>
        <v>0.10434782608695652</v>
      </c>
      <c r="CR17" s="26">
        <f>$Y17/($X17*$F$6)</f>
        <v>3.3250048049202383E-2</v>
      </c>
      <c r="CS17" s="142"/>
      <c r="CU17" s="432"/>
    </row>
    <row r="18" spans="2:105" ht="15.75" customHeight="1" thickBot="1">
      <c r="B18" s="136"/>
      <c r="C18" s="330"/>
      <c r="D18" s="684" t="s">
        <v>250</v>
      </c>
      <c r="E18" s="685"/>
      <c r="F18" s="662">
        <f>BY44</f>
        <v>454490.28</v>
      </c>
      <c r="G18" s="656"/>
      <c r="H18" s="616"/>
      <c r="I18" s="881" t="s">
        <v>268</v>
      </c>
      <c r="J18" s="882"/>
      <c r="K18" s="883"/>
      <c r="L18" s="629">
        <f>'COA Estimator'!U25</f>
        <v>2282.1469673814358</v>
      </c>
      <c r="M18" s="613"/>
      <c r="N18" s="330"/>
      <c r="O18" s="330"/>
      <c r="P18" s="330"/>
      <c r="Q18" s="330"/>
      <c r="R18" s="330"/>
      <c r="S18" s="330"/>
      <c r="T18" s="142"/>
      <c r="U18" s="136"/>
      <c r="V18" s="352"/>
      <c r="W18" s="358" t="s">
        <v>15</v>
      </c>
      <c r="X18" s="305">
        <f>CL18</f>
        <v>22</v>
      </c>
      <c r="Y18" s="10">
        <f>AH18</f>
        <v>168</v>
      </c>
      <c r="Z18" s="27">
        <f>X18/$X$19</f>
        <v>0.10476190476190476</v>
      </c>
      <c r="AA18" s="146">
        <f>$Y18/($X18*$F$6)</f>
        <v>5.9196617336152217E-2</v>
      </c>
      <c r="AB18" s="127">
        <f>Y18/X18</f>
        <v>7.6363636363636367</v>
      </c>
      <c r="AC18" s="142"/>
      <c r="AD18" s="136"/>
      <c r="AE18" s="701" t="s">
        <v>15</v>
      </c>
      <c r="AF18" s="702"/>
      <c r="AG18" s="4">
        <f>COUNTIF('Employee Leaves'!$B:$B,AE18)</f>
        <v>19</v>
      </c>
      <c r="AH18" s="10">
        <f>SUMIFS('Employee Leaves'!$G:$G,'Employee Leaves'!$B:$B,AE18)</f>
        <v>168</v>
      </c>
      <c r="AI18" s="330"/>
      <c r="AJ18" s="547" t="s">
        <v>100</v>
      </c>
      <c r="AK18" s="10">
        <f>SUMIFS('Employee Leaves'!$G:$G,'Employee Leaves'!$F:$F,$AJ18,'Employee Leaves'!$E:$E,AK$6)</f>
        <v>0</v>
      </c>
      <c r="AL18" s="417">
        <f>SUMIFS('Employee Leaves'!$G:$G,'Employee Leaves'!$F:$F,$AJ18,'Employee Leaves'!$E:$E,AL$6)</f>
        <v>0</v>
      </c>
      <c r="AM18" s="550">
        <f>SUMIFS('Employee Leaves'!$G:$G,'Employee Leaves'!$F:$F,$AJ18,'Employee Leaves'!$E:$E,AM$6)</f>
        <v>0</v>
      </c>
      <c r="AN18" s="10">
        <f t="shared" si="9"/>
        <v>0</v>
      </c>
      <c r="AO18" s="550">
        <f>SUMIFS('Employee Leaves'!$G:$G,'Employee Leaves'!$F:$F,$AJ18,'Employee Leaves'!$E:$E,AO$6)</f>
        <v>0</v>
      </c>
      <c r="AP18" s="4">
        <f>SUMIFS('Employee Leaves'!$G:$G,'Employee Leaves'!$F:$F,$AJ18,'Employee Leaves'!$E:$E,AP$6)</f>
        <v>0</v>
      </c>
      <c r="AQ18" s="4">
        <f t="shared" si="7"/>
        <v>0</v>
      </c>
      <c r="AR18" s="10">
        <f t="shared" si="8"/>
        <v>0</v>
      </c>
      <c r="AS18" s="330"/>
      <c r="AT18" s="212">
        <v>9</v>
      </c>
      <c r="AU18" s="526">
        <f>INDEX(Employees!$A:$A,MATCH($AZ18,Employees!$J:$J,0))</f>
        <v>1012</v>
      </c>
      <c r="AV18" s="527">
        <f>INDEX(Employees!$H:$H,MATCH($AZ18,Employees!$J:$J,0))</f>
        <v>10</v>
      </c>
      <c r="AW18" s="524" t="str">
        <f>INDEX(Employees!$B:$B,MATCH($AZ18,Employees!$J:$J,0))</f>
        <v>Operations</v>
      </c>
      <c r="AX18" s="525" t="str">
        <f>INDEX(Employees!$C:$C,MATCH($AZ18,Employees!$J:$J,0))</f>
        <v>Biz Ops</v>
      </c>
      <c r="AY18" s="527">
        <f>INDEX(Employees!$M:$M,MATCH($AZ18,Employees!$J:$J,0))</f>
        <v>0</v>
      </c>
      <c r="AZ18" s="416">
        <f>LARGE(Employees!$J:$J,AT18)</f>
        <v>10.988142292490119</v>
      </c>
      <c r="BA18" s="330"/>
      <c r="BB18" s="494">
        <f t="shared" si="10"/>
        <v>10</v>
      </c>
      <c r="BC18" s="496">
        <f t="shared" si="11"/>
        <v>0</v>
      </c>
      <c r="BD18" s="142"/>
      <c r="BE18" s="136"/>
      <c r="BF18" s="701" t="s">
        <v>15</v>
      </c>
      <c r="BG18" s="702"/>
      <c r="BH18" s="229">
        <f>CL18</f>
        <v>22</v>
      </c>
      <c r="BI18" s="4">
        <f>AH18:AH22</f>
        <v>168</v>
      </c>
      <c r="BJ18" s="4">
        <f>SUMIFS('Employee Leaves'!$G:$G,'Employee Leaves'!$B:$B,BF18,'Employee Leaves'!$E:$E,"Holiday")+SUMIFS('Employee Leaves'!$G:$G,'Employee Leaves'!$B:$B,BF18,'Employee Leaves'!$E:$E,"Paternity Leave")+SUMIFS('Employee Leaves'!$G:$G,'Employee Leaves'!$B:$B,BF18,'Employee Leaves'!$E:$E,"Maternity Leave")</f>
        <v>129</v>
      </c>
      <c r="BK18" s="10">
        <f>SUMIFS('Employee Leaves'!$G:$G,'Employee Leaves'!$B:$B,BF18,'Employee Leaves'!$E:$E,"Sick")+SUMIFS('Employee Leaves'!$G:$G,'Employee Leaves'!$B:$B,BF18,'Employee Leaves'!$E:$E,"Others")</f>
        <v>39</v>
      </c>
      <c r="BL18" s="133">
        <f t="shared" si="14"/>
        <v>0.10476190476190476</v>
      </c>
      <c r="BM18" s="146">
        <f>$Y18/($X18*$F$6)</f>
        <v>5.9196617336152217E-2</v>
      </c>
      <c r="BN18" s="249">
        <f>BI18/BH18</f>
        <v>7.6363636363636367</v>
      </c>
      <c r="BO18" s="389">
        <f>SUMIF($BF$22:$BF$43,BF18,$BL$22:$BL$43)</f>
        <v>14.22</v>
      </c>
      <c r="BP18" s="389">
        <f>BO18*1.5</f>
        <v>21.330000000000002</v>
      </c>
      <c r="BQ18" s="390">
        <f t="shared" si="15"/>
        <v>113.76</v>
      </c>
      <c r="BR18" s="267">
        <f>SUMIFS(Employees!$T:$T,Employees!$B:$B,$BF18)</f>
        <v>312.84000000000009</v>
      </c>
      <c r="BS18" s="276">
        <f>SUMIFS(Employees!$V:$V,Employees!$B:$B,$BF18)</f>
        <v>469.25999999999993</v>
      </c>
      <c r="BT18" s="285">
        <f>BR18*8</f>
        <v>2502.7200000000007</v>
      </c>
      <c r="BU18" s="225">
        <f>SUMIF($BF$22:$BF$43,$BF18,$BU$22:$BU$43)</f>
        <v>19111.68</v>
      </c>
      <c r="BV18" s="222">
        <f t="shared" si="17"/>
        <v>5503.14</v>
      </c>
      <c r="BW18" s="587">
        <f t="shared" si="18"/>
        <v>6654.9600000000009</v>
      </c>
      <c r="BX18" s="587">
        <f>SUMIF($BF$22:$BF$43,BF18,$BX$22:$BX$43)</f>
        <v>12158.100000000002</v>
      </c>
      <c r="BY18" s="563">
        <f>SUMIF($BF$22:$BF$43,BF18,$BY$22:$BY$43)</f>
        <v>31269.780000000002</v>
      </c>
      <c r="BZ18" s="222">
        <f t="shared" si="19"/>
        <v>1421.3536363636365</v>
      </c>
      <c r="CA18" s="330"/>
      <c r="CB18" s="418"/>
      <c r="CC18" s="329" t="s">
        <v>208</v>
      </c>
      <c r="CD18" s="333">
        <f>INDEX($BX$22:$BX$43,MATCH($CD$8,$BG$22:$BG$43,0))</f>
        <v>5804.25</v>
      </c>
      <c r="CE18" s="330"/>
      <c r="CF18" s="136"/>
      <c r="CG18" s="701" t="s">
        <v>15</v>
      </c>
      <c r="CH18" s="832"/>
      <c r="CI18" s="408">
        <f t="shared" si="13"/>
        <v>21</v>
      </c>
      <c r="CJ18" s="4">
        <f>COUNTIFS(Employees!$B:$B,$CG18,Employees!G:G,"Resignation (Voluntary)")</f>
        <v>1</v>
      </c>
      <c r="CK18" s="10">
        <f>COUNTIFS(Employees!$B:$B,$CG18,Employees!G:G,"Termination (Involuntary)")</f>
        <v>0</v>
      </c>
      <c r="CL18" s="47">
        <f>COUNTIF(Employees!$B:$B,$CG18)</f>
        <v>22</v>
      </c>
      <c r="CM18" s="142"/>
      <c r="CN18" s="136"/>
      <c r="CO18" s="314"/>
      <c r="CP18" s="318" t="s">
        <v>15</v>
      </c>
      <c r="CQ18" s="27">
        <f t="shared" si="20"/>
        <v>4.6511627906976744E-2</v>
      </c>
      <c r="CR18" s="27">
        <f>$Y18/($X18*$F$6)</f>
        <v>5.9196617336152217E-2</v>
      </c>
      <c r="CS18" s="142"/>
    </row>
    <row r="19" spans="2:105" ht="15.75" customHeight="1" thickBot="1">
      <c r="B19" s="136"/>
      <c r="C19" s="330"/>
      <c r="D19" s="330"/>
      <c r="E19" s="330"/>
      <c r="F19" s="330"/>
      <c r="G19" s="656"/>
      <c r="H19" s="616"/>
      <c r="I19" s="618"/>
      <c r="J19" s="657"/>
      <c r="K19" s="657"/>
      <c r="L19" s="619"/>
      <c r="M19" s="613"/>
      <c r="N19" s="330"/>
      <c r="O19" s="725" t="s">
        <v>219</v>
      </c>
      <c r="P19" s="726"/>
      <c r="Q19" s="726"/>
      <c r="R19" s="726"/>
      <c r="S19" s="727"/>
      <c r="T19" s="142"/>
      <c r="U19" s="136"/>
      <c r="V19" s="715" t="s">
        <v>110</v>
      </c>
      <c r="W19" s="716"/>
      <c r="X19" s="143">
        <f>SUM(X14:X18)</f>
        <v>210</v>
      </c>
      <c r="Y19" s="143">
        <f>SUM(Y14:Y18)</f>
        <v>960</v>
      </c>
      <c r="Z19" s="363" t="s">
        <v>126</v>
      </c>
      <c r="AA19" s="364">
        <f>SUMPRODUCT(Z14:Z18,AA14:AA18)</f>
        <v>3.5437430786267994E-2</v>
      </c>
      <c r="AB19" s="365">
        <f>SUMPRODUCT(Z14:Z18,AB14:AB18)</f>
        <v>4.5714285714285712</v>
      </c>
      <c r="AC19" s="142"/>
      <c r="AD19" s="136"/>
      <c r="AE19" s="715" t="s">
        <v>110</v>
      </c>
      <c r="AF19" s="716"/>
      <c r="AG19" s="363">
        <f>SUM(AG14:AG18)</f>
        <v>143</v>
      </c>
      <c r="AH19" s="534">
        <f>SUM(AH14:AH18)</f>
        <v>960</v>
      </c>
      <c r="AI19" s="330"/>
      <c r="AJ19" s="548" t="s">
        <v>110</v>
      </c>
      <c r="AK19" s="556">
        <f>SUM(AK7:AK18)</f>
        <v>551</v>
      </c>
      <c r="AL19" s="556">
        <f t="shared" ref="AL19:AR19" si="22">SUM(AL7:AL18)</f>
        <v>55</v>
      </c>
      <c r="AM19" s="557">
        <f t="shared" si="22"/>
        <v>16</v>
      </c>
      <c r="AN19" s="551">
        <f t="shared" si="22"/>
        <v>622</v>
      </c>
      <c r="AO19" s="559">
        <f>SUM(AO7:AO18)</f>
        <v>31</v>
      </c>
      <c r="AP19" s="559">
        <f t="shared" si="22"/>
        <v>307</v>
      </c>
      <c r="AQ19" s="560">
        <f t="shared" si="22"/>
        <v>338</v>
      </c>
      <c r="AR19" s="558">
        <f t="shared" si="22"/>
        <v>960</v>
      </c>
      <c r="AS19" s="330"/>
      <c r="AT19" s="213">
        <v>10</v>
      </c>
      <c r="AU19" s="528">
        <f>INDEX(Employees!$A:$A,MATCH($AZ19,Employees!$J:$J,0))</f>
        <v>2017</v>
      </c>
      <c r="AV19" s="529">
        <f>INDEX(Employees!$H:$H,MATCH($AZ19,Employees!$J:$J,0))</f>
        <v>10</v>
      </c>
      <c r="AW19" s="524" t="str">
        <f>INDEX(Employees!$B:$B,MATCH($AZ19,Employees!$J:$J,0))</f>
        <v>Sales</v>
      </c>
      <c r="AX19" s="525" t="str">
        <f>INDEX(Employees!$C:$C,MATCH($AZ19,Employees!$J:$J,0))</f>
        <v>Sales</v>
      </c>
      <c r="AY19" s="529">
        <f>INDEX(Employees!$M:$M,MATCH($AZ19,Employees!$J:$J,0))</f>
        <v>0</v>
      </c>
      <c r="AZ19" s="417">
        <f>LARGE(Employees!$J:$J,AT19)</f>
        <v>10.495785820525533</v>
      </c>
      <c r="BA19" s="330"/>
      <c r="BB19" s="495">
        <f t="shared" si="10"/>
        <v>10</v>
      </c>
      <c r="BC19" s="497">
        <f t="shared" si="11"/>
        <v>0</v>
      </c>
      <c r="BD19" s="142"/>
      <c r="BE19" s="136"/>
      <c r="BF19" s="715" t="s">
        <v>110</v>
      </c>
      <c r="BG19" s="799"/>
      <c r="BH19" s="149">
        <f>SUM(BH14:BH18)</f>
        <v>210</v>
      </c>
      <c r="BI19" s="149">
        <f>SUM(BI14:BI18)</f>
        <v>960</v>
      </c>
      <c r="BJ19" s="149">
        <f t="shared" ref="BJ19:BK19" si="23">SUM(BJ14:BJ18)</f>
        <v>622</v>
      </c>
      <c r="BK19" s="149">
        <f t="shared" si="23"/>
        <v>338</v>
      </c>
      <c r="BL19" s="297"/>
      <c r="BM19" s="254">
        <f>AA19</f>
        <v>3.5437430786267994E-2</v>
      </c>
      <c r="BN19" s="255">
        <f>AB19</f>
        <v>4.5714285714285712</v>
      </c>
      <c r="BO19" s="386"/>
      <c r="BP19" s="387"/>
      <c r="BQ19" s="388"/>
      <c r="BR19" s="397">
        <f t="shared" ref="BR19:BY19" si="24">SUM(BR14:BR18)</f>
        <v>7420.71000000001</v>
      </c>
      <c r="BS19" s="398">
        <f t="shared" si="24"/>
        <v>11131.06499999999</v>
      </c>
      <c r="BT19" s="399">
        <f t="shared" si="24"/>
        <v>59365.68000000008</v>
      </c>
      <c r="BU19" s="577">
        <f t="shared" si="24"/>
        <v>257421.60000000003</v>
      </c>
      <c r="BV19" s="577">
        <f t="shared" si="24"/>
        <v>63021.240000000005</v>
      </c>
      <c r="BW19" s="577">
        <f t="shared" si="24"/>
        <v>134047.43999999997</v>
      </c>
      <c r="BX19" s="328">
        <f>SUM(BX14:BX18)</f>
        <v>197068.68000000002</v>
      </c>
      <c r="BY19" s="565">
        <f t="shared" si="24"/>
        <v>454490.28</v>
      </c>
      <c r="BZ19" s="640">
        <f>AVERAGE(BZ14:BZ18)</f>
        <v>1866.6412189295552</v>
      </c>
      <c r="CA19" s="330"/>
      <c r="CB19" s="418"/>
      <c r="CC19" s="332" t="str">
        <f>"Total Cost of Absenteeism for " &amp;CD8</f>
        <v>Total Cost of Absenteeism for Success</v>
      </c>
      <c r="CD19" s="334">
        <f>INDEX($BY$22:$BY$43,MATCH($CD$8,$BG$22:$BG$43,0))</f>
        <v>14040.25</v>
      </c>
      <c r="CE19" s="330"/>
      <c r="CF19" s="136"/>
      <c r="CG19" s="788" t="s">
        <v>110</v>
      </c>
      <c r="CH19" s="789"/>
      <c r="CI19" s="61">
        <f t="shared" si="13"/>
        <v>185</v>
      </c>
      <c r="CJ19" s="123">
        <f>SUM(CJ14:CJ18)</f>
        <v>16</v>
      </c>
      <c r="CK19" s="124">
        <f>SUM(CK14:CK18)</f>
        <v>9</v>
      </c>
      <c r="CL19" s="48">
        <f>SUM(CL14:CL18)</f>
        <v>210</v>
      </c>
      <c r="CM19" s="142"/>
      <c r="CN19" s="136"/>
      <c r="CO19" s="806" t="s">
        <v>216</v>
      </c>
      <c r="CP19" s="807"/>
      <c r="CQ19" s="474">
        <f>CORREL(CQ14:CQ18,CR14:CR18)^2</f>
        <v>0.15546276245783916</v>
      </c>
      <c r="CR19" s="453" t="str">
        <f>IF(CORREL(CQ14:CQ18,CR14:CR18)&lt;0,", Negative Corr.",", Positive Corr.")</f>
        <v>, Negative Corr.</v>
      </c>
      <c r="CS19" s="142"/>
    </row>
    <row r="20" spans="2:105" ht="15.75" customHeight="1" thickBot="1">
      <c r="B20" s="136"/>
      <c r="C20" s="330"/>
      <c r="D20" s="688" t="s">
        <v>249</v>
      </c>
      <c r="E20" s="689"/>
      <c r="F20" s="663">
        <f>BZ44</f>
        <v>2327.8258443129166</v>
      </c>
      <c r="G20" s="656"/>
      <c r="H20" s="616"/>
      <c r="I20" s="868" t="s">
        <v>270</v>
      </c>
      <c r="J20" s="869"/>
      <c r="K20" s="875" t="str">
        <f>IF(F18-L15&lt;0,"+",IF(F18-L15=0,"","-"))</f>
        <v>-</v>
      </c>
      <c r="L20" s="878">
        <f>ABS(F18-L15)</f>
        <v>7102.6200000000536</v>
      </c>
      <c r="M20" s="613"/>
      <c r="N20" s="330"/>
      <c r="O20" s="903" t="s">
        <v>217</v>
      </c>
      <c r="P20" s="904"/>
      <c r="Q20" s="898" t="s">
        <v>221</v>
      </c>
      <c r="R20" s="899"/>
      <c r="S20" s="579" t="s">
        <v>220</v>
      </c>
      <c r="T20" s="142"/>
      <c r="U20" s="136"/>
      <c r="V20" s="330"/>
      <c r="W20" s="330"/>
      <c r="X20" s="330"/>
      <c r="Y20" s="330"/>
      <c r="Z20" s="330"/>
      <c r="AA20" s="330"/>
      <c r="AB20" s="330"/>
      <c r="AC20" s="142"/>
      <c r="AD20" s="136"/>
      <c r="AE20" s="330"/>
      <c r="AF20" s="330"/>
      <c r="AG20" s="330"/>
      <c r="AH20" s="330"/>
      <c r="AI20" s="330"/>
      <c r="AJ20" s="330"/>
      <c r="AK20" s="330"/>
      <c r="AL20" s="330"/>
      <c r="AM20" s="330"/>
      <c r="AN20" s="330"/>
      <c r="AO20" s="330"/>
      <c r="AP20" s="330"/>
      <c r="AQ20" s="330"/>
      <c r="AR20" s="330"/>
      <c r="AS20" s="330"/>
      <c r="AT20" s="330"/>
      <c r="AU20" s="330"/>
      <c r="AV20" s="330"/>
      <c r="AW20" s="330"/>
      <c r="AX20" s="330"/>
      <c r="AY20" s="330"/>
      <c r="AZ20" s="330"/>
      <c r="BA20" s="330"/>
      <c r="BB20" s="498">
        <f t="shared" ref="BB20:BB29" si="25">AY23</f>
        <v>0</v>
      </c>
      <c r="BC20" s="501">
        <f>AV23</f>
        <v>16</v>
      </c>
      <c r="BD20" s="142"/>
      <c r="BE20" s="136"/>
      <c r="BF20" s="330"/>
      <c r="BG20" s="330"/>
      <c r="BH20" s="330"/>
      <c r="BI20" s="330"/>
      <c r="BJ20" s="330"/>
      <c r="BK20" s="330"/>
      <c r="BL20" s="330"/>
      <c r="BM20" s="330"/>
      <c r="BN20" s="330"/>
      <c r="BO20" s="330"/>
      <c r="BP20" s="330"/>
      <c r="BQ20" s="330"/>
      <c r="BR20" s="330"/>
      <c r="BS20" s="330"/>
      <c r="BT20" s="330"/>
      <c r="BU20" s="420"/>
      <c r="BV20" s="420"/>
      <c r="BW20" s="420"/>
      <c r="BX20" s="420"/>
      <c r="BY20" s="422"/>
      <c r="BZ20" s="422"/>
      <c r="CA20" s="330"/>
      <c r="CB20" s="330"/>
      <c r="CC20" s="330"/>
      <c r="CD20" s="330"/>
      <c r="CE20" s="330"/>
      <c r="CF20" s="136"/>
      <c r="CG20" s="330"/>
      <c r="CH20" s="330"/>
      <c r="CI20" s="330"/>
      <c r="CJ20" s="420"/>
      <c r="CK20" s="420"/>
      <c r="CL20" s="420"/>
      <c r="CM20" s="142"/>
      <c r="CN20" s="136"/>
      <c r="CO20" s="330"/>
      <c r="CP20" s="330"/>
      <c r="CQ20" s="330"/>
      <c r="CR20" s="330"/>
      <c r="CS20" s="142"/>
    </row>
    <row r="21" spans="2:105" ht="15.75" customHeight="1" thickBot="1">
      <c r="B21" s="136"/>
      <c r="C21" s="330"/>
      <c r="D21" s="330"/>
      <c r="E21" s="330"/>
      <c r="F21" s="330"/>
      <c r="G21" s="582"/>
      <c r="H21" s="616"/>
      <c r="I21" s="870"/>
      <c r="J21" s="871"/>
      <c r="K21" s="876"/>
      <c r="L21" s="879"/>
      <c r="M21" s="613"/>
      <c r="N21" s="330"/>
      <c r="O21" s="901" t="s">
        <v>222</v>
      </c>
      <c r="P21" s="902"/>
      <c r="Q21" s="897">
        <f>CQ11</f>
        <v>8.8840104021872771E-2</v>
      </c>
      <c r="R21" s="897"/>
      <c r="S21" s="466" t="str">
        <f>IF(Q21&lt;0.1,"No Correlation",IF(Q21&lt;0.2,"Very Weak Correlation", IF(Q21&lt;0.5,"Weak Correlation",IF(Q21&lt;0.75,"Moderate Correlation",IF(Q21&lt;90,"Strong Correlation", "Very Strong Correlation")))))</f>
        <v>No Correlation</v>
      </c>
      <c r="T21" s="142"/>
      <c r="U21" s="136"/>
      <c r="V21" s="69" t="s">
        <v>1</v>
      </c>
      <c r="W21" s="69" t="s">
        <v>2</v>
      </c>
      <c r="X21" s="48" t="s">
        <v>119</v>
      </c>
      <c r="Y21" s="48" t="s">
        <v>120</v>
      </c>
      <c r="Z21" s="48" t="s">
        <v>125</v>
      </c>
      <c r="AA21" s="73" t="s">
        <v>121</v>
      </c>
      <c r="AB21" s="73" t="s">
        <v>123</v>
      </c>
      <c r="AC21" s="142"/>
      <c r="AD21" s="136"/>
      <c r="AE21" s="69" t="s">
        <v>1</v>
      </c>
      <c r="AF21" s="69" t="s">
        <v>2</v>
      </c>
      <c r="AG21" s="508" t="s">
        <v>104</v>
      </c>
      <c r="AH21" s="71" t="s">
        <v>105</v>
      </c>
      <c r="AI21" s="330"/>
      <c r="AJ21" s="533" t="s">
        <v>87</v>
      </c>
      <c r="AK21" s="575" t="s">
        <v>86</v>
      </c>
      <c r="AL21" s="544" t="s">
        <v>241</v>
      </c>
      <c r="AM21" s="536" t="s">
        <v>84</v>
      </c>
      <c r="AN21" s="536" t="s">
        <v>89</v>
      </c>
      <c r="AO21" s="536" t="s">
        <v>90</v>
      </c>
      <c r="AP21" s="536" t="s">
        <v>91</v>
      </c>
      <c r="AQ21" s="536" t="s">
        <v>92</v>
      </c>
      <c r="AR21" s="537" t="s">
        <v>93</v>
      </c>
      <c r="AS21" s="330"/>
      <c r="AT21" s="842" t="s">
        <v>230</v>
      </c>
      <c r="AU21" s="843"/>
      <c r="AV21" s="843"/>
      <c r="AW21" s="843"/>
      <c r="AX21" s="844"/>
      <c r="AY21" s="821" t="s">
        <v>238</v>
      </c>
      <c r="AZ21" s="492"/>
      <c r="BA21" s="330"/>
      <c r="BB21" s="499">
        <f t="shared" si="25"/>
        <v>0</v>
      </c>
      <c r="BC21" s="502">
        <f t="shared" ref="BC21:BC29" si="26">AV24</f>
        <v>12</v>
      </c>
      <c r="BD21" s="142"/>
      <c r="BE21" s="136"/>
      <c r="BF21" s="69" t="s">
        <v>1</v>
      </c>
      <c r="BG21" s="68" t="s">
        <v>2</v>
      </c>
      <c r="BH21" s="48" t="s">
        <v>119</v>
      </c>
      <c r="BI21" s="48" t="s">
        <v>120</v>
      </c>
      <c r="BJ21" s="253" t="s">
        <v>101</v>
      </c>
      <c r="BK21" s="253" t="s">
        <v>102</v>
      </c>
      <c r="BL21" s="253" t="s">
        <v>198</v>
      </c>
      <c r="BM21" s="310" t="s">
        <v>121</v>
      </c>
      <c r="BN21" s="310" t="s">
        <v>123</v>
      </c>
      <c r="BO21" s="396" t="s">
        <v>184</v>
      </c>
      <c r="BP21" s="396" t="s">
        <v>186</v>
      </c>
      <c r="BQ21" s="394" t="s">
        <v>187</v>
      </c>
      <c r="BR21" s="394" t="s">
        <v>192</v>
      </c>
      <c r="BS21" s="394" t="s">
        <v>191</v>
      </c>
      <c r="BT21" s="394" t="s">
        <v>193</v>
      </c>
      <c r="BU21" s="128" t="s">
        <v>206</v>
      </c>
      <c r="BV21" s="72" t="s">
        <v>254</v>
      </c>
      <c r="BW21" s="72" t="s">
        <v>255</v>
      </c>
      <c r="BX21" s="128" t="s">
        <v>251</v>
      </c>
      <c r="BY21" s="564" t="s">
        <v>202</v>
      </c>
      <c r="BZ21" s="262" t="s">
        <v>243</v>
      </c>
      <c r="CA21" s="330"/>
      <c r="CB21" s="330"/>
      <c r="CC21" s="428" t="s">
        <v>150</v>
      </c>
      <c r="CD21" s="429" t="s">
        <v>197</v>
      </c>
      <c r="CE21" s="330"/>
      <c r="CF21" s="136"/>
      <c r="CG21" s="42" t="s">
        <v>1</v>
      </c>
      <c r="CH21" s="43" t="s">
        <v>2</v>
      </c>
      <c r="CI21" s="60" t="s">
        <v>114</v>
      </c>
      <c r="CJ21" s="121" t="s">
        <v>112</v>
      </c>
      <c r="CK21" s="122" t="s">
        <v>113</v>
      </c>
      <c r="CL21" s="310" t="s">
        <v>111</v>
      </c>
      <c r="CM21" s="142"/>
      <c r="CN21" s="136"/>
      <c r="CO21" s="69" t="s">
        <v>1</v>
      </c>
      <c r="CP21" s="68" t="s">
        <v>2</v>
      </c>
      <c r="CQ21" s="171" t="s">
        <v>214</v>
      </c>
      <c r="CR21" s="171" t="s">
        <v>121</v>
      </c>
      <c r="CS21" s="142"/>
      <c r="CW21" s="7"/>
      <c r="CY21" s="7"/>
      <c r="CZ21" s="7"/>
      <c r="DA21" s="7"/>
    </row>
    <row r="22" spans="2:105" ht="15.75" customHeight="1" thickBot="1">
      <c r="B22" s="136"/>
      <c r="C22" s="690" t="s">
        <v>279</v>
      </c>
      <c r="D22" s="691"/>
      <c r="E22" s="691"/>
      <c r="F22" s="692"/>
      <c r="G22" s="582"/>
      <c r="H22" s="616"/>
      <c r="I22" s="872"/>
      <c r="J22" s="873"/>
      <c r="K22" s="877"/>
      <c r="L22" s="880"/>
      <c r="M22" s="613"/>
      <c r="N22" s="330"/>
      <c r="O22" s="817" t="s">
        <v>223</v>
      </c>
      <c r="P22" s="818"/>
      <c r="Q22" s="900">
        <f>CQ19</f>
        <v>0.15546276245783916</v>
      </c>
      <c r="R22" s="900"/>
      <c r="S22" s="467" t="str">
        <f>IF(Q22&lt;0.1,"No Correlation",IF(Q22&lt;0.2,"Very Weak Correlation", IF(Q22&lt;0.5,"Weak Correlation",IF(Q22&lt;0.75,"Moderate Correlation",IF(Q22&lt;90,"Strong Correlation", "Very Strong Correlation")))))</f>
        <v>Very Weak Correlation</v>
      </c>
      <c r="T22" s="142"/>
      <c r="U22" s="136"/>
      <c r="V22" s="93" t="s">
        <v>37</v>
      </c>
      <c r="W22" s="97" t="s">
        <v>38</v>
      </c>
      <c r="X22" s="8">
        <f t="shared" ref="X22:X43" si="27">CL22</f>
        <v>9</v>
      </c>
      <c r="Y22" s="8">
        <f>AH22</f>
        <v>58</v>
      </c>
      <c r="Z22" s="148">
        <f t="shared" ref="Z22:Z43" si="28">X22/$X$44</f>
        <v>4.2857142857142858E-2</v>
      </c>
      <c r="AA22" s="131">
        <f t="shared" ref="AA22:AA43" si="29">$Y22/($X22*$F$6)</f>
        <v>4.9956933677863913E-2</v>
      </c>
      <c r="AB22" s="125">
        <f t="shared" ref="AB22:AB43" si="30">Y22/X22</f>
        <v>6.4444444444444446</v>
      </c>
      <c r="AC22" s="142"/>
      <c r="AD22" s="136"/>
      <c r="AE22" s="93" t="s">
        <v>37</v>
      </c>
      <c r="AF22" s="97" t="s">
        <v>38</v>
      </c>
      <c r="AG22" s="8">
        <f>COUNTIFS('Employee Leaves'!$B:$B,AE22,'Employee Leaves'!$C:$C,AF22)</f>
        <v>7</v>
      </c>
      <c r="AH22" s="414">
        <f>SUMIFS('Employee Leaves'!$G:$G,'Employee Leaves'!$B:$B,AE22,'Employee Leaves'!$C:$C,AF22)</f>
        <v>58</v>
      </c>
      <c r="AI22" s="330"/>
      <c r="AJ22" s="8">
        <f>SUMIFS('Employee Leaves'!$G:$G,'Employee Leaves'!$C:$C,AF22,'Employee Leaves'!$E:$E,$AJ$21)</f>
        <v>14</v>
      </c>
      <c r="AK22" s="57">
        <f>SUMIFS('Employee Leaves'!$G:$G,'Employee Leaves'!$C:$C,AF22,'Employee Leaves'!$E:$E,$AK$21)</f>
        <v>25</v>
      </c>
      <c r="AL22" s="25">
        <f t="shared" ref="AL22:AL43" si="31">($AJ22)/($X22*$F$6)</f>
        <v>1.2058570198105082E-2</v>
      </c>
      <c r="AM22" s="552" t="str">
        <f>IF(SUMIFS('Employee Leaves'!$G:$G,'Employee Leaves'!$C:$C,$AF22,'Employee Leaves'!$E:$E,"Sick",'Employee Leaves'!$F:$F,AM$21)+SUMIFS('Employee Leaves'!$G:$G,'Employee Leaves'!$C:$C,$AF22,'Employee Leaves'!$E:$E,"Others",'Employee Leaves'!$F:$F,AM$21)=0,"-",SUMIFS('Employee Leaves'!$G:$G,'Employee Leaves'!$C:$C,$AF22,'Employee Leaves'!$E:$E,"Sick",'Employee Leaves'!$F:$F,AM$21)+SUMIFS('Employee Leaves'!$G:$G,'Employee Leaves'!$C:$C,$AF22,'Employee Leaves'!$E:$E,"Others",'Employee Leaves'!$F:$F,AM$21))</f>
        <v>-</v>
      </c>
      <c r="AN22" s="539" t="str">
        <f>IF(SUMIFS('Employee Leaves'!$G:$G,'Employee Leaves'!$C:$C,$AF22,'Employee Leaves'!$E:$E,"Sick",'Employee Leaves'!$F:$F,AN$21)+SUMIFS('Employee Leaves'!$G:$G,'Employee Leaves'!$C:$C,$AF22,'Employee Leaves'!$E:$E,"Others",'Employee Leaves'!$F:$F,AN$21)=0,"-",SUMIFS('Employee Leaves'!$G:$G,'Employee Leaves'!$C:$C,$AF22,'Employee Leaves'!$E:$E,"Sick",'Employee Leaves'!$F:$F,AN$21)+SUMIFS('Employee Leaves'!$G:$G,'Employee Leaves'!$C:$C,$AF22,'Employee Leaves'!$E:$E,"Others",'Employee Leaves'!$F:$F,AN$21))</f>
        <v>-</v>
      </c>
      <c r="AO22" s="539" t="str">
        <f>IF(SUMIFS('Employee Leaves'!$G:$G,'Employee Leaves'!$C:$C,$AF22,'Employee Leaves'!$E:$E,"Sick",'Employee Leaves'!$F:$F,AO$21)+SUMIFS('Employee Leaves'!$G:$G,'Employee Leaves'!$C:$C,$AF22,'Employee Leaves'!$E:$E,"Others",'Employee Leaves'!$F:$F,AO$21)=0,"-",SUMIFS('Employee Leaves'!$G:$G,'Employee Leaves'!$C:$C,$AF22,'Employee Leaves'!$E:$E,"Sick",'Employee Leaves'!$F:$F,AO$21)+SUMIFS('Employee Leaves'!$G:$G,'Employee Leaves'!$C:$C,$AF22,'Employee Leaves'!$E:$E,"Others",'Employee Leaves'!$F:$F,AO$21))</f>
        <v>-</v>
      </c>
      <c r="AP22" s="539" t="str">
        <f>IF(SUMIFS('Employee Leaves'!$G:$G,'Employee Leaves'!$C:$C,$AF22,'Employee Leaves'!$E:$E,"Sick",'Employee Leaves'!$F:$F,AP$21)+SUMIFS('Employee Leaves'!$G:$G,'Employee Leaves'!$C:$C,$AF22,'Employee Leaves'!$E:$E,"Others",'Employee Leaves'!$F:$F,AP$21)=0,"-",SUMIFS('Employee Leaves'!$G:$G,'Employee Leaves'!$C:$C,$AF22,'Employee Leaves'!$E:$E,"Sick",'Employee Leaves'!$F:$F,AP$21)+SUMIFS('Employee Leaves'!$G:$G,'Employee Leaves'!$C:$C,$AF22,'Employee Leaves'!$E:$E,"Others",'Employee Leaves'!$F:$F,AP$21))</f>
        <v>-</v>
      </c>
      <c r="AQ22" s="539">
        <f>IF(SUMIFS('Employee Leaves'!$G:$G,'Employee Leaves'!$C:$C,$AF22,'Employee Leaves'!$E:$E,"Sick",'Employee Leaves'!$F:$F,AQ$21)+SUMIFS('Employee Leaves'!$G:$G,'Employee Leaves'!$C:$C,$AF22,'Employee Leaves'!$E:$E,"Others",'Employee Leaves'!$F:$F,AQ$21)=0,"-",SUMIFS('Employee Leaves'!$G:$G,'Employee Leaves'!$C:$C,$AF22,'Employee Leaves'!$E:$E,"Sick",'Employee Leaves'!$F:$F,AQ$21)+SUMIFS('Employee Leaves'!$G:$G,'Employee Leaves'!$C:$C,$AF22,'Employee Leaves'!$E:$E,"Others",'Employee Leaves'!$F:$F,AQ$21))</f>
        <v>17</v>
      </c>
      <c r="AR22" s="540" t="str">
        <f>IF(SUMIFS('Employee Leaves'!$G:$G,'Employee Leaves'!$C:$C,$AF22,'Employee Leaves'!$E:$E,"Sick",'Employee Leaves'!$F:$F,AR$21)+SUMIFS('Employee Leaves'!$G:$G,'Employee Leaves'!$C:$C,$AF22,'Employee Leaves'!$E:$E,"Others",'Employee Leaves'!$F:$F,AR$21)=0,"-",SUMIFS('Employee Leaves'!$G:$G,'Employee Leaves'!$C:$C,$AF22,'Employee Leaves'!$E:$E,"Sick",'Employee Leaves'!$F:$F,AR$21)+SUMIFS('Employee Leaves'!$G:$G,'Employee Leaves'!$C:$C,$AF22,'Employee Leaves'!$E:$E,"Others",'Employee Leaves'!$F:$F,AR$21))</f>
        <v>-</v>
      </c>
      <c r="AS22" s="330"/>
      <c r="AT22" s="514" t="s">
        <v>94</v>
      </c>
      <c r="AU22" s="515" t="s">
        <v>0</v>
      </c>
      <c r="AV22" s="516" t="s">
        <v>229</v>
      </c>
      <c r="AW22" s="515" t="s">
        <v>1</v>
      </c>
      <c r="AX22" s="517" t="s">
        <v>2</v>
      </c>
      <c r="AY22" s="822"/>
      <c r="AZ22" s="493" t="s">
        <v>235</v>
      </c>
      <c r="BA22" s="330"/>
      <c r="BB22" s="499">
        <f t="shared" si="25"/>
        <v>0</v>
      </c>
      <c r="BC22" s="502">
        <f t="shared" si="26"/>
        <v>10</v>
      </c>
      <c r="BD22" s="142"/>
      <c r="BE22" s="136"/>
      <c r="BF22" s="93" t="s">
        <v>37</v>
      </c>
      <c r="BG22" s="97" t="s">
        <v>38</v>
      </c>
      <c r="BH22" s="8">
        <f t="shared" ref="BH22:BH43" si="32">CL22</f>
        <v>9</v>
      </c>
      <c r="BI22" s="11">
        <f t="shared" ref="BI22:BI43" si="33">AH22</f>
        <v>58</v>
      </c>
      <c r="BJ22" s="11">
        <f>SUMIFS('Employee Leaves'!$G:$G,'Employee Leaves'!$C:$C,BG22,'Employee Leaves'!$E:$E,"Holiday")+SUMIFS('Employee Leaves'!$G:$G,'Employee Leaves'!$C:$C,BG22,'Employee Leaves'!$E:$E,"Paternity Leave")+SUMIFS('Employee Leaves'!$G:$G,'Employee Leaves'!$C:$C,BG22,'Employee Leaves'!$E:$E,"Maternity Leave")</f>
        <v>41</v>
      </c>
      <c r="BK22" s="11">
        <f>SUMIFS('Employee Leaves'!$G:$G,'Employee Leaves'!$C:$C,BG22,'Employee Leaves'!$E:$E,"Sick")+SUMIFS('Employee Leaves'!$G:$G,'Employee Leaves'!$C:$C,BG22,'Employee Leaves'!$E:$E,"Others")</f>
        <v>17</v>
      </c>
      <c r="BL22" s="223">
        <f t="shared" ref="BL22:BL43" si="34">(BH22/SUMIF($BF$22:$BF$43,BF22,$BH$22:$BH$43))*BO22</f>
        <v>5.7053571428571432</v>
      </c>
      <c r="BM22" s="25">
        <f t="shared" ref="BM22:BM44" si="35">AA22</f>
        <v>4.9956933677863913E-2</v>
      </c>
      <c r="BN22" s="247">
        <f t="shared" ref="BN22:BN44" si="36">AB22</f>
        <v>6.4444444444444446</v>
      </c>
      <c r="BO22" s="271">
        <v>17.75</v>
      </c>
      <c r="BP22" s="272">
        <f>BO22*1.5</f>
        <v>26.625</v>
      </c>
      <c r="BQ22" s="272">
        <f>BO22*8</f>
        <v>142</v>
      </c>
      <c r="BR22" s="272">
        <f>BO22*$BH$22</f>
        <v>159.75</v>
      </c>
      <c r="BS22" s="272">
        <f t="shared" ref="BS22:BT22" si="37">BP22*$BH$22</f>
        <v>239.625</v>
      </c>
      <c r="BT22" s="272">
        <f t="shared" si="37"/>
        <v>1278</v>
      </c>
      <c r="BU22" s="277">
        <f>BI22*BQ22</f>
        <v>8236</v>
      </c>
      <c r="BV22" s="277">
        <f t="shared" ref="BV22:BV43" si="38">(BJ22*(1-$L$9)*8*BP22)</f>
        <v>2183.25</v>
      </c>
      <c r="BW22" s="277">
        <f>(BK22*8*BP22)</f>
        <v>3621</v>
      </c>
      <c r="BX22" s="277">
        <f t="shared" ref="BX22:BX43" si="39">(BK22*8*BP22)+(BJ22*(1-$L$9)*8*BP22)</f>
        <v>5804.25</v>
      </c>
      <c r="BY22" s="277">
        <f>BU22+BX22</f>
        <v>14040.25</v>
      </c>
      <c r="BZ22" s="220">
        <f>BY22/BH22</f>
        <v>1560.0277777777778</v>
      </c>
      <c r="CA22" s="330"/>
      <c r="CB22" s="330"/>
      <c r="CC22" s="312" t="s">
        <v>151</v>
      </c>
      <c r="CD22" s="425" t="s">
        <v>146</v>
      </c>
      <c r="CE22" s="331" t="s">
        <v>115</v>
      </c>
      <c r="CF22" s="136"/>
      <c r="CG22" s="95" t="s">
        <v>37</v>
      </c>
      <c r="CH22" s="111" t="s">
        <v>38</v>
      </c>
      <c r="CI22" s="409">
        <f t="shared" ref="CI22:CI43" si="40">CL22-CK22-CJ22</f>
        <v>8</v>
      </c>
      <c r="CJ22" s="50">
        <f>COUNTIFS(Employees!$B:$B,$CG22,Employees!$C:$C,$CH22,Employees!G:G,"Resignation (Voluntary)")</f>
        <v>0</v>
      </c>
      <c r="CK22" s="51">
        <f>COUNTIFS(Employees!$B:$B,$CG22,Employees!$C:$C,$CH22,Employees!G:G,"Termination (Involuntary)")</f>
        <v>1</v>
      </c>
      <c r="CL22" s="52">
        <f>COUNTIFS(Employees!$B:$B,$CG22,Employees!$C:$C,$CH22)</f>
        <v>9</v>
      </c>
      <c r="CM22" s="142"/>
      <c r="CN22" s="431"/>
      <c r="CO22" s="93" t="s">
        <v>37</v>
      </c>
      <c r="CP22" s="97" t="s">
        <v>38</v>
      </c>
      <c r="CQ22" s="177">
        <f>(CJ22+CK22)/((CI22+CL22)/2)</f>
        <v>0.11764705882352941</v>
      </c>
      <c r="CR22" s="25">
        <f t="shared" ref="CR22:CR43" si="41">$Y22/($X22*$F$6)</f>
        <v>4.9956933677863913E-2</v>
      </c>
      <c r="CS22" s="142"/>
      <c r="CU22" s="2"/>
      <c r="CV22" s="2"/>
      <c r="CW22" s="307"/>
      <c r="CX22" s="307"/>
      <c r="CY22" s="308"/>
      <c r="CZ22" s="226"/>
      <c r="DA22" s="226"/>
    </row>
    <row r="23" spans="2:105" ht="15.75" customHeight="1" thickBot="1">
      <c r="B23" s="136"/>
      <c r="C23" s="693"/>
      <c r="D23" s="694"/>
      <c r="E23" s="694"/>
      <c r="F23" s="695"/>
      <c r="G23" s="330"/>
      <c r="H23" s="617"/>
      <c r="I23" s="615"/>
      <c r="J23" s="615"/>
      <c r="K23" s="615"/>
      <c r="L23" s="615"/>
      <c r="M23" s="614"/>
      <c r="N23" s="330"/>
      <c r="O23" s="819" t="s">
        <v>224</v>
      </c>
      <c r="P23" s="820"/>
      <c r="Q23" s="816">
        <f>CQ44</f>
        <v>1.0263238064017365E-2</v>
      </c>
      <c r="R23" s="816"/>
      <c r="S23" s="468" t="str">
        <f>IF(Q23&lt;0.1,"No Correlation",IF(Q23&lt;0.2,"Very Weak Correlation", IF(Q23&lt;0.5,"Weak Correlation",IF(Q23&lt;0.75,"Moderate Correlation",IF(Q23&lt;90,"Strong Correlation", "Very Strong Correlation")))))</f>
        <v>No Correlation</v>
      </c>
      <c r="T23" s="142"/>
      <c r="U23" s="136"/>
      <c r="V23" s="94" t="s">
        <v>37</v>
      </c>
      <c r="W23" s="98" t="s">
        <v>39</v>
      </c>
      <c r="X23" s="40">
        <f t="shared" si="27"/>
        <v>19</v>
      </c>
      <c r="Y23" s="40">
        <f t="shared" ref="Y23:Y43" si="42">AH23</f>
        <v>68</v>
      </c>
      <c r="Z23" s="27">
        <f t="shared" si="28"/>
        <v>9.0476190476190474E-2</v>
      </c>
      <c r="AA23" s="133">
        <f t="shared" si="29"/>
        <v>2.77437780497756E-2</v>
      </c>
      <c r="AB23" s="150">
        <f t="shared" si="30"/>
        <v>3.5789473684210527</v>
      </c>
      <c r="AC23" s="142"/>
      <c r="AD23" s="136"/>
      <c r="AE23" s="94" t="s">
        <v>37</v>
      </c>
      <c r="AF23" s="98" t="s">
        <v>39</v>
      </c>
      <c r="AG23" s="40">
        <f>COUNTIFS('Employee Leaves'!$B:$B,AE23,'Employee Leaves'!$C:$C,AF23)</f>
        <v>11</v>
      </c>
      <c r="AH23" s="415">
        <f>SUMIFS('Employee Leaves'!$G:$G,'Employee Leaves'!$B:$B,AE23,'Employee Leaves'!$C:$C,AF23)</f>
        <v>68</v>
      </c>
      <c r="AI23" s="330"/>
      <c r="AJ23" s="9">
        <f>SUMIFS('Employee Leaves'!$G:$G,'Employee Leaves'!$C:$C,AF23,'Employee Leaves'!$E:$E,$AJ$21)</f>
        <v>38</v>
      </c>
      <c r="AK23" s="58">
        <f>SUMIFS('Employee Leaves'!$G:$G,'Employee Leaves'!$C:$C,AF23,'Employee Leaves'!$E:$E,$AK$21)</f>
        <v>30</v>
      </c>
      <c r="AL23" s="26">
        <f t="shared" si="31"/>
        <v>1.5503875968992248E-2</v>
      </c>
      <c r="AM23" s="553">
        <f>IF(SUMIFS('Employee Leaves'!$G:$G,'Employee Leaves'!$C:$C,$AF23,'Employee Leaves'!$E:$E,"Sick",'Employee Leaves'!$F:$F,AM$21)+SUMIFS('Employee Leaves'!$G:$G,'Employee Leaves'!$C:$C,$AF23,'Employee Leaves'!$E:$E,"Others",'Employee Leaves'!$F:$F,AM$21)=0,"-",SUMIFS('Employee Leaves'!$G:$G,'Employee Leaves'!$C:$C,$AF23,'Employee Leaves'!$E:$E,"Sick",'Employee Leaves'!$F:$F,AM$21)+SUMIFS('Employee Leaves'!$G:$G,'Employee Leaves'!$C:$C,$AF23,'Employee Leaves'!$E:$E,"Others",'Employee Leaves'!$F:$F,AM$21))</f>
        <v>16</v>
      </c>
      <c r="AN23" s="538">
        <f>IF(SUMIFS('Employee Leaves'!$G:$G,'Employee Leaves'!$C:$C,$AF23,'Employee Leaves'!$E:$E,"Sick",'Employee Leaves'!$F:$F,AN$21)+SUMIFS('Employee Leaves'!$G:$G,'Employee Leaves'!$C:$C,$AF23,'Employee Leaves'!$E:$E,"Others",'Employee Leaves'!$F:$F,AN$21)=0,"-",SUMIFS('Employee Leaves'!$G:$G,'Employee Leaves'!$C:$C,$AF23,'Employee Leaves'!$E:$E,"Sick",'Employee Leaves'!$F:$F,AN$21)+SUMIFS('Employee Leaves'!$G:$G,'Employee Leaves'!$C:$C,$AF23,'Employee Leaves'!$E:$E,"Others",'Employee Leaves'!$F:$F,AN$21))</f>
        <v>10</v>
      </c>
      <c r="AO23" s="538">
        <f>IF(SUMIFS('Employee Leaves'!$G:$G,'Employee Leaves'!$C:$C,$AF23,'Employee Leaves'!$E:$E,"Sick",'Employee Leaves'!$F:$F,AO$21)+SUMIFS('Employee Leaves'!$G:$G,'Employee Leaves'!$C:$C,$AF23,'Employee Leaves'!$E:$E,"Others",'Employee Leaves'!$F:$F,AO$21)=0,"-",SUMIFS('Employee Leaves'!$G:$G,'Employee Leaves'!$C:$C,$AF23,'Employee Leaves'!$E:$E,"Sick",'Employee Leaves'!$F:$F,AO$21)+SUMIFS('Employee Leaves'!$G:$G,'Employee Leaves'!$C:$C,$AF23,'Employee Leaves'!$E:$E,"Others",'Employee Leaves'!$F:$F,AO$21))</f>
        <v>2</v>
      </c>
      <c r="AP23" s="538" t="str">
        <f>IF(SUMIFS('Employee Leaves'!$G:$G,'Employee Leaves'!$C:$C,$AF23,'Employee Leaves'!$E:$E,"Sick",'Employee Leaves'!$F:$F,AP$21)+SUMIFS('Employee Leaves'!$G:$G,'Employee Leaves'!$C:$C,$AF23,'Employee Leaves'!$E:$E,"Others",'Employee Leaves'!$F:$F,AP$21)=0,"-",SUMIFS('Employee Leaves'!$G:$G,'Employee Leaves'!$C:$C,$AF23,'Employee Leaves'!$E:$E,"Sick",'Employee Leaves'!$F:$F,AP$21)+SUMIFS('Employee Leaves'!$G:$G,'Employee Leaves'!$C:$C,$AF23,'Employee Leaves'!$E:$E,"Others",'Employee Leaves'!$F:$F,AP$21))</f>
        <v>-</v>
      </c>
      <c r="AQ23" s="538">
        <f>IF(SUMIFS('Employee Leaves'!$G:$G,'Employee Leaves'!$C:$C,$AF23,'Employee Leaves'!$E:$E,"Sick",'Employee Leaves'!$F:$F,AQ$21)+SUMIFS('Employee Leaves'!$G:$G,'Employee Leaves'!$C:$C,$AF23,'Employee Leaves'!$E:$E,"Others",'Employee Leaves'!$F:$F,AQ$21)=0,"-",SUMIFS('Employee Leaves'!$G:$G,'Employee Leaves'!$C:$C,$AF23,'Employee Leaves'!$E:$E,"Sick",'Employee Leaves'!$F:$F,AQ$21)+SUMIFS('Employee Leaves'!$G:$G,'Employee Leaves'!$C:$C,$AF23,'Employee Leaves'!$E:$E,"Others",'Employee Leaves'!$F:$F,AQ$21))</f>
        <v>10</v>
      </c>
      <c r="AR23" s="541" t="str">
        <f>IF(SUMIFS('Employee Leaves'!$G:$G,'Employee Leaves'!$C:$C,$AF23,'Employee Leaves'!$E:$E,"Sick",'Employee Leaves'!$F:$F,AR$21)+SUMIFS('Employee Leaves'!$G:$G,'Employee Leaves'!$C:$C,$AF23,'Employee Leaves'!$E:$E,"Others",'Employee Leaves'!$F:$F,AR$21)=0,"-",SUMIFS('Employee Leaves'!$G:$G,'Employee Leaves'!$C:$C,$AF23,'Employee Leaves'!$E:$E,"Sick",'Employee Leaves'!$F:$F,AR$21)+SUMIFS('Employee Leaves'!$G:$G,'Employee Leaves'!$C:$C,$AF23,'Employee Leaves'!$E:$E,"Others",'Employee Leaves'!$F:$F,AR$21))</f>
        <v>-</v>
      </c>
      <c r="AS23" s="330"/>
      <c r="AT23" s="519">
        <v>1</v>
      </c>
      <c r="AU23" s="522">
        <f>INDEX(Employees!$A:$A,MATCH($AZ23,Employees!$O:$O,0))</f>
        <v>2013</v>
      </c>
      <c r="AV23" s="522">
        <f>INDEX(Employees!$M:$M,MATCH($AZ23,Employees!$O:$O,0))</f>
        <v>16</v>
      </c>
      <c r="AW23" s="530" t="str">
        <f>INDEX(Employees!$B:$B,MATCH($AZ23,Employees!$O:$O,0))</f>
        <v>Sales</v>
      </c>
      <c r="AX23" s="530" t="str">
        <f>INDEX(Employees!$C:$C,MATCH($AZ23,Employees!$O:$O,0))</f>
        <v>Sales</v>
      </c>
      <c r="AY23" s="523">
        <f>INDEX(Employees!$H:$H,MATCH($AZ23,Employees!$O:$O,0))</f>
        <v>0</v>
      </c>
      <c r="AZ23" s="414">
        <f>LARGE(Employees!$O:$O,AT10)</f>
        <v>16.496770988574266</v>
      </c>
      <c r="BA23" s="330"/>
      <c r="BB23" s="499">
        <f t="shared" si="25"/>
        <v>7</v>
      </c>
      <c r="BC23" s="502">
        <f t="shared" si="26"/>
        <v>10</v>
      </c>
      <c r="BD23" s="142"/>
      <c r="BE23" s="136"/>
      <c r="BF23" s="94" t="s">
        <v>37</v>
      </c>
      <c r="BG23" s="98" t="s">
        <v>39</v>
      </c>
      <c r="BH23" s="40">
        <f t="shared" si="32"/>
        <v>19</v>
      </c>
      <c r="BI23" s="4">
        <f t="shared" si="33"/>
        <v>68</v>
      </c>
      <c r="BJ23" s="4">
        <f>SUMIFS('Employee Leaves'!$G:$G,'Employee Leaves'!$C:$C,BG23,'Employee Leaves'!$E:$E,"Holiday")+SUMIFS('Employee Leaves'!$G:$G,'Employee Leaves'!$C:$C,BG23,'Employee Leaves'!$E:$E,"Paternity Leave")+SUMIFS('Employee Leaves'!$G:$G,'Employee Leaves'!$C:$C,BG23,'Employee Leaves'!$E:$E,"Maternity Leave")</f>
        <v>30</v>
      </c>
      <c r="BK23" s="4">
        <f>SUMIFS('Employee Leaves'!$G:$G,'Employee Leaves'!$C:$C,BG23,'Employee Leaves'!$E:$E,"Sick")+SUMIFS('Employee Leaves'!$G:$G,'Employee Leaves'!$C:$C,BG23,'Employee Leaves'!$E:$E,"Others")</f>
        <v>38</v>
      </c>
      <c r="BL23" s="225">
        <f t="shared" si="34"/>
        <v>12.044642857142858</v>
      </c>
      <c r="BM23" s="27">
        <f t="shared" si="35"/>
        <v>2.77437780497756E-2</v>
      </c>
      <c r="BN23" s="268">
        <f t="shared" si="36"/>
        <v>3.5789473684210527</v>
      </c>
      <c r="BO23" s="279">
        <v>17.75</v>
      </c>
      <c r="BP23" s="280">
        <f t="shared" ref="BP23:BP43" si="43">BO23*1.5</f>
        <v>26.625</v>
      </c>
      <c r="BQ23" s="280">
        <f t="shared" ref="BQ23:BQ43" si="44">BO23*8</f>
        <v>142</v>
      </c>
      <c r="BR23" s="280">
        <f t="shared" ref="BR23:BR43" si="45">BO23*$BH$22</f>
        <v>159.75</v>
      </c>
      <c r="BS23" s="280">
        <f t="shared" ref="BS23:BS43" si="46">BP23*$BH$22</f>
        <v>239.625</v>
      </c>
      <c r="BT23" s="280">
        <f t="shared" ref="BT23:BT43" si="47">BQ23*$BH$22</f>
        <v>1278</v>
      </c>
      <c r="BU23" s="281">
        <f t="shared" ref="BU23:BU43" si="48">BI23*BQ23</f>
        <v>9656</v>
      </c>
      <c r="BV23" s="281">
        <f t="shared" si="38"/>
        <v>1597.5</v>
      </c>
      <c r="BW23" s="281">
        <f t="shared" ref="BW23:BW43" si="49">(BK23*8*BP23)</f>
        <v>8094</v>
      </c>
      <c r="BX23" s="281">
        <f t="shared" si="39"/>
        <v>9691.5</v>
      </c>
      <c r="BY23" s="281">
        <f t="shared" ref="BY23:BY43" si="50">BU23+BX23</f>
        <v>19347.5</v>
      </c>
      <c r="BZ23" s="222">
        <f t="shared" ref="BZ23:BZ43" si="51">BY23/BH23</f>
        <v>1018.2894736842105</v>
      </c>
      <c r="CA23" s="330"/>
      <c r="CB23" s="330"/>
      <c r="CC23" s="311" t="s">
        <v>151</v>
      </c>
      <c r="CD23" s="426" t="s">
        <v>146</v>
      </c>
      <c r="CE23" s="331" t="s">
        <v>115</v>
      </c>
      <c r="CF23" s="136"/>
      <c r="CG23" s="96" t="s">
        <v>37</v>
      </c>
      <c r="CH23" s="112" t="s">
        <v>39</v>
      </c>
      <c r="CI23" s="410">
        <f t="shared" si="40"/>
        <v>12</v>
      </c>
      <c r="CJ23" s="35">
        <f>COUNTIFS(Employees!$B:$B,$CG23,Employees!$C:$C,$CH23,Employees!G:G,"Resignation (Voluntary)")</f>
        <v>4</v>
      </c>
      <c r="CK23" s="36">
        <f>COUNTIFS(Employees!$B:$B,$CG23,Employees!$C:$C,$CH23,Employees!G:G,"Termination (Involuntary)")</f>
        <v>3</v>
      </c>
      <c r="CL23" s="55">
        <f>COUNTIFS(Employees!$B:$B,$CG23,Employees!$C:$C,$CH23)</f>
        <v>19</v>
      </c>
      <c r="CM23" s="142"/>
      <c r="CN23" s="431"/>
      <c r="CO23" s="94" t="s">
        <v>37</v>
      </c>
      <c r="CP23" s="98" t="s">
        <v>39</v>
      </c>
      <c r="CQ23" s="200">
        <f t="shared" ref="CQ23:CQ43" si="52">(CJ23+CK23)/((CI23+CL23)/2)</f>
        <v>0.45161290322580644</v>
      </c>
      <c r="CR23" s="298">
        <f t="shared" si="41"/>
        <v>2.77437780497756E-2</v>
      </c>
      <c r="CS23" s="142"/>
      <c r="CU23" s="2"/>
      <c r="CV23" s="2"/>
      <c r="CW23" s="307"/>
      <c r="CX23" s="307"/>
      <c r="CY23" s="308"/>
      <c r="CZ23" s="226"/>
      <c r="DA23" s="226"/>
    </row>
    <row r="24" spans="2:105" ht="15.75" customHeight="1" thickBot="1">
      <c r="B24" s="136"/>
      <c r="C24" s="331"/>
      <c r="D24" s="331"/>
      <c r="E24" s="331"/>
      <c r="F24" s="331"/>
      <c r="G24" s="330"/>
      <c r="H24" s="330"/>
      <c r="I24" s="330"/>
      <c r="J24" s="330"/>
      <c r="K24" s="330"/>
      <c r="L24" s="330"/>
      <c r="M24" s="330"/>
      <c r="N24" s="330"/>
      <c r="O24" s="330"/>
      <c r="P24" s="330"/>
      <c r="Q24" s="330"/>
      <c r="R24" s="330"/>
      <c r="S24" s="330"/>
      <c r="T24" s="142"/>
      <c r="U24" s="136"/>
      <c r="V24" s="90" t="s">
        <v>18</v>
      </c>
      <c r="W24" s="99" t="s">
        <v>19</v>
      </c>
      <c r="X24" s="8">
        <f t="shared" si="27"/>
        <v>9</v>
      </c>
      <c r="Y24" s="8">
        <f t="shared" si="42"/>
        <v>17</v>
      </c>
      <c r="Z24" s="25">
        <f t="shared" si="28"/>
        <v>4.2857142857142858E-2</v>
      </c>
      <c r="AA24" s="131">
        <f t="shared" si="29"/>
        <v>1.4642549526270457E-2</v>
      </c>
      <c r="AB24" s="151">
        <f t="shared" si="30"/>
        <v>1.8888888888888888</v>
      </c>
      <c r="AC24" s="142"/>
      <c r="AD24" s="136"/>
      <c r="AE24" s="90" t="s">
        <v>18</v>
      </c>
      <c r="AF24" s="99" t="s">
        <v>19</v>
      </c>
      <c r="AG24" s="8">
        <f>COUNTIFS('Employee Leaves'!$B:$B,AE24,'Employee Leaves'!$C:$C,AF24)</f>
        <v>3</v>
      </c>
      <c r="AH24" s="414">
        <f>SUMIFS('Employee Leaves'!$G:$G,'Employee Leaves'!$B:$B,AE24,'Employee Leaves'!$C:$C,AF24)</f>
        <v>17</v>
      </c>
      <c r="AI24" s="330"/>
      <c r="AJ24" s="9">
        <f>SUMIFS('Employee Leaves'!$G:$G,'Employee Leaves'!$C:$C,AF24,'Employee Leaves'!$E:$E,$AJ$21)</f>
        <v>2</v>
      </c>
      <c r="AK24" s="58">
        <f>SUMIFS('Employee Leaves'!$G:$G,'Employee Leaves'!$C:$C,AF24,'Employee Leaves'!$E:$E,$AK$21)</f>
        <v>15</v>
      </c>
      <c r="AL24" s="26">
        <f t="shared" si="31"/>
        <v>1.7226528854435831E-3</v>
      </c>
      <c r="AM24" s="553">
        <f>IF(SUMIFS('Employee Leaves'!$G:$G,'Employee Leaves'!$C:$C,$AF24,'Employee Leaves'!$E:$E,"Sick",'Employee Leaves'!$F:$F,AM$21)+SUMIFS('Employee Leaves'!$G:$G,'Employee Leaves'!$C:$C,$AF24,'Employee Leaves'!$E:$E,"Others",'Employee Leaves'!$F:$F,AM$21)=0,"-",SUMIFS('Employee Leaves'!$G:$G,'Employee Leaves'!$C:$C,$AF24,'Employee Leaves'!$E:$E,"Sick",'Employee Leaves'!$F:$F,AM$21)+SUMIFS('Employee Leaves'!$G:$G,'Employee Leaves'!$C:$C,$AF24,'Employee Leaves'!$E:$E,"Others",'Employee Leaves'!$F:$F,AM$21))</f>
        <v>2</v>
      </c>
      <c r="AN24" s="538" t="str">
        <f>IF(SUMIFS('Employee Leaves'!$G:$G,'Employee Leaves'!$C:$C,$AF24,'Employee Leaves'!$E:$E,"Sick",'Employee Leaves'!$F:$F,AN$21)+SUMIFS('Employee Leaves'!$G:$G,'Employee Leaves'!$C:$C,$AF24,'Employee Leaves'!$E:$E,"Others",'Employee Leaves'!$F:$F,AN$21)=0,"-",SUMIFS('Employee Leaves'!$G:$G,'Employee Leaves'!$C:$C,$AF24,'Employee Leaves'!$E:$E,"Sick",'Employee Leaves'!$F:$F,AN$21)+SUMIFS('Employee Leaves'!$G:$G,'Employee Leaves'!$C:$C,$AF24,'Employee Leaves'!$E:$E,"Others",'Employee Leaves'!$F:$F,AN$21))</f>
        <v>-</v>
      </c>
      <c r="AO24" s="538" t="str">
        <f>IF(SUMIFS('Employee Leaves'!$G:$G,'Employee Leaves'!$C:$C,$AF24,'Employee Leaves'!$E:$E,"Sick",'Employee Leaves'!$F:$F,AO$21)+SUMIFS('Employee Leaves'!$G:$G,'Employee Leaves'!$C:$C,$AF24,'Employee Leaves'!$E:$E,"Others",'Employee Leaves'!$F:$F,AO$21)=0,"-",SUMIFS('Employee Leaves'!$G:$G,'Employee Leaves'!$C:$C,$AF24,'Employee Leaves'!$E:$E,"Sick",'Employee Leaves'!$F:$F,AO$21)+SUMIFS('Employee Leaves'!$G:$G,'Employee Leaves'!$C:$C,$AF24,'Employee Leaves'!$E:$E,"Others",'Employee Leaves'!$F:$F,AO$21))</f>
        <v>-</v>
      </c>
      <c r="AP24" s="538" t="str">
        <f>IF(SUMIFS('Employee Leaves'!$G:$G,'Employee Leaves'!$C:$C,$AF24,'Employee Leaves'!$E:$E,"Sick",'Employee Leaves'!$F:$F,AP$21)+SUMIFS('Employee Leaves'!$G:$G,'Employee Leaves'!$C:$C,$AF24,'Employee Leaves'!$E:$E,"Others",'Employee Leaves'!$F:$F,AP$21)=0,"-",SUMIFS('Employee Leaves'!$G:$G,'Employee Leaves'!$C:$C,$AF24,'Employee Leaves'!$E:$E,"Sick",'Employee Leaves'!$F:$F,AP$21)+SUMIFS('Employee Leaves'!$G:$G,'Employee Leaves'!$C:$C,$AF24,'Employee Leaves'!$E:$E,"Others",'Employee Leaves'!$F:$F,AP$21))</f>
        <v>-</v>
      </c>
      <c r="AQ24" s="538" t="str">
        <f>IF(SUMIFS('Employee Leaves'!$G:$G,'Employee Leaves'!$C:$C,$AF24,'Employee Leaves'!$E:$E,"Sick",'Employee Leaves'!$F:$F,AQ$21)+SUMIFS('Employee Leaves'!$G:$G,'Employee Leaves'!$C:$C,$AF24,'Employee Leaves'!$E:$E,"Others",'Employee Leaves'!$F:$F,AQ$21)=0,"-",SUMIFS('Employee Leaves'!$G:$G,'Employee Leaves'!$C:$C,$AF24,'Employee Leaves'!$E:$E,"Sick",'Employee Leaves'!$F:$F,AQ$21)+SUMIFS('Employee Leaves'!$G:$G,'Employee Leaves'!$C:$C,$AF24,'Employee Leaves'!$E:$E,"Others",'Employee Leaves'!$F:$F,AQ$21))</f>
        <v>-</v>
      </c>
      <c r="AR24" s="541" t="str">
        <f>IF(SUMIFS('Employee Leaves'!$G:$G,'Employee Leaves'!$C:$C,$AF24,'Employee Leaves'!$E:$E,"Sick",'Employee Leaves'!$F:$F,AR$21)+SUMIFS('Employee Leaves'!$G:$G,'Employee Leaves'!$C:$C,$AF24,'Employee Leaves'!$E:$E,"Others",'Employee Leaves'!$F:$F,AR$21)=0,"-",SUMIFS('Employee Leaves'!$G:$G,'Employee Leaves'!$C:$C,$AF24,'Employee Leaves'!$E:$E,"Sick",'Employee Leaves'!$F:$F,AR$21)+SUMIFS('Employee Leaves'!$G:$G,'Employee Leaves'!$C:$C,$AF24,'Employee Leaves'!$E:$E,"Others",'Employee Leaves'!$F:$F,AR$21))</f>
        <v>-</v>
      </c>
      <c r="AS24" s="330"/>
      <c r="AT24" s="520">
        <v>2</v>
      </c>
      <c r="AU24" s="526">
        <f>INDEX(Employees!$A:$A,MATCH($AZ24,Employees!$O:$O,0))</f>
        <v>4121</v>
      </c>
      <c r="AV24" s="526">
        <f>INDEX(Employees!$M:$M,MATCH($AZ24,Employees!$O:$O,0))</f>
        <v>12</v>
      </c>
      <c r="AW24" s="531" t="str">
        <f>INDEX(Employees!$B:$B,MATCH($AZ24,Employees!$O:$O,0))</f>
        <v>Product &amp; Engineering</v>
      </c>
      <c r="AX24" s="531" t="str">
        <f>INDEX(Employees!$C:$C,MATCH($AZ24,Employees!$O:$O,0))</f>
        <v>Feedback</v>
      </c>
      <c r="AY24" s="527">
        <f>INDEX(Employees!$H:$H,MATCH($AZ24,Employees!$O:$O,0))</f>
        <v>0</v>
      </c>
      <c r="AZ24" s="416">
        <f>LARGE(Employees!$O:$O,AT11)</f>
        <v>12.24265954865324</v>
      </c>
      <c r="BA24" s="330"/>
      <c r="BB24" s="499">
        <f t="shared" si="25"/>
        <v>10</v>
      </c>
      <c r="BC24" s="502">
        <f t="shared" si="26"/>
        <v>10</v>
      </c>
      <c r="BD24" s="142"/>
      <c r="BE24" s="136"/>
      <c r="BF24" s="90" t="s">
        <v>18</v>
      </c>
      <c r="BG24" s="99" t="s">
        <v>19</v>
      </c>
      <c r="BH24" s="8">
        <f t="shared" si="32"/>
        <v>9</v>
      </c>
      <c r="BI24" s="11">
        <f t="shared" si="33"/>
        <v>17</v>
      </c>
      <c r="BJ24" s="11">
        <f>SUMIFS('Employee Leaves'!$G:$G,'Employee Leaves'!$C:$C,BG24,'Employee Leaves'!$E:$E,"Holiday")+SUMIFS('Employee Leaves'!$G:$G,'Employee Leaves'!$C:$C,BG24,'Employee Leaves'!$E:$E,"Paternity Leave")+SUMIFS('Employee Leaves'!$G:$G,'Employee Leaves'!$C:$C,BG24,'Employee Leaves'!$E:$E,"Maternity Leave")</f>
        <v>15</v>
      </c>
      <c r="BK24" s="11">
        <f>SUMIFS('Employee Leaves'!$G:$G,'Employee Leaves'!$C:$C,BG24,'Employee Leaves'!$E:$E,"Sick")+SUMIFS('Employee Leaves'!$G:$G,'Employee Leaves'!$C:$C,BG24,'Employee Leaves'!$E:$E,"Others")</f>
        <v>2</v>
      </c>
      <c r="BL24" s="223">
        <f t="shared" si="34"/>
        <v>18.437999999999999</v>
      </c>
      <c r="BM24" s="25">
        <f t="shared" si="35"/>
        <v>1.4642549526270457E-2</v>
      </c>
      <c r="BN24" s="250">
        <f t="shared" si="36"/>
        <v>1.8888888888888888</v>
      </c>
      <c r="BO24" s="271">
        <v>30.73</v>
      </c>
      <c r="BP24" s="272">
        <f t="shared" si="43"/>
        <v>46.094999999999999</v>
      </c>
      <c r="BQ24" s="272">
        <f t="shared" si="44"/>
        <v>245.84</v>
      </c>
      <c r="BR24" s="272">
        <f t="shared" si="45"/>
        <v>276.57</v>
      </c>
      <c r="BS24" s="272">
        <f t="shared" si="46"/>
        <v>414.85500000000002</v>
      </c>
      <c r="BT24" s="272">
        <f t="shared" si="47"/>
        <v>2212.56</v>
      </c>
      <c r="BU24" s="277">
        <f t="shared" si="48"/>
        <v>4179.28</v>
      </c>
      <c r="BV24" s="277">
        <f t="shared" si="38"/>
        <v>1382.85</v>
      </c>
      <c r="BW24" s="277">
        <f t="shared" si="49"/>
        <v>737.52</v>
      </c>
      <c r="BX24" s="277">
        <f t="shared" si="39"/>
        <v>2120.37</v>
      </c>
      <c r="BY24" s="277">
        <f t="shared" si="50"/>
        <v>6299.65</v>
      </c>
      <c r="BZ24" s="220">
        <f t="shared" si="51"/>
        <v>699.96111111111111</v>
      </c>
      <c r="CA24" s="330"/>
      <c r="CB24" s="330"/>
      <c r="CC24" s="311" t="s">
        <v>152</v>
      </c>
      <c r="CD24" s="426" t="s">
        <v>153</v>
      </c>
      <c r="CE24" s="331" t="s">
        <v>115</v>
      </c>
      <c r="CF24" s="136"/>
      <c r="CG24" s="87" t="s">
        <v>18</v>
      </c>
      <c r="CH24" s="108" t="s">
        <v>19</v>
      </c>
      <c r="CI24" s="409">
        <f t="shared" si="40"/>
        <v>8</v>
      </c>
      <c r="CJ24" s="50">
        <f>COUNTIFS(Employees!$B:$B,$CG24,Employees!$C:$C,$CH24,Employees!G:G,"Resignation (Voluntary)")</f>
        <v>1</v>
      </c>
      <c r="CK24" s="51">
        <f>COUNTIFS(Employees!$B:$B,$CG24,Employees!$C:$C,$CH24,Employees!G:G,"Termination (Involuntary)")</f>
        <v>0</v>
      </c>
      <c r="CL24" s="54">
        <f>COUNTIFS(Employees!$B:$B,$CG24,Employees!$C:$C,$CH24)</f>
        <v>9</v>
      </c>
      <c r="CM24" s="142"/>
      <c r="CN24" s="431"/>
      <c r="CO24" s="90" t="s">
        <v>18</v>
      </c>
      <c r="CP24" s="99" t="s">
        <v>19</v>
      </c>
      <c r="CQ24" s="177">
        <f t="shared" si="52"/>
        <v>0.11764705882352941</v>
      </c>
      <c r="CR24" s="25">
        <f t="shared" si="41"/>
        <v>1.4642549526270457E-2</v>
      </c>
      <c r="CS24" s="142"/>
      <c r="CU24" s="2"/>
      <c r="CV24" s="2"/>
      <c r="CW24" s="307"/>
      <c r="CX24" s="307"/>
      <c r="CY24" s="308"/>
      <c r="CZ24" s="226"/>
      <c r="DA24" s="226"/>
    </row>
    <row r="25" spans="2:105" ht="15.75" customHeight="1" thickBot="1">
      <c r="B25" s="136"/>
      <c r="C25" s="777" t="s">
        <v>141</v>
      </c>
      <c r="D25" s="778"/>
      <c r="E25" s="778"/>
      <c r="F25" s="779"/>
      <c r="G25" s="330"/>
      <c r="H25" s="777" t="s">
        <v>142</v>
      </c>
      <c r="I25" s="778"/>
      <c r="J25" s="778"/>
      <c r="K25" s="778"/>
      <c r="L25" s="778"/>
      <c r="M25" s="779"/>
      <c r="N25" s="330"/>
      <c r="O25" s="777" t="s">
        <v>143</v>
      </c>
      <c r="P25" s="778"/>
      <c r="Q25" s="778"/>
      <c r="R25" s="778"/>
      <c r="S25" s="779"/>
      <c r="T25" s="142"/>
      <c r="U25" s="136"/>
      <c r="V25" s="91" t="s">
        <v>18</v>
      </c>
      <c r="W25" s="100" t="s">
        <v>20</v>
      </c>
      <c r="X25" s="9">
        <f t="shared" si="27"/>
        <v>4</v>
      </c>
      <c r="Y25" s="9">
        <f t="shared" si="42"/>
        <v>54</v>
      </c>
      <c r="Z25" s="26">
        <f t="shared" si="28"/>
        <v>1.9047619047619049E-2</v>
      </c>
      <c r="AA25" s="132">
        <f t="shared" si="29"/>
        <v>0.10465116279069768</v>
      </c>
      <c r="AB25" s="152">
        <f t="shared" si="30"/>
        <v>13.5</v>
      </c>
      <c r="AC25" s="142"/>
      <c r="AD25" s="136"/>
      <c r="AE25" s="91" t="s">
        <v>18</v>
      </c>
      <c r="AF25" s="100" t="s">
        <v>20</v>
      </c>
      <c r="AG25" s="9">
        <f>COUNTIFS('Employee Leaves'!$B:$B,AE25,'Employee Leaves'!$C:$C,AF25)</f>
        <v>6</v>
      </c>
      <c r="AH25" s="416">
        <f>SUMIFS('Employee Leaves'!$G:$G,'Employee Leaves'!$B:$B,AE25,'Employee Leaves'!$C:$C,AF25)</f>
        <v>54</v>
      </c>
      <c r="AI25" s="330"/>
      <c r="AJ25" s="9">
        <f>SUMIFS('Employee Leaves'!$G:$G,'Employee Leaves'!$C:$C,AF25,'Employee Leaves'!$E:$E,$AJ$21)</f>
        <v>37</v>
      </c>
      <c r="AK25" s="58">
        <f>SUMIFS('Employee Leaves'!$G:$G,'Employee Leaves'!$C:$C,AF25,'Employee Leaves'!$E:$E,$AK$21)</f>
        <v>17</v>
      </c>
      <c r="AL25" s="26">
        <f t="shared" si="31"/>
        <v>7.170542635658915E-2</v>
      </c>
      <c r="AM25" s="553" t="str">
        <f>IF(SUMIFS('Employee Leaves'!$G:$G,'Employee Leaves'!$C:$C,$AF25,'Employee Leaves'!$E:$E,"Sick",'Employee Leaves'!$F:$F,AM$21)+SUMIFS('Employee Leaves'!$G:$G,'Employee Leaves'!$C:$C,$AF25,'Employee Leaves'!$E:$E,"Others",'Employee Leaves'!$F:$F,AM$21)=0,"-",SUMIFS('Employee Leaves'!$G:$G,'Employee Leaves'!$C:$C,$AF25,'Employee Leaves'!$E:$E,"Sick",'Employee Leaves'!$F:$F,AM$21)+SUMIFS('Employee Leaves'!$G:$G,'Employee Leaves'!$C:$C,$AF25,'Employee Leaves'!$E:$E,"Others",'Employee Leaves'!$F:$F,AM$21))</f>
        <v>-</v>
      </c>
      <c r="AN25" s="538" t="str">
        <f>IF(SUMIFS('Employee Leaves'!$G:$G,'Employee Leaves'!$C:$C,$AF25,'Employee Leaves'!$E:$E,"Sick",'Employee Leaves'!$F:$F,AN$21)+SUMIFS('Employee Leaves'!$G:$G,'Employee Leaves'!$C:$C,$AF25,'Employee Leaves'!$E:$E,"Others",'Employee Leaves'!$F:$F,AN$21)=0,"-",SUMIFS('Employee Leaves'!$G:$G,'Employee Leaves'!$C:$C,$AF25,'Employee Leaves'!$E:$E,"Sick",'Employee Leaves'!$F:$F,AN$21)+SUMIFS('Employee Leaves'!$G:$G,'Employee Leaves'!$C:$C,$AF25,'Employee Leaves'!$E:$E,"Others",'Employee Leaves'!$F:$F,AN$21))</f>
        <v>-</v>
      </c>
      <c r="AO25" s="538" t="str">
        <f>IF(SUMIFS('Employee Leaves'!$G:$G,'Employee Leaves'!$C:$C,$AF25,'Employee Leaves'!$E:$E,"Sick",'Employee Leaves'!$F:$F,AO$21)+SUMIFS('Employee Leaves'!$G:$G,'Employee Leaves'!$C:$C,$AF25,'Employee Leaves'!$E:$E,"Others",'Employee Leaves'!$F:$F,AO$21)=0,"-",SUMIFS('Employee Leaves'!$G:$G,'Employee Leaves'!$C:$C,$AF25,'Employee Leaves'!$E:$E,"Sick",'Employee Leaves'!$F:$F,AO$21)+SUMIFS('Employee Leaves'!$G:$G,'Employee Leaves'!$C:$C,$AF25,'Employee Leaves'!$E:$E,"Others",'Employee Leaves'!$F:$F,AO$21))</f>
        <v>-</v>
      </c>
      <c r="AP25" s="538" t="str">
        <f>IF(SUMIFS('Employee Leaves'!$G:$G,'Employee Leaves'!$C:$C,$AF25,'Employee Leaves'!$E:$E,"Sick",'Employee Leaves'!$F:$F,AP$21)+SUMIFS('Employee Leaves'!$G:$G,'Employee Leaves'!$C:$C,$AF25,'Employee Leaves'!$E:$E,"Others",'Employee Leaves'!$F:$F,AP$21)=0,"-",SUMIFS('Employee Leaves'!$G:$G,'Employee Leaves'!$C:$C,$AF25,'Employee Leaves'!$E:$E,"Sick",'Employee Leaves'!$F:$F,AP$21)+SUMIFS('Employee Leaves'!$G:$G,'Employee Leaves'!$C:$C,$AF25,'Employee Leaves'!$E:$E,"Others",'Employee Leaves'!$F:$F,AP$21))</f>
        <v>-</v>
      </c>
      <c r="AQ25" s="538">
        <f>IF(SUMIFS('Employee Leaves'!$G:$G,'Employee Leaves'!$C:$C,$AF25,'Employee Leaves'!$E:$E,"Sick",'Employee Leaves'!$F:$F,AQ$21)+SUMIFS('Employee Leaves'!$G:$G,'Employee Leaves'!$C:$C,$AF25,'Employee Leaves'!$E:$E,"Others",'Employee Leaves'!$F:$F,AQ$21)=0,"-",SUMIFS('Employee Leaves'!$G:$G,'Employee Leaves'!$C:$C,$AF25,'Employee Leaves'!$E:$E,"Sick",'Employee Leaves'!$F:$F,AQ$21)+SUMIFS('Employee Leaves'!$G:$G,'Employee Leaves'!$C:$C,$AF25,'Employee Leaves'!$E:$E,"Others",'Employee Leaves'!$F:$F,AQ$21))</f>
        <v>10</v>
      </c>
      <c r="AR25" s="541">
        <f>IF(SUMIFS('Employee Leaves'!$G:$G,'Employee Leaves'!$C:$C,$AF25,'Employee Leaves'!$E:$E,"Sick",'Employee Leaves'!$F:$F,AR$21)+SUMIFS('Employee Leaves'!$G:$G,'Employee Leaves'!$C:$C,$AF25,'Employee Leaves'!$E:$E,"Others",'Employee Leaves'!$F:$F,AR$21)=0,"-",SUMIFS('Employee Leaves'!$G:$G,'Employee Leaves'!$C:$C,$AF25,'Employee Leaves'!$E:$E,"Sick",'Employee Leaves'!$F:$F,AR$21)+SUMIFS('Employee Leaves'!$G:$G,'Employee Leaves'!$C:$C,$AF25,'Employee Leaves'!$E:$E,"Others",'Employee Leaves'!$F:$F,AR$21))</f>
        <v>27</v>
      </c>
      <c r="AS25" s="330"/>
      <c r="AT25" s="520">
        <v>3</v>
      </c>
      <c r="AU25" s="526">
        <f>INDEX(Employees!$A:$A,MATCH($AZ25,Employees!$O:$O,0))</f>
        <v>1020</v>
      </c>
      <c r="AV25" s="526">
        <f>INDEX(Employees!$M:$M,MATCH($AZ25,Employees!$O:$O,0))</f>
        <v>10</v>
      </c>
      <c r="AW25" s="531" t="str">
        <f>INDEX(Employees!$B:$B,MATCH($AZ25,Employees!$O:$O,0))</f>
        <v>Operations</v>
      </c>
      <c r="AX25" s="531" t="str">
        <f>INDEX(Employees!$C:$C,MATCH($AZ25,Employees!$O:$O,0))</f>
        <v>Biz Ops</v>
      </c>
      <c r="AY25" s="527">
        <f>INDEX(Employees!$H:$H,MATCH($AZ25,Employees!$O:$O,0))</f>
        <v>0</v>
      </c>
      <c r="AZ25" s="416">
        <f>LARGE(Employees!$O:$O,AT12)</f>
        <v>10.980392156862745</v>
      </c>
      <c r="BA25" s="330"/>
      <c r="BB25" s="499">
        <f t="shared" si="25"/>
        <v>0</v>
      </c>
      <c r="BC25" s="502">
        <f t="shared" si="26"/>
        <v>10</v>
      </c>
      <c r="BD25" s="142"/>
      <c r="BE25" s="136"/>
      <c r="BF25" s="91" t="s">
        <v>18</v>
      </c>
      <c r="BG25" s="100" t="s">
        <v>20</v>
      </c>
      <c r="BH25" s="9">
        <f t="shared" si="32"/>
        <v>4</v>
      </c>
      <c r="BI25" s="3">
        <f t="shared" si="33"/>
        <v>54</v>
      </c>
      <c r="BJ25" s="3">
        <f>SUMIFS('Employee Leaves'!$G:$G,'Employee Leaves'!$C:$C,BG25,'Employee Leaves'!$E:$E,"Holiday")+SUMIFS('Employee Leaves'!$G:$G,'Employee Leaves'!$C:$C,BG25,'Employee Leaves'!$E:$E,"Paternity Leave")+SUMIFS('Employee Leaves'!$G:$G,'Employee Leaves'!$C:$C,BG25,'Employee Leaves'!$E:$E,"Maternity Leave")</f>
        <v>17</v>
      </c>
      <c r="BK25" s="3">
        <f>SUMIFS('Employee Leaves'!$G:$G,'Employee Leaves'!$C:$C,BG25,'Employee Leaves'!$E:$E,"Sick")+SUMIFS('Employee Leaves'!$G:$G,'Employee Leaves'!$C:$C,BG25,'Employee Leaves'!$E:$E,"Others")</f>
        <v>37</v>
      </c>
      <c r="BL25" s="224">
        <f t="shared" si="34"/>
        <v>8.1946666666666665</v>
      </c>
      <c r="BM25" s="26">
        <f t="shared" si="35"/>
        <v>0.10465116279069768</v>
      </c>
      <c r="BN25" s="251">
        <f t="shared" si="36"/>
        <v>13.5</v>
      </c>
      <c r="BO25" s="273">
        <v>30.73</v>
      </c>
      <c r="BP25" s="270">
        <f t="shared" si="43"/>
        <v>46.094999999999999</v>
      </c>
      <c r="BQ25" s="270">
        <f t="shared" si="44"/>
        <v>245.84</v>
      </c>
      <c r="BR25" s="270">
        <f t="shared" si="45"/>
        <v>276.57</v>
      </c>
      <c r="BS25" s="270">
        <f t="shared" si="46"/>
        <v>414.85500000000002</v>
      </c>
      <c r="BT25" s="270">
        <f t="shared" si="47"/>
        <v>2212.56</v>
      </c>
      <c r="BU25" s="278">
        <f t="shared" si="48"/>
        <v>13275.36</v>
      </c>
      <c r="BV25" s="278">
        <f t="shared" si="38"/>
        <v>1567.23</v>
      </c>
      <c r="BW25" s="278">
        <f t="shared" si="49"/>
        <v>13644.119999999999</v>
      </c>
      <c r="BX25" s="278">
        <f t="shared" si="39"/>
        <v>15211.349999999999</v>
      </c>
      <c r="BY25" s="278">
        <f t="shared" si="50"/>
        <v>28486.71</v>
      </c>
      <c r="BZ25" s="221">
        <f t="shared" si="51"/>
        <v>7121.6774999999998</v>
      </c>
      <c r="CA25" s="330"/>
      <c r="CB25" s="330"/>
      <c r="CC25" s="311" t="s">
        <v>152</v>
      </c>
      <c r="CD25" s="426" t="s">
        <v>153</v>
      </c>
      <c r="CE25" s="331" t="s">
        <v>115</v>
      </c>
      <c r="CF25" s="136"/>
      <c r="CG25" s="88" t="s">
        <v>18</v>
      </c>
      <c r="CH25" s="109" t="s">
        <v>20</v>
      </c>
      <c r="CI25" s="411">
        <f t="shared" si="40"/>
        <v>4</v>
      </c>
      <c r="CJ25" s="29">
        <f>COUNTIFS(Employees!$B:$B,$CG25,Employees!$C:$C,$CH25,Employees!G:G,"Resignation (Voluntary)")</f>
        <v>0</v>
      </c>
      <c r="CK25" s="30">
        <f>COUNTIFS(Employees!$B:$B,$CG25,Employees!$C:$C,$CH25,Employees!G:G,"Termination (Involuntary)")</f>
        <v>0</v>
      </c>
      <c r="CL25" s="52">
        <f>COUNTIFS(Employees!$B:$B,$CG25,Employees!$C:$C,$CH25)</f>
        <v>4</v>
      </c>
      <c r="CM25" s="142"/>
      <c r="CN25" s="431"/>
      <c r="CO25" s="91" t="s">
        <v>18</v>
      </c>
      <c r="CP25" s="100" t="s">
        <v>20</v>
      </c>
      <c r="CQ25" s="178">
        <f t="shared" si="52"/>
        <v>0</v>
      </c>
      <c r="CR25" s="26">
        <f t="shared" si="41"/>
        <v>0.10465116279069768</v>
      </c>
      <c r="CS25" s="142"/>
      <c r="CU25" s="2"/>
      <c r="CV25" s="2"/>
      <c r="CW25" s="307"/>
      <c r="CX25" s="307"/>
      <c r="CY25" s="308"/>
      <c r="CZ25" s="226"/>
      <c r="DA25" s="226"/>
    </row>
    <row r="26" spans="2:105" ht="15.75" customHeight="1" thickBot="1">
      <c r="B26" s="136"/>
      <c r="C26" s="217" t="s">
        <v>128</v>
      </c>
      <c r="D26" s="808" t="s">
        <v>3</v>
      </c>
      <c r="E26" s="809"/>
      <c r="F26" s="128" t="s">
        <v>144</v>
      </c>
      <c r="G26" s="330"/>
      <c r="H26" s="825" t="s">
        <v>128</v>
      </c>
      <c r="I26" s="826"/>
      <c r="J26" s="739" t="s">
        <v>1</v>
      </c>
      <c r="K26" s="740"/>
      <c r="L26" s="676" t="s">
        <v>144</v>
      </c>
      <c r="M26" s="677"/>
      <c r="N26" s="330"/>
      <c r="O26" s="218" t="s">
        <v>128</v>
      </c>
      <c r="P26" s="217" t="s">
        <v>2</v>
      </c>
      <c r="Q26" s="711" t="s">
        <v>1</v>
      </c>
      <c r="R26" s="712"/>
      <c r="S26" s="128" t="s">
        <v>144</v>
      </c>
      <c r="T26" s="142"/>
      <c r="U26" s="136"/>
      <c r="V26" s="92" t="s">
        <v>18</v>
      </c>
      <c r="W26" s="101" t="s">
        <v>21</v>
      </c>
      <c r="X26" s="10">
        <f t="shared" si="27"/>
        <v>2</v>
      </c>
      <c r="Y26" s="10">
        <f t="shared" si="42"/>
        <v>5</v>
      </c>
      <c r="Z26" s="27">
        <f t="shared" si="28"/>
        <v>9.5238095238095247E-3</v>
      </c>
      <c r="AA26" s="133">
        <f t="shared" si="29"/>
        <v>1.937984496124031E-2</v>
      </c>
      <c r="AB26" s="153">
        <f t="shared" si="30"/>
        <v>2.5</v>
      </c>
      <c r="AC26" s="142"/>
      <c r="AD26" s="136"/>
      <c r="AE26" s="92" t="s">
        <v>18</v>
      </c>
      <c r="AF26" s="101" t="s">
        <v>21</v>
      </c>
      <c r="AG26" s="40">
        <f>COUNTIFS('Employee Leaves'!$B:$B,AE26,'Employee Leaves'!$C:$C,AF26)</f>
        <v>1</v>
      </c>
      <c r="AH26" s="415">
        <f>SUMIFS('Employee Leaves'!$G:$G,'Employee Leaves'!$B:$B,AE26,'Employee Leaves'!$C:$C,AF26)</f>
        <v>5</v>
      </c>
      <c r="AI26" s="330"/>
      <c r="AJ26" s="9">
        <f>SUMIFS('Employee Leaves'!$G:$G,'Employee Leaves'!$C:$C,AF26,'Employee Leaves'!$E:$E,$AJ$21)</f>
        <v>0</v>
      </c>
      <c r="AK26" s="58">
        <f>SUMIFS('Employee Leaves'!$G:$G,'Employee Leaves'!$C:$C,AF26,'Employee Leaves'!$E:$E,$AK$21)</f>
        <v>5</v>
      </c>
      <c r="AL26" s="26">
        <f t="shared" si="31"/>
        <v>0</v>
      </c>
      <c r="AM26" s="553" t="str">
        <f>IF(SUMIFS('Employee Leaves'!$G:$G,'Employee Leaves'!$C:$C,$AF26,'Employee Leaves'!$E:$E,"Sick",'Employee Leaves'!$F:$F,AM$21)+SUMIFS('Employee Leaves'!$G:$G,'Employee Leaves'!$C:$C,$AF26,'Employee Leaves'!$E:$E,"Others",'Employee Leaves'!$F:$F,AM$21)=0,"-",SUMIFS('Employee Leaves'!$G:$G,'Employee Leaves'!$C:$C,$AF26,'Employee Leaves'!$E:$E,"Sick",'Employee Leaves'!$F:$F,AM$21)+SUMIFS('Employee Leaves'!$G:$G,'Employee Leaves'!$C:$C,$AF26,'Employee Leaves'!$E:$E,"Others",'Employee Leaves'!$F:$F,AM$21))</f>
        <v>-</v>
      </c>
      <c r="AN26" s="538" t="str">
        <f>IF(SUMIFS('Employee Leaves'!$G:$G,'Employee Leaves'!$C:$C,$AF26,'Employee Leaves'!$E:$E,"Sick",'Employee Leaves'!$F:$F,AN$21)+SUMIFS('Employee Leaves'!$G:$G,'Employee Leaves'!$C:$C,$AF26,'Employee Leaves'!$E:$E,"Others",'Employee Leaves'!$F:$F,AN$21)=0,"-",SUMIFS('Employee Leaves'!$G:$G,'Employee Leaves'!$C:$C,$AF26,'Employee Leaves'!$E:$E,"Sick",'Employee Leaves'!$F:$F,AN$21)+SUMIFS('Employee Leaves'!$G:$G,'Employee Leaves'!$C:$C,$AF26,'Employee Leaves'!$E:$E,"Others",'Employee Leaves'!$F:$F,AN$21))</f>
        <v>-</v>
      </c>
      <c r="AO26" s="538" t="str">
        <f>IF(SUMIFS('Employee Leaves'!$G:$G,'Employee Leaves'!$C:$C,$AF26,'Employee Leaves'!$E:$E,"Sick",'Employee Leaves'!$F:$F,AO$21)+SUMIFS('Employee Leaves'!$G:$G,'Employee Leaves'!$C:$C,$AF26,'Employee Leaves'!$E:$E,"Others",'Employee Leaves'!$F:$F,AO$21)=0,"-",SUMIFS('Employee Leaves'!$G:$G,'Employee Leaves'!$C:$C,$AF26,'Employee Leaves'!$E:$E,"Sick",'Employee Leaves'!$F:$F,AO$21)+SUMIFS('Employee Leaves'!$G:$G,'Employee Leaves'!$C:$C,$AF26,'Employee Leaves'!$E:$E,"Others",'Employee Leaves'!$F:$F,AO$21))</f>
        <v>-</v>
      </c>
      <c r="AP26" s="538" t="str">
        <f>IF(SUMIFS('Employee Leaves'!$G:$G,'Employee Leaves'!$C:$C,$AF26,'Employee Leaves'!$E:$E,"Sick",'Employee Leaves'!$F:$F,AP$21)+SUMIFS('Employee Leaves'!$G:$G,'Employee Leaves'!$C:$C,$AF26,'Employee Leaves'!$E:$E,"Others",'Employee Leaves'!$F:$F,AP$21)=0,"-",SUMIFS('Employee Leaves'!$G:$G,'Employee Leaves'!$C:$C,$AF26,'Employee Leaves'!$E:$E,"Sick",'Employee Leaves'!$F:$F,AP$21)+SUMIFS('Employee Leaves'!$G:$G,'Employee Leaves'!$C:$C,$AF26,'Employee Leaves'!$E:$E,"Others",'Employee Leaves'!$F:$F,AP$21))</f>
        <v>-</v>
      </c>
      <c r="AQ26" s="538" t="str">
        <f>IF(SUMIFS('Employee Leaves'!$G:$G,'Employee Leaves'!$C:$C,$AF26,'Employee Leaves'!$E:$E,"Sick",'Employee Leaves'!$F:$F,AQ$21)+SUMIFS('Employee Leaves'!$G:$G,'Employee Leaves'!$C:$C,$AF26,'Employee Leaves'!$E:$E,"Others",'Employee Leaves'!$F:$F,AQ$21)=0,"-",SUMIFS('Employee Leaves'!$G:$G,'Employee Leaves'!$C:$C,$AF26,'Employee Leaves'!$E:$E,"Sick",'Employee Leaves'!$F:$F,AQ$21)+SUMIFS('Employee Leaves'!$G:$G,'Employee Leaves'!$C:$C,$AF26,'Employee Leaves'!$E:$E,"Others",'Employee Leaves'!$F:$F,AQ$21))</f>
        <v>-</v>
      </c>
      <c r="AR26" s="541" t="str">
        <f>IF(SUMIFS('Employee Leaves'!$G:$G,'Employee Leaves'!$C:$C,$AF26,'Employee Leaves'!$E:$E,"Sick",'Employee Leaves'!$F:$F,AR$21)+SUMIFS('Employee Leaves'!$G:$G,'Employee Leaves'!$C:$C,$AF26,'Employee Leaves'!$E:$E,"Others",'Employee Leaves'!$F:$F,AR$21)=0,"-",SUMIFS('Employee Leaves'!$G:$G,'Employee Leaves'!$C:$C,$AF26,'Employee Leaves'!$E:$E,"Sick",'Employee Leaves'!$F:$F,AR$21)+SUMIFS('Employee Leaves'!$G:$G,'Employee Leaves'!$C:$C,$AF26,'Employee Leaves'!$E:$E,"Others",'Employee Leaves'!$F:$F,AR$21))</f>
        <v>-</v>
      </c>
      <c r="AS26" s="330"/>
      <c r="AT26" s="520">
        <v>4</v>
      </c>
      <c r="AU26" s="526">
        <f>INDEX(Employees!$A:$A,MATCH($AZ26,Employees!$O:$O,0))</f>
        <v>3012</v>
      </c>
      <c r="AV26" s="526">
        <f>INDEX(Employees!$M:$M,MATCH($AZ26,Employees!$O:$O,0))</f>
        <v>10</v>
      </c>
      <c r="AW26" s="531" t="str">
        <f>INDEX(Employees!$B:$B,MATCH($AZ26,Employees!$O:$O,0))</f>
        <v>Marketing</v>
      </c>
      <c r="AX26" s="531" t="str">
        <f>INDEX(Employees!$C:$C,MATCH($AZ26,Employees!$O:$O,0))</f>
        <v>Leap</v>
      </c>
      <c r="AY26" s="527">
        <f>INDEX(Employees!$H:$H,MATCH($AZ26,Employees!$O:$O,0))</f>
        <v>7</v>
      </c>
      <c r="AZ26" s="416">
        <f>LARGE(Employees!$O:$O,AT13)</f>
        <v>10.332005312084993</v>
      </c>
      <c r="BA26" s="330"/>
      <c r="BB26" s="499">
        <f t="shared" si="25"/>
        <v>0</v>
      </c>
      <c r="BC26" s="502">
        <f t="shared" si="26"/>
        <v>10</v>
      </c>
      <c r="BD26" s="142"/>
      <c r="BE26" s="136"/>
      <c r="BF26" s="92" t="s">
        <v>18</v>
      </c>
      <c r="BG26" s="101" t="s">
        <v>21</v>
      </c>
      <c r="BH26" s="10">
        <f t="shared" si="32"/>
        <v>2</v>
      </c>
      <c r="BI26" s="4">
        <f t="shared" si="33"/>
        <v>5</v>
      </c>
      <c r="BJ26" s="4">
        <f>SUMIFS('Employee Leaves'!$G:$G,'Employee Leaves'!$C:$C,BG26,'Employee Leaves'!$E:$E,"Holiday")+SUMIFS('Employee Leaves'!$G:$G,'Employee Leaves'!$C:$C,BG26,'Employee Leaves'!$E:$E,"Paternity Leave")+SUMIFS('Employee Leaves'!$G:$G,'Employee Leaves'!$C:$C,BG26,'Employee Leaves'!$E:$E,"Maternity Leave")</f>
        <v>5</v>
      </c>
      <c r="BK26" s="4">
        <f>SUMIFS('Employee Leaves'!$G:$G,'Employee Leaves'!$C:$C,BG26,'Employee Leaves'!$E:$E,"Sick")+SUMIFS('Employee Leaves'!$G:$G,'Employee Leaves'!$C:$C,BG26,'Employee Leaves'!$E:$E,"Others")</f>
        <v>0</v>
      </c>
      <c r="BL26" s="225">
        <f t="shared" si="34"/>
        <v>4.0973333333333333</v>
      </c>
      <c r="BM26" s="27">
        <f t="shared" si="35"/>
        <v>1.937984496124031E-2</v>
      </c>
      <c r="BN26" s="252">
        <f t="shared" si="36"/>
        <v>2.5</v>
      </c>
      <c r="BO26" s="279">
        <v>30.73</v>
      </c>
      <c r="BP26" s="280">
        <f t="shared" si="43"/>
        <v>46.094999999999999</v>
      </c>
      <c r="BQ26" s="280">
        <f t="shared" si="44"/>
        <v>245.84</v>
      </c>
      <c r="BR26" s="280">
        <f t="shared" si="45"/>
        <v>276.57</v>
      </c>
      <c r="BS26" s="280">
        <f t="shared" si="46"/>
        <v>414.85500000000002</v>
      </c>
      <c r="BT26" s="280">
        <f t="shared" si="47"/>
        <v>2212.56</v>
      </c>
      <c r="BU26" s="281">
        <f t="shared" si="48"/>
        <v>1229.2</v>
      </c>
      <c r="BV26" s="281">
        <f t="shared" si="38"/>
        <v>460.95</v>
      </c>
      <c r="BW26" s="281">
        <f t="shared" si="49"/>
        <v>0</v>
      </c>
      <c r="BX26" s="281">
        <f t="shared" si="39"/>
        <v>460.95</v>
      </c>
      <c r="BY26" s="281">
        <f t="shared" si="50"/>
        <v>1690.15</v>
      </c>
      <c r="BZ26" s="222">
        <f t="shared" si="51"/>
        <v>845.07500000000005</v>
      </c>
      <c r="CA26" s="330"/>
      <c r="CB26" s="330"/>
      <c r="CC26" s="311" t="s">
        <v>152</v>
      </c>
      <c r="CD26" s="426" t="s">
        <v>153</v>
      </c>
      <c r="CE26" s="331" t="s">
        <v>115</v>
      </c>
      <c r="CF26" s="136"/>
      <c r="CG26" s="89" t="s">
        <v>18</v>
      </c>
      <c r="CH26" s="110" t="s">
        <v>21</v>
      </c>
      <c r="CI26" s="412">
        <f t="shared" si="40"/>
        <v>2</v>
      </c>
      <c r="CJ26" s="31">
        <f>COUNTIFS(Employees!$B:$B,$CG26,Employees!$C:$C,$CH26,Employees!G:G,"Resignation (Voluntary)")</f>
        <v>0</v>
      </c>
      <c r="CK26" s="32">
        <f>COUNTIFS(Employees!$B:$B,$CG26,Employees!$C:$C,$CH26,Employees!G:G,"Termination (Involuntary)")</f>
        <v>0</v>
      </c>
      <c r="CL26" s="53">
        <f>COUNTIFS(Employees!$B:$B,$CG26,Employees!$C:$C,$CH26)</f>
        <v>2</v>
      </c>
      <c r="CM26" s="142"/>
      <c r="CN26" s="431"/>
      <c r="CO26" s="92" t="s">
        <v>18</v>
      </c>
      <c r="CP26" s="101" t="s">
        <v>21</v>
      </c>
      <c r="CQ26" s="179">
        <f t="shared" si="52"/>
        <v>0</v>
      </c>
      <c r="CR26" s="27">
        <f t="shared" si="41"/>
        <v>1.937984496124031E-2</v>
      </c>
      <c r="CS26" s="142"/>
      <c r="CU26" s="219"/>
    </row>
    <row r="27" spans="2:105" ht="15.75" customHeight="1">
      <c r="B27" s="136"/>
      <c r="C27" s="211">
        <v>1</v>
      </c>
      <c r="D27" s="810" t="str">
        <f>INDEX($W$6:$W$10,MATCH(F27,$AA$6:$AA$10,0))</f>
        <v>Germany</v>
      </c>
      <c r="E27" s="811"/>
      <c r="F27" s="366">
        <f>LARGE($AA$6:$AA$10,C27)</f>
        <v>0.10852713178294573</v>
      </c>
      <c r="G27" s="330"/>
      <c r="H27" s="827">
        <v>1</v>
      </c>
      <c r="I27" s="828"/>
      <c r="J27" s="713" t="str">
        <f>INDEX($W$14:$W$18,MATCH(L27,$AA$14:$AA$18,0))</f>
        <v>Sales</v>
      </c>
      <c r="K27" s="714"/>
      <c r="L27" s="678">
        <f>LARGE($AA$14:$AA$18,H27)</f>
        <v>5.9196617336152217E-2</v>
      </c>
      <c r="M27" s="679"/>
      <c r="N27" s="330"/>
      <c r="O27" s="636">
        <v>1</v>
      </c>
      <c r="P27" s="208" t="str">
        <f>INDEX($W$22:$W$43,MATCH(S27,$AA$22:$AA$43,0))</f>
        <v>Leap</v>
      </c>
      <c r="Q27" s="713" t="str">
        <f>INDEX($V$22:$V$43,MATCH(S27,$AA$22:$AA$43,0))</f>
        <v>Marketing</v>
      </c>
      <c r="R27" s="714"/>
      <c r="S27" s="214">
        <f>LARGE($AA$22:$AA$43,1)</f>
        <v>0.10465116279069768</v>
      </c>
      <c r="T27" s="142"/>
      <c r="U27" s="136"/>
      <c r="V27" s="81" t="s">
        <v>7</v>
      </c>
      <c r="W27" s="102" t="s">
        <v>8</v>
      </c>
      <c r="X27" s="8">
        <f t="shared" si="27"/>
        <v>4</v>
      </c>
      <c r="Y27" s="8">
        <f t="shared" si="42"/>
        <v>25</v>
      </c>
      <c r="Z27" s="25">
        <f t="shared" si="28"/>
        <v>1.9047619047619049E-2</v>
      </c>
      <c r="AA27" s="131">
        <f t="shared" si="29"/>
        <v>4.8449612403100778E-2</v>
      </c>
      <c r="AB27" s="151">
        <f t="shared" si="30"/>
        <v>6.25</v>
      </c>
      <c r="AC27" s="142"/>
      <c r="AD27" s="136"/>
      <c r="AE27" s="81" t="s">
        <v>7</v>
      </c>
      <c r="AF27" s="102" t="s">
        <v>8</v>
      </c>
      <c r="AG27" s="8">
        <f>COUNTIFS('Employee Leaves'!$B:$B,AE27,'Employee Leaves'!$C:$C,AF27)</f>
        <v>4</v>
      </c>
      <c r="AH27" s="414">
        <f>SUMIFS('Employee Leaves'!$G:$G,'Employee Leaves'!$B:$B,AE27,'Employee Leaves'!$C:$C,AF27)</f>
        <v>25</v>
      </c>
      <c r="AI27" s="330"/>
      <c r="AJ27" s="9">
        <f>SUMIFS('Employee Leaves'!$G:$G,'Employee Leaves'!$C:$C,AF27,'Employee Leaves'!$E:$E,$AJ$21)</f>
        <v>10</v>
      </c>
      <c r="AK27" s="58">
        <f>SUMIFS('Employee Leaves'!$G:$G,'Employee Leaves'!$C:$C,AF27,'Employee Leaves'!$E:$E,$AK$21)</f>
        <v>15</v>
      </c>
      <c r="AL27" s="26">
        <f t="shared" si="31"/>
        <v>1.937984496124031E-2</v>
      </c>
      <c r="AM27" s="553">
        <f>IF(SUMIFS('Employee Leaves'!$G:$G,'Employee Leaves'!$C:$C,$AF27,'Employee Leaves'!$E:$E,"Sick",'Employee Leaves'!$F:$F,AM$21)+SUMIFS('Employee Leaves'!$G:$G,'Employee Leaves'!$C:$C,$AF27,'Employee Leaves'!$E:$E,"Others",'Employee Leaves'!$F:$F,AM$21)=0,"-",SUMIFS('Employee Leaves'!$G:$G,'Employee Leaves'!$C:$C,$AF27,'Employee Leaves'!$E:$E,"Sick",'Employee Leaves'!$F:$F,AM$21)+SUMIFS('Employee Leaves'!$G:$G,'Employee Leaves'!$C:$C,$AF27,'Employee Leaves'!$E:$E,"Others",'Employee Leaves'!$F:$F,AM$21))</f>
        <v>6</v>
      </c>
      <c r="AN27" s="538" t="str">
        <f>IF(SUMIFS('Employee Leaves'!$G:$G,'Employee Leaves'!$C:$C,$AF27,'Employee Leaves'!$E:$E,"Sick",'Employee Leaves'!$F:$F,AN$21)+SUMIFS('Employee Leaves'!$G:$G,'Employee Leaves'!$C:$C,$AF27,'Employee Leaves'!$E:$E,"Others",'Employee Leaves'!$F:$F,AN$21)=0,"-",SUMIFS('Employee Leaves'!$G:$G,'Employee Leaves'!$C:$C,$AF27,'Employee Leaves'!$E:$E,"Sick",'Employee Leaves'!$F:$F,AN$21)+SUMIFS('Employee Leaves'!$G:$G,'Employee Leaves'!$C:$C,$AF27,'Employee Leaves'!$E:$E,"Others",'Employee Leaves'!$F:$F,AN$21))</f>
        <v>-</v>
      </c>
      <c r="AO27" s="538">
        <f>IF(SUMIFS('Employee Leaves'!$G:$G,'Employee Leaves'!$C:$C,$AF27,'Employee Leaves'!$E:$E,"Sick",'Employee Leaves'!$F:$F,AO$21)+SUMIFS('Employee Leaves'!$G:$G,'Employee Leaves'!$C:$C,$AF27,'Employee Leaves'!$E:$E,"Others",'Employee Leaves'!$F:$F,AO$21)=0,"-",SUMIFS('Employee Leaves'!$G:$G,'Employee Leaves'!$C:$C,$AF27,'Employee Leaves'!$E:$E,"Sick",'Employee Leaves'!$F:$F,AO$21)+SUMIFS('Employee Leaves'!$G:$G,'Employee Leaves'!$C:$C,$AF27,'Employee Leaves'!$E:$E,"Others",'Employee Leaves'!$F:$F,AO$21))</f>
        <v>4</v>
      </c>
      <c r="AP27" s="538" t="str">
        <f>IF(SUMIFS('Employee Leaves'!$G:$G,'Employee Leaves'!$C:$C,$AF27,'Employee Leaves'!$E:$E,"Sick",'Employee Leaves'!$F:$F,AP$21)+SUMIFS('Employee Leaves'!$G:$G,'Employee Leaves'!$C:$C,$AF27,'Employee Leaves'!$E:$E,"Others",'Employee Leaves'!$F:$F,AP$21)=0,"-",SUMIFS('Employee Leaves'!$G:$G,'Employee Leaves'!$C:$C,$AF27,'Employee Leaves'!$E:$E,"Sick",'Employee Leaves'!$F:$F,AP$21)+SUMIFS('Employee Leaves'!$G:$G,'Employee Leaves'!$C:$C,$AF27,'Employee Leaves'!$E:$E,"Others",'Employee Leaves'!$F:$F,AP$21))</f>
        <v>-</v>
      </c>
      <c r="AQ27" s="538" t="str">
        <f>IF(SUMIFS('Employee Leaves'!$G:$G,'Employee Leaves'!$C:$C,$AF27,'Employee Leaves'!$E:$E,"Sick",'Employee Leaves'!$F:$F,AQ$21)+SUMIFS('Employee Leaves'!$G:$G,'Employee Leaves'!$C:$C,$AF27,'Employee Leaves'!$E:$E,"Others",'Employee Leaves'!$F:$F,AQ$21)=0,"-",SUMIFS('Employee Leaves'!$G:$G,'Employee Leaves'!$C:$C,$AF27,'Employee Leaves'!$E:$E,"Sick",'Employee Leaves'!$F:$F,AQ$21)+SUMIFS('Employee Leaves'!$G:$G,'Employee Leaves'!$C:$C,$AF27,'Employee Leaves'!$E:$E,"Others",'Employee Leaves'!$F:$F,AQ$21))</f>
        <v>-</v>
      </c>
      <c r="AR27" s="541" t="str">
        <f>IF(SUMIFS('Employee Leaves'!$G:$G,'Employee Leaves'!$C:$C,$AF27,'Employee Leaves'!$E:$E,"Sick",'Employee Leaves'!$F:$F,AR$21)+SUMIFS('Employee Leaves'!$G:$G,'Employee Leaves'!$C:$C,$AF27,'Employee Leaves'!$E:$E,"Others",'Employee Leaves'!$F:$F,AR$21)=0,"-",SUMIFS('Employee Leaves'!$G:$G,'Employee Leaves'!$C:$C,$AF27,'Employee Leaves'!$E:$E,"Sick",'Employee Leaves'!$F:$F,AR$21)+SUMIFS('Employee Leaves'!$G:$G,'Employee Leaves'!$C:$C,$AF27,'Employee Leaves'!$E:$E,"Others",'Employee Leaves'!$F:$F,AR$21))</f>
        <v>-</v>
      </c>
      <c r="AS27" s="330"/>
      <c r="AT27" s="520">
        <v>5</v>
      </c>
      <c r="AU27" s="526">
        <f>INDEX(Employees!$A:$A,MATCH($AZ27,Employees!$O:$O,0))</f>
        <v>3015</v>
      </c>
      <c r="AV27" s="526">
        <f>INDEX(Employees!$M:$M,MATCH($AZ27,Employees!$O:$O,0))</f>
        <v>10</v>
      </c>
      <c r="AW27" s="531" t="str">
        <f>INDEX(Employees!$B:$B,MATCH($AZ27,Employees!$O:$O,0))</f>
        <v>Marketing</v>
      </c>
      <c r="AX27" s="531" t="str">
        <f>INDEX(Employees!$C:$C,MATCH($AZ27,Employees!$O:$O,0))</f>
        <v>Leap</v>
      </c>
      <c r="AY27" s="527">
        <f>INDEX(Employees!$H:$H,MATCH($AZ27,Employees!$O:$O,0))</f>
        <v>10</v>
      </c>
      <c r="AZ27" s="416">
        <f>LARGE(Employees!$O:$O,AT14)</f>
        <v>10.33167495854063</v>
      </c>
      <c r="BA27" s="330"/>
      <c r="BB27" s="499">
        <f t="shared" si="25"/>
        <v>8</v>
      </c>
      <c r="BC27" s="502">
        <f t="shared" si="26"/>
        <v>10</v>
      </c>
      <c r="BD27" s="142"/>
      <c r="BE27" s="136"/>
      <c r="BF27" s="81" t="s">
        <v>7</v>
      </c>
      <c r="BG27" s="102" t="s">
        <v>8</v>
      </c>
      <c r="BH27" s="8">
        <f t="shared" si="32"/>
        <v>4</v>
      </c>
      <c r="BI27" s="11">
        <f t="shared" si="33"/>
        <v>25</v>
      </c>
      <c r="BJ27" s="11">
        <f>SUMIFS('Employee Leaves'!$G:$G,'Employee Leaves'!$C:$C,BG27,'Employee Leaves'!$E:$E,"Holiday")+SUMIFS('Employee Leaves'!$G:$G,'Employee Leaves'!$C:$C,BG27,'Employee Leaves'!$E:$E,"Paternity Leave")+SUMIFS('Employee Leaves'!$G:$G,'Employee Leaves'!$C:$C,BG27,'Employee Leaves'!$E:$E,"Maternity Leave")</f>
        <v>15</v>
      </c>
      <c r="BK27" s="11">
        <f>SUMIFS('Employee Leaves'!$G:$G,'Employee Leaves'!$C:$C,BG27,'Employee Leaves'!$E:$E,"Sick")+SUMIFS('Employee Leaves'!$G:$G,'Employee Leaves'!$C:$C,BG27,'Employee Leaves'!$E:$E,"Others")</f>
        <v>10</v>
      </c>
      <c r="BL27" s="223">
        <f t="shared" si="34"/>
        <v>5.9833333333333325</v>
      </c>
      <c r="BM27" s="25">
        <f t="shared" si="35"/>
        <v>4.8449612403100778E-2</v>
      </c>
      <c r="BN27" s="250">
        <f t="shared" si="36"/>
        <v>6.25</v>
      </c>
      <c r="BO27" s="271">
        <v>35.9</v>
      </c>
      <c r="BP27" s="272">
        <f t="shared" si="43"/>
        <v>53.849999999999994</v>
      </c>
      <c r="BQ27" s="272">
        <f t="shared" si="44"/>
        <v>287.2</v>
      </c>
      <c r="BR27" s="272">
        <f t="shared" si="45"/>
        <v>323.09999999999997</v>
      </c>
      <c r="BS27" s="272">
        <f>BP27*$BH$22</f>
        <v>484.65</v>
      </c>
      <c r="BT27" s="272">
        <f t="shared" si="47"/>
        <v>2584.7999999999997</v>
      </c>
      <c r="BU27" s="277">
        <f t="shared" si="48"/>
        <v>7180</v>
      </c>
      <c r="BV27" s="277">
        <f t="shared" si="38"/>
        <v>1615.4999999999998</v>
      </c>
      <c r="BW27" s="277">
        <f t="shared" si="49"/>
        <v>4308</v>
      </c>
      <c r="BX27" s="277">
        <f t="shared" si="39"/>
        <v>5923.5</v>
      </c>
      <c r="BY27" s="277">
        <f t="shared" si="50"/>
        <v>13103.5</v>
      </c>
      <c r="BZ27" s="220">
        <f t="shared" si="51"/>
        <v>3275.875</v>
      </c>
      <c r="CA27" s="330"/>
      <c r="CB27" s="330"/>
      <c r="CC27" s="311" t="s">
        <v>154</v>
      </c>
      <c r="CD27" s="426" t="s">
        <v>155</v>
      </c>
      <c r="CE27" s="331" t="s">
        <v>115</v>
      </c>
      <c r="CF27" s="136"/>
      <c r="CG27" s="84" t="s">
        <v>7</v>
      </c>
      <c r="CH27" s="105" t="s">
        <v>8</v>
      </c>
      <c r="CI27" s="409">
        <f t="shared" si="40"/>
        <v>3</v>
      </c>
      <c r="CJ27" s="50">
        <f>COUNTIFS(Employees!$B:$B,$CG27,Employees!$C:$C,$CH27,Employees!G:G,"Resignation (Voluntary)")</f>
        <v>1</v>
      </c>
      <c r="CK27" s="51">
        <f>COUNTIFS(Employees!$B:$B,$CG27,Employees!$C:$C,$CH27,Employees!G:G,"Termination (Involuntary)")</f>
        <v>0</v>
      </c>
      <c r="CL27" s="54">
        <f>COUNTIFS(Employees!$B:$B,$CG27,Employees!$C:$C,$CH27)</f>
        <v>4</v>
      </c>
      <c r="CM27" s="142"/>
      <c r="CN27" s="431"/>
      <c r="CO27" s="81" t="s">
        <v>7</v>
      </c>
      <c r="CP27" s="102" t="s">
        <v>8</v>
      </c>
      <c r="CQ27" s="177">
        <f t="shared" si="52"/>
        <v>0.2857142857142857</v>
      </c>
      <c r="CR27" s="25">
        <f t="shared" si="41"/>
        <v>4.8449612403100778E-2</v>
      </c>
      <c r="CS27" s="142"/>
    </row>
    <row r="28" spans="2:105" ht="15.75" customHeight="1">
      <c r="B28" s="136"/>
      <c r="C28" s="212">
        <v>2</v>
      </c>
      <c r="D28" s="812" t="str">
        <f>INDEX($W$6:$W$10,MATCH(F28,$AA$6:$AA$10,0))</f>
        <v>Romania</v>
      </c>
      <c r="E28" s="813"/>
      <c r="F28" s="367">
        <f>LARGE($AA$6:$AA$10,C28)</f>
        <v>6.3953488372093026E-2</v>
      </c>
      <c r="G28" s="330"/>
      <c r="H28" s="666">
        <v>2</v>
      </c>
      <c r="I28" s="667"/>
      <c r="J28" s="709" t="str">
        <f t="shared" ref="J28:J31" si="53">INDEX($W$14:$W$18,MATCH(L28,$AA$14:$AA$18,0))</f>
        <v>Marketing</v>
      </c>
      <c r="K28" s="710"/>
      <c r="L28" s="680">
        <f>LARGE($AA$14:$AA$18,H28)</f>
        <v>3.9276485788113692E-2</v>
      </c>
      <c r="M28" s="681"/>
      <c r="N28" s="330"/>
      <c r="O28" s="212">
        <v>2</v>
      </c>
      <c r="P28" s="209" t="str">
        <f>INDEX($W$22:$W$43,MATCH(S28,$AA$22:$AA$43,0))</f>
        <v>Security &amp; Auth</v>
      </c>
      <c r="Q28" s="709" t="str">
        <f>INDEX($V$22:$V$43,MATCH(S28,$AA$22:$AA$43,0))</f>
        <v>Product &amp; Engineering</v>
      </c>
      <c r="R28" s="710"/>
      <c r="S28" s="215">
        <f>LARGE($AA$22:$AA$43,2)</f>
        <v>7.3643410852713184E-2</v>
      </c>
      <c r="T28" s="142"/>
      <c r="U28" s="136"/>
      <c r="V28" s="82" t="s">
        <v>7</v>
      </c>
      <c r="W28" s="103" t="s">
        <v>10</v>
      </c>
      <c r="X28" s="9">
        <f t="shared" si="27"/>
        <v>8</v>
      </c>
      <c r="Y28" s="9">
        <f t="shared" si="42"/>
        <v>25</v>
      </c>
      <c r="Z28" s="26">
        <f t="shared" si="28"/>
        <v>3.8095238095238099E-2</v>
      </c>
      <c r="AA28" s="132">
        <f t="shared" si="29"/>
        <v>2.4224806201550389E-2</v>
      </c>
      <c r="AB28" s="152">
        <f t="shared" si="30"/>
        <v>3.125</v>
      </c>
      <c r="AC28" s="142"/>
      <c r="AD28" s="136"/>
      <c r="AE28" s="82" t="s">
        <v>7</v>
      </c>
      <c r="AF28" s="103" t="s">
        <v>10</v>
      </c>
      <c r="AG28" s="9">
        <f>COUNTIFS('Employee Leaves'!$B:$B,AE28,'Employee Leaves'!$C:$C,AF28)</f>
        <v>5</v>
      </c>
      <c r="AH28" s="416">
        <f>SUMIFS('Employee Leaves'!$G:$G,'Employee Leaves'!$B:$B,AE28,'Employee Leaves'!$C:$C,AF28)</f>
        <v>25</v>
      </c>
      <c r="AI28" s="330"/>
      <c r="AJ28" s="9">
        <f>SUMIFS('Employee Leaves'!$G:$G,'Employee Leaves'!$C:$C,AF28,'Employee Leaves'!$E:$E,$AJ$21)</f>
        <v>22</v>
      </c>
      <c r="AK28" s="58">
        <f>SUMIFS('Employee Leaves'!$G:$G,'Employee Leaves'!$C:$C,AF28,'Employee Leaves'!$E:$E,$AK$21)</f>
        <v>0</v>
      </c>
      <c r="AL28" s="26">
        <f t="shared" si="31"/>
        <v>2.1317829457364341E-2</v>
      </c>
      <c r="AM28" s="553">
        <f>IF(SUMIFS('Employee Leaves'!$G:$G,'Employee Leaves'!$C:$C,$AF28,'Employee Leaves'!$E:$E,"Sick",'Employee Leaves'!$F:$F,AM$21)+SUMIFS('Employee Leaves'!$G:$G,'Employee Leaves'!$C:$C,$AF28,'Employee Leaves'!$E:$E,"Others",'Employee Leaves'!$F:$F,AM$21)=0,"-",SUMIFS('Employee Leaves'!$G:$G,'Employee Leaves'!$C:$C,$AF28,'Employee Leaves'!$E:$E,"Sick",'Employee Leaves'!$F:$F,AM$21)+SUMIFS('Employee Leaves'!$G:$G,'Employee Leaves'!$C:$C,$AF28,'Employee Leaves'!$E:$E,"Others",'Employee Leaves'!$F:$F,AM$21))</f>
        <v>3</v>
      </c>
      <c r="AN28" s="538" t="str">
        <f>IF(SUMIFS('Employee Leaves'!$G:$G,'Employee Leaves'!$C:$C,$AF28,'Employee Leaves'!$E:$E,"Sick",'Employee Leaves'!$F:$F,AN$21)+SUMIFS('Employee Leaves'!$G:$G,'Employee Leaves'!$C:$C,$AF28,'Employee Leaves'!$E:$E,"Others",'Employee Leaves'!$F:$F,AN$21)=0,"-",SUMIFS('Employee Leaves'!$G:$G,'Employee Leaves'!$C:$C,$AF28,'Employee Leaves'!$E:$E,"Sick",'Employee Leaves'!$F:$F,AN$21)+SUMIFS('Employee Leaves'!$G:$G,'Employee Leaves'!$C:$C,$AF28,'Employee Leaves'!$E:$E,"Others",'Employee Leaves'!$F:$F,AN$21))</f>
        <v>-</v>
      </c>
      <c r="AO28" s="538">
        <f>IF(SUMIFS('Employee Leaves'!$G:$G,'Employee Leaves'!$C:$C,$AF28,'Employee Leaves'!$E:$E,"Sick",'Employee Leaves'!$F:$F,AO$21)+SUMIFS('Employee Leaves'!$G:$G,'Employee Leaves'!$C:$C,$AF28,'Employee Leaves'!$E:$E,"Others",'Employee Leaves'!$F:$F,AO$21)=0,"-",SUMIFS('Employee Leaves'!$G:$G,'Employee Leaves'!$C:$C,$AF28,'Employee Leaves'!$E:$E,"Sick",'Employee Leaves'!$F:$F,AO$21)+SUMIFS('Employee Leaves'!$G:$G,'Employee Leaves'!$C:$C,$AF28,'Employee Leaves'!$E:$E,"Others",'Employee Leaves'!$F:$F,AO$21))</f>
        <v>6</v>
      </c>
      <c r="AP28" s="538">
        <f>IF(SUMIFS('Employee Leaves'!$G:$G,'Employee Leaves'!$C:$C,$AF28,'Employee Leaves'!$E:$E,"Sick",'Employee Leaves'!$F:$F,AP$21)+SUMIFS('Employee Leaves'!$G:$G,'Employee Leaves'!$C:$C,$AF28,'Employee Leaves'!$E:$E,"Others",'Employee Leaves'!$F:$F,AP$21)=0,"-",SUMIFS('Employee Leaves'!$G:$G,'Employee Leaves'!$C:$C,$AF28,'Employee Leaves'!$E:$E,"Sick",'Employee Leaves'!$F:$F,AP$21)+SUMIFS('Employee Leaves'!$G:$G,'Employee Leaves'!$C:$C,$AF28,'Employee Leaves'!$E:$E,"Others",'Employee Leaves'!$F:$F,AP$21))</f>
        <v>10</v>
      </c>
      <c r="AQ28" s="538">
        <f>IF(SUMIFS('Employee Leaves'!$G:$G,'Employee Leaves'!$C:$C,$AF28,'Employee Leaves'!$E:$E,"Sick",'Employee Leaves'!$F:$F,AQ$21)+SUMIFS('Employee Leaves'!$G:$G,'Employee Leaves'!$C:$C,$AF28,'Employee Leaves'!$E:$E,"Others",'Employee Leaves'!$F:$F,AQ$21)=0,"-",SUMIFS('Employee Leaves'!$G:$G,'Employee Leaves'!$C:$C,$AF28,'Employee Leaves'!$E:$E,"Sick",'Employee Leaves'!$F:$F,AQ$21)+SUMIFS('Employee Leaves'!$G:$G,'Employee Leaves'!$C:$C,$AF28,'Employee Leaves'!$E:$E,"Others",'Employee Leaves'!$F:$F,AQ$21))</f>
        <v>6</v>
      </c>
      <c r="AR28" s="541" t="str">
        <f>IF(SUMIFS('Employee Leaves'!$G:$G,'Employee Leaves'!$C:$C,$AF28,'Employee Leaves'!$E:$E,"Sick",'Employee Leaves'!$F:$F,AR$21)+SUMIFS('Employee Leaves'!$G:$G,'Employee Leaves'!$C:$C,$AF28,'Employee Leaves'!$E:$E,"Others",'Employee Leaves'!$F:$F,AR$21)=0,"-",SUMIFS('Employee Leaves'!$G:$G,'Employee Leaves'!$C:$C,$AF28,'Employee Leaves'!$E:$E,"Sick",'Employee Leaves'!$F:$F,AR$21)+SUMIFS('Employee Leaves'!$G:$G,'Employee Leaves'!$C:$C,$AF28,'Employee Leaves'!$E:$E,"Others",'Employee Leaves'!$F:$F,AR$21))</f>
        <v>-</v>
      </c>
      <c r="AS28" s="330"/>
      <c r="AT28" s="520">
        <v>6</v>
      </c>
      <c r="AU28" s="526">
        <f>INDEX(Employees!$A:$A,MATCH($AZ28,Employees!$O:$O,0))</f>
        <v>4010</v>
      </c>
      <c r="AV28" s="526">
        <f>INDEX(Employees!$M:$M,MATCH($AZ28,Employees!$O:$O,0))</f>
        <v>10</v>
      </c>
      <c r="AW28" s="531" t="str">
        <f>INDEX(Employees!$B:$B,MATCH($AZ28,Employees!$O:$O,0))</f>
        <v>Product &amp; Engineering</v>
      </c>
      <c r="AX28" s="531" t="str">
        <f>INDEX(Employees!$C:$C,MATCH($AZ28,Employees!$O:$O,0))</f>
        <v>Foundations</v>
      </c>
      <c r="AY28" s="527">
        <f>INDEX(Employees!$H:$H,MATCH($AZ28,Employees!$O:$O,0))</f>
        <v>0</v>
      </c>
      <c r="AZ28" s="416">
        <f>LARGE(Employees!$O:$O,AT15)</f>
        <v>10.24937655860349</v>
      </c>
      <c r="BA28" s="330"/>
      <c r="BB28" s="499">
        <f t="shared" si="25"/>
        <v>0</v>
      </c>
      <c r="BC28" s="502">
        <f t="shared" si="26"/>
        <v>10</v>
      </c>
      <c r="BD28" s="142"/>
      <c r="BE28" s="136"/>
      <c r="BF28" s="82" t="s">
        <v>7</v>
      </c>
      <c r="BG28" s="103" t="s">
        <v>10</v>
      </c>
      <c r="BH28" s="9">
        <f t="shared" si="32"/>
        <v>8</v>
      </c>
      <c r="BI28" s="3">
        <f t="shared" si="33"/>
        <v>25</v>
      </c>
      <c r="BJ28" s="3">
        <f>SUMIFS('Employee Leaves'!$G:$G,'Employee Leaves'!$C:$C,BG28,'Employee Leaves'!$E:$E,"Holiday")+SUMIFS('Employee Leaves'!$G:$G,'Employee Leaves'!$C:$C,BG28,'Employee Leaves'!$E:$E,"Paternity Leave")+SUMIFS('Employee Leaves'!$G:$G,'Employee Leaves'!$C:$C,BG28,'Employee Leaves'!$E:$E,"Maternity Leave")</f>
        <v>0</v>
      </c>
      <c r="BK28" s="3">
        <f>SUMIFS('Employee Leaves'!$G:$G,'Employee Leaves'!$C:$C,BG28,'Employee Leaves'!$E:$E,"Sick")+SUMIFS('Employee Leaves'!$G:$G,'Employee Leaves'!$C:$C,BG28,'Employee Leaves'!$E:$E,"Others")</f>
        <v>25</v>
      </c>
      <c r="BL28" s="224">
        <f t="shared" si="34"/>
        <v>11.45</v>
      </c>
      <c r="BM28" s="26">
        <f t="shared" si="35"/>
        <v>2.4224806201550389E-2</v>
      </c>
      <c r="BN28" s="251">
        <f t="shared" si="36"/>
        <v>3.125</v>
      </c>
      <c r="BO28" s="273">
        <v>34.35</v>
      </c>
      <c r="BP28" s="270">
        <f t="shared" si="43"/>
        <v>51.525000000000006</v>
      </c>
      <c r="BQ28" s="270">
        <f>BO28*8</f>
        <v>274.8</v>
      </c>
      <c r="BR28" s="270">
        <f t="shared" si="45"/>
        <v>309.15000000000003</v>
      </c>
      <c r="BS28" s="270">
        <f t="shared" si="46"/>
        <v>463.72500000000002</v>
      </c>
      <c r="BT28" s="270">
        <f t="shared" si="47"/>
        <v>2473.2000000000003</v>
      </c>
      <c r="BU28" s="278">
        <f t="shared" si="48"/>
        <v>6870</v>
      </c>
      <c r="BV28" s="278">
        <f t="shared" si="38"/>
        <v>0</v>
      </c>
      <c r="BW28" s="278">
        <f t="shared" si="49"/>
        <v>10305.000000000002</v>
      </c>
      <c r="BX28" s="278">
        <f t="shared" si="39"/>
        <v>10305.000000000002</v>
      </c>
      <c r="BY28" s="278">
        <f t="shared" si="50"/>
        <v>17175</v>
      </c>
      <c r="BZ28" s="221">
        <f t="shared" si="51"/>
        <v>2146.875</v>
      </c>
      <c r="CA28" s="330"/>
      <c r="CB28" s="330"/>
      <c r="CC28" s="311" t="s">
        <v>156</v>
      </c>
      <c r="CD28" s="426" t="s">
        <v>157</v>
      </c>
      <c r="CE28" s="331" t="s">
        <v>115</v>
      </c>
      <c r="CF28" s="136"/>
      <c r="CG28" s="85" t="s">
        <v>7</v>
      </c>
      <c r="CH28" s="106" t="s">
        <v>10</v>
      </c>
      <c r="CI28" s="411">
        <f t="shared" si="40"/>
        <v>7</v>
      </c>
      <c r="CJ28" s="29">
        <f>COUNTIFS(Employees!$B:$B,$CG28,Employees!$C:$C,$CH28,Employees!G:G,"Resignation (Voluntary)")</f>
        <v>0</v>
      </c>
      <c r="CK28" s="30">
        <f>COUNTIFS(Employees!$B:$B,$CG28,Employees!$C:$C,$CH28,Employees!G:G,"Termination (Involuntary)")</f>
        <v>1</v>
      </c>
      <c r="CL28" s="52">
        <f>COUNTIFS(Employees!$B:$B,$CG28,Employees!$C:$C,$CH28)</f>
        <v>8</v>
      </c>
      <c r="CM28" s="142"/>
      <c r="CN28" s="431"/>
      <c r="CO28" s="82" t="s">
        <v>7</v>
      </c>
      <c r="CP28" s="103" t="s">
        <v>10</v>
      </c>
      <c r="CQ28" s="178">
        <f t="shared" si="52"/>
        <v>0.13333333333333333</v>
      </c>
      <c r="CR28" s="26">
        <f t="shared" si="41"/>
        <v>2.4224806201550389E-2</v>
      </c>
      <c r="CS28" s="142"/>
    </row>
    <row r="29" spans="2:105" ht="15.75" customHeight="1" thickBot="1">
      <c r="B29" s="136"/>
      <c r="C29" s="212">
        <v>3</v>
      </c>
      <c r="D29" s="812" t="str">
        <f>INDEX($W$6:$W$10,MATCH(F29,$AA$6:$AA$10,0))</f>
        <v>Spain</v>
      </c>
      <c r="E29" s="813"/>
      <c r="F29" s="367">
        <f>LARGE($AA$6:$AA$10,C29)</f>
        <v>4.3604651162790699E-2</v>
      </c>
      <c r="G29" s="330"/>
      <c r="H29" s="666">
        <v>3</v>
      </c>
      <c r="I29" s="667"/>
      <c r="J29" s="709" t="str">
        <f t="shared" si="53"/>
        <v>Customer Experience</v>
      </c>
      <c r="K29" s="710"/>
      <c r="L29" s="680">
        <f>LARGE($AA$14:$AA$18,H29)</f>
        <v>3.4883720930232558E-2</v>
      </c>
      <c r="M29" s="681"/>
      <c r="N29" s="330"/>
      <c r="O29" s="212">
        <v>3</v>
      </c>
      <c r="P29" s="209" t="str">
        <f>INDEX($W$22:$W$43,MATCH(S29,$AA$22:$AA$43,0))</f>
        <v>Sales</v>
      </c>
      <c r="Q29" s="709" t="str">
        <f>INDEX($V$22:$V$43,MATCH(S29,$AA$22:$AA$43,0))</f>
        <v>Sales</v>
      </c>
      <c r="R29" s="710"/>
      <c r="S29" s="215">
        <f>LARGE($AA$22:$AA$43,3)</f>
        <v>5.9196617336152217E-2</v>
      </c>
      <c r="T29" s="142"/>
      <c r="U29" s="136"/>
      <c r="V29" s="82" t="s">
        <v>7</v>
      </c>
      <c r="W29" s="103" t="s">
        <v>12</v>
      </c>
      <c r="X29" s="9">
        <f t="shared" si="27"/>
        <v>5</v>
      </c>
      <c r="Y29" s="9">
        <f>AH29</f>
        <v>5</v>
      </c>
      <c r="Z29" s="26">
        <f t="shared" si="28"/>
        <v>2.3809523809523808E-2</v>
      </c>
      <c r="AA29" s="132">
        <f t="shared" si="29"/>
        <v>7.7519379844961239E-3</v>
      </c>
      <c r="AB29" s="152">
        <f t="shared" si="30"/>
        <v>1</v>
      </c>
      <c r="AC29" s="142"/>
      <c r="AD29" s="136"/>
      <c r="AE29" s="82" t="s">
        <v>7</v>
      </c>
      <c r="AF29" s="103" t="s">
        <v>12</v>
      </c>
      <c r="AG29" s="9">
        <f>COUNTIFS('Employee Leaves'!$B:$B,AE29,'Employee Leaves'!$C:$C,AF29)</f>
        <v>1</v>
      </c>
      <c r="AH29" s="416">
        <f>SUMIFS('Employee Leaves'!$G:$G,'Employee Leaves'!$B:$B,AE29,'Employee Leaves'!$C:$C,AF29)</f>
        <v>5</v>
      </c>
      <c r="AI29" s="330"/>
      <c r="AJ29" s="9">
        <f>SUMIFS('Employee Leaves'!$G:$G,'Employee Leaves'!$C:$C,AF29,'Employee Leaves'!$E:$E,$AJ$21)</f>
        <v>0</v>
      </c>
      <c r="AK29" s="58">
        <f>SUMIFS('Employee Leaves'!$G:$G,'Employee Leaves'!$C:$C,AF29,'Employee Leaves'!$E:$E,$AK$21)</f>
        <v>5</v>
      </c>
      <c r="AL29" s="26">
        <f t="shared" si="31"/>
        <v>0</v>
      </c>
      <c r="AM29" s="553" t="str">
        <f>IF(SUMIFS('Employee Leaves'!$G:$G,'Employee Leaves'!$C:$C,$AF29,'Employee Leaves'!$E:$E,"Sick",'Employee Leaves'!$F:$F,AM$21)+SUMIFS('Employee Leaves'!$G:$G,'Employee Leaves'!$C:$C,$AF29,'Employee Leaves'!$E:$E,"Others",'Employee Leaves'!$F:$F,AM$21)=0,"-",SUMIFS('Employee Leaves'!$G:$G,'Employee Leaves'!$C:$C,$AF29,'Employee Leaves'!$E:$E,"Sick",'Employee Leaves'!$F:$F,AM$21)+SUMIFS('Employee Leaves'!$G:$G,'Employee Leaves'!$C:$C,$AF29,'Employee Leaves'!$E:$E,"Others",'Employee Leaves'!$F:$F,AM$21))</f>
        <v>-</v>
      </c>
      <c r="AN29" s="538" t="str">
        <f>IF(SUMIFS('Employee Leaves'!$G:$G,'Employee Leaves'!$C:$C,$AF29,'Employee Leaves'!$E:$E,"Sick",'Employee Leaves'!$F:$F,AN$21)+SUMIFS('Employee Leaves'!$G:$G,'Employee Leaves'!$C:$C,$AF29,'Employee Leaves'!$E:$E,"Others",'Employee Leaves'!$F:$F,AN$21)=0,"-",SUMIFS('Employee Leaves'!$G:$G,'Employee Leaves'!$C:$C,$AF29,'Employee Leaves'!$E:$E,"Sick",'Employee Leaves'!$F:$F,AN$21)+SUMIFS('Employee Leaves'!$G:$G,'Employee Leaves'!$C:$C,$AF29,'Employee Leaves'!$E:$E,"Others",'Employee Leaves'!$F:$F,AN$21))</f>
        <v>-</v>
      </c>
      <c r="AO29" s="538" t="str">
        <f>IF(SUMIFS('Employee Leaves'!$G:$G,'Employee Leaves'!$C:$C,$AF29,'Employee Leaves'!$E:$E,"Sick",'Employee Leaves'!$F:$F,AO$21)+SUMIFS('Employee Leaves'!$G:$G,'Employee Leaves'!$C:$C,$AF29,'Employee Leaves'!$E:$E,"Others",'Employee Leaves'!$F:$F,AO$21)=0,"-",SUMIFS('Employee Leaves'!$G:$G,'Employee Leaves'!$C:$C,$AF29,'Employee Leaves'!$E:$E,"Sick",'Employee Leaves'!$F:$F,AO$21)+SUMIFS('Employee Leaves'!$G:$G,'Employee Leaves'!$C:$C,$AF29,'Employee Leaves'!$E:$E,"Others",'Employee Leaves'!$F:$F,AO$21))</f>
        <v>-</v>
      </c>
      <c r="AP29" s="538" t="str">
        <f>IF(SUMIFS('Employee Leaves'!$G:$G,'Employee Leaves'!$C:$C,$AF29,'Employee Leaves'!$E:$E,"Sick",'Employee Leaves'!$F:$F,AP$21)+SUMIFS('Employee Leaves'!$G:$G,'Employee Leaves'!$C:$C,$AF29,'Employee Leaves'!$E:$E,"Others",'Employee Leaves'!$F:$F,AP$21)=0,"-",SUMIFS('Employee Leaves'!$G:$G,'Employee Leaves'!$C:$C,$AF29,'Employee Leaves'!$E:$E,"Sick",'Employee Leaves'!$F:$F,AP$21)+SUMIFS('Employee Leaves'!$G:$G,'Employee Leaves'!$C:$C,$AF29,'Employee Leaves'!$E:$E,"Others",'Employee Leaves'!$F:$F,AP$21))</f>
        <v>-</v>
      </c>
      <c r="AQ29" s="538" t="str">
        <f>IF(SUMIFS('Employee Leaves'!$G:$G,'Employee Leaves'!$C:$C,$AF29,'Employee Leaves'!$E:$E,"Sick",'Employee Leaves'!$F:$F,AQ$21)+SUMIFS('Employee Leaves'!$G:$G,'Employee Leaves'!$C:$C,$AF29,'Employee Leaves'!$E:$E,"Others",'Employee Leaves'!$F:$F,AQ$21)=0,"-",SUMIFS('Employee Leaves'!$G:$G,'Employee Leaves'!$C:$C,$AF29,'Employee Leaves'!$E:$E,"Sick",'Employee Leaves'!$F:$F,AQ$21)+SUMIFS('Employee Leaves'!$G:$G,'Employee Leaves'!$C:$C,$AF29,'Employee Leaves'!$E:$E,"Others",'Employee Leaves'!$F:$F,AQ$21))</f>
        <v>-</v>
      </c>
      <c r="AR29" s="541" t="str">
        <f>IF(SUMIFS('Employee Leaves'!$G:$G,'Employee Leaves'!$C:$C,$AF29,'Employee Leaves'!$E:$E,"Sick",'Employee Leaves'!$F:$F,AR$21)+SUMIFS('Employee Leaves'!$G:$G,'Employee Leaves'!$C:$C,$AF29,'Employee Leaves'!$E:$E,"Others",'Employee Leaves'!$F:$F,AR$21)=0,"-",SUMIFS('Employee Leaves'!$G:$G,'Employee Leaves'!$C:$C,$AF29,'Employee Leaves'!$E:$E,"Sick",'Employee Leaves'!$F:$F,AR$21)+SUMIFS('Employee Leaves'!$G:$G,'Employee Leaves'!$C:$C,$AF29,'Employee Leaves'!$E:$E,"Others",'Employee Leaves'!$F:$F,AR$21))</f>
        <v>-</v>
      </c>
      <c r="AS29" s="330"/>
      <c r="AT29" s="520">
        <v>7</v>
      </c>
      <c r="AU29" s="526">
        <f>INDEX(Employees!$A:$A,MATCH($AZ29,Employees!$O:$O,0))</f>
        <v>4082</v>
      </c>
      <c r="AV29" s="526">
        <f>INDEX(Employees!$M:$M,MATCH($AZ29,Employees!$O:$O,0))</f>
        <v>10</v>
      </c>
      <c r="AW29" s="531" t="str">
        <f>INDEX(Employees!$B:$B,MATCH($AZ29,Employees!$O:$O,0))</f>
        <v>Product &amp; Engineering</v>
      </c>
      <c r="AX29" s="531" t="str">
        <f>INDEX(Employees!$C:$C,MATCH($AZ29,Employees!$O:$O,0))</f>
        <v>Data Engineering</v>
      </c>
      <c r="AY29" s="527">
        <f>INDEX(Employees!$H:$H,MATCH($AZ29,Employees!$O:$O,0))</f>
        <v>0</v>
      </c>
      <c r="AZ29" s="416">
        <f>LARGE(Employees!$O:$O,AT16)</f>
        <v>10.244977951984321</v>
      </c>
      <c r="BA29" s="330"/>
      <c r="BB29" s="500">
        <f t="shared" si="25"/>
        <v>0</v>
      </c>
      <c r="BC29" s="503">
        <f t="shared" si="26"/>
        <v>9</v>
      </c>
      <c r="BD29" s="142"/>
      <c r="BE29" s="136"/>
      <c r="BF29" s="82" t="s">
        <v>7</v>
      </c>
      <c r="BG29" s="103" t="s">
        <v>12</v>
      </c>
      <c r="BH29" s="9">
        <f t="shared" si="32"/>
        <v>5</v>
      </c>
      <c r="BI29" s="3">
        <f t="shared" si="33"/>
        <v>5</v>
      </c>
      <c r="BJ29" s="3">
        <f>SUMIFS('Employee Leaves'!$G:$G,'Employee Leaves'!$C:$C,BG29,'Employee Leaves'!$E:$E,"Holiday")+SUMIFS('Employee Leaves'!$G:$G,'Employee Leaves'!$C:$C,BG29,'Employee Leaves'!$E:$E,"Paternity Leave")+SUMIFS('Employee Leaves'!$G:$G,'Employee Leaves'!$C:$C,BG29,'Employee Leaves'!$E:$E,"Maternity Leave")</f>
        <v>5</v>
      </c>
      <c r="BK29" s="3">
        <f>SUMIFS('Employee Leaves'!$G:$G,'Employee Leaves'!$C:$C,BG29,'Employee Leaves'!$E:$E,"Sick")+SUMIFS('Employee Leaves'!$G:$G,'Employee Leaves'!$C:$C,BG29,'Employee Leaves'!$E:$E,"Others")</f>
        <v>0</v>
      </c>
      <c r="BL29" s="224">
        <f t="shared" si="34"/>
        <v>9.1729166666666675</v>
      </c>
      <c r="BM29" s="26">
        <f t="shared" si="35"/>
        <v>7.7519379844961239E-3</v>
      </c>
      <c r="BN29" s="251">
        <f t="shared" si="36"/>
        <v>1</v>
      </c>
      <c r="BO29" s="273">
        <v>44.03</v>
      </c>
      <c r="BP29" s="270">
        <f t="shared" si="43"/>
        <v>66.045000000000002</v>
      </c>
      <c r="BQ29" s="270">
        <f t="shared" si="44"/>
        <v>352.24</v>
      </c>
      <c r="BR29" s="270">
        <f t="shared" si="45"/>
        <v>396.27</v>
      </c>
      <c r="BS29" s="270">
        <f t="shared" si="46"/>
        <v>594.40499999999997</v>
      </c>
      <c r="BT29" s="270">
        <f t="shared" si="47"/>
        <v>3170.16</v>
      </c>
      <c r="BU29" s="278">
        <f t="shared" si="48"/>
        <v>1761.2</v>
      </c>
      <c r="BV29" s="278">
        <f t="shared" si="38"/>
        <v>660.45</v>
      </c>
      <c r="BW29" s="278">
        <f t="shared" si="49"/>
        <v>0</v>
      </c>
      <c r="BX29" s="278">
        <f t="shared" si="39"/>
        <v>660.45</v>
      </c>
      <c r="BY29" s="278">
        <f t="shared" si="50"/>
        <v>2421.65</v>
      </c>
      <c r="BZ29" s="221">
        <f t="shared" si="51"/>
        <v>484.33000000000004</v>
      </c>
      <c r="CA29" s="330"/>
      <c r="CB29" s="330"/>
      <c r="CC29" s="311" t="s">
        <v>166</v>
      </c>
      <c r="CD29" s="426" t="s">
        <v>165</v>
      </c>
      <c r="CE29" s="331" t="s">
        <v>115</v>
      </c>
      <c r="CF29" s="136"/>
      <c r="CG29" s="85" t="s">
        <v>7</v>
      </c>
      <c r="CH29" s="106" t="s">
        <v>12</v>
      </c>
      <c r="CI29" s="411">
        <f t="shared" si="40"/>
        <v>4</v>
      </c>
      <c r="CJ29" s="29">
        <f>COUNTIFS(Employees!$B:$B,$CG29,Employees!$C:$C,$CH29,Employees!G:G,"Resignation (Voluntary)")</f>
        <v>1</v>
      </c>
      <c r="CK29" s="30">
        <f>COUNTIFS(Employees!$B:$B,$CG29,Employees!$C:$C,$CH29,Employees!G:G,"Termination (Involuntary)")</f>
        <v>0</v>
      </c>
      <c r="CL29" s="52">
        <f>COUNTIFS(Employees!$B:$B,$CG29,Employees!$C:$C,$CH29)</f>
        <v>5</v>
      </c>
      <c r="CM29" s="142"/>
      <c r="CN29" s="431"/>
      <c r="CO29" s="82" t="s">
        <v>7</v>
      </c>
      <c r="CP29" s="103" t="s">
        <v>12</v>
      </c>
      <c r="CQ29" s="178">
        <f t="shared" si="52"/>
        <v>0.22222222222222221</v>
      </c>
      <c r="CR29" s="26">
        <f t="shared" si="41"/>
        <v>7.7519379844961239E-3</v>
      </c>
      <c r="CS29" s="142"/>
    </row>
    <row r="30" spans="2:105" ht="15.75" customHeight="1" thickBot="1">
      <c r="B30" s="136"/>
      <c r="C30" s="212">
        <v>4</v>
      </c>
      <c r="D30" s="812" t="str">
        <f>INDEX($W$6:$W$10,MATCH(F30,$AA$6:$AA$10,0))</f>
        <v>USA</v>
      </c>
      <c r="E30" s="813"/>
      <c r="F30" s="367">
        <f>LARGE($AA$6:$AA$10,C30)</f>
        <v>3.1223083548664946E-2</v>
      </c>
      <c r="G30" s="330"/>
      <c r="H30" s="666">
        <v>4</v>
      </c>
      <c r="I30" s="667"/>
      <c r="J30" s="709" t="str">
        <f t="shared" si="53"/>
        <v>Product &amp; Engineering</v>
      </c>
      <c r="K30" s="710"/>
      <c r="L30" s="680">
        <f>LARGE($AA$14:$AA$18,H30)</f>
        <v>3.3250048049202383E-2</v>
      </c>
      <c r="M30" s="681"/>
      <c r="N30" s="330"/>
      <c r="O30" s="212">
        <v>4</v>
      </c>
      <c r="P30" s="209" t="str">
        <f>INDEX($W$22:$W$43,MATCH(S30,$AA$22:$AA$43,0))</f>
        <v>Success</v>
      </c>
      <c r="Q30" s="709" t="str">
        <f>INDEX($V$22:$V$43,MATCH(S30,$AA$22:$AA$43,0))</f>
        <v>Customer Experience</v>
      </c>
      <c r="R30" s="710"/>
      <c r="S30" s="215">
        <f>LARGE($AA$22:$AA$43,4)</f>
        <v>4.9956933677863913E-2</v>
      </c>
      <c r="T30" s="142"/>
      <c r="U30" s="136"/>
      <c r="V30" s="83" t="s">
        <v>7</v>
      </c>
      <c r="W30" s="104" t="s">
        <v>11</v>
      </c>
      <c r="X30" s="10">
        <f t="shared" si="27"/>
        <v>7</v>
      </c>
      <c r="Y30" s="10">
        <f t="shared" si="42"/>
        <v>16</v>
      </c>
      <c r="Z30" s="27">
        <f t="shared" si="28"/>
        <v>3.3333333333333333E-2</v>
      </c>
      <c r="AA30" s="133">
        <f t="shared" si="29"/>
        <v>1.7718715393133997E-2</v>
      </c>
      <c r="AB30" s="153">
        <f t="shared" si="30"/>
        <v>2.2857142857142856</v>
      </c>
      <c r="AC30" s="142"/>
      <c r="AD30" s="136"/>
      <c r="AE30" s="83" t="s">
        <v>7</v>
      </c>
      <c r="AF30" s="104" t="s">
        <v>11</v>
      </c>
      <c r="AG30" s="40">
        <f>COUNTIFS('Employee Leaves'!$B:$B,AE30,'Employee Leaves'!$C:$C,AF30)</f>
        <v>4</v>
      </c>
      <c r="AH30" s="415">
        <f>SUMIFS('Employee Leaves'!$G:$G,'Employee Leaves'!$B:$B,AE30,'Employee Leaves'!$C:$C,AF30)</f>
        <v>16</v>
      </c>
      <c r="AI30" s="330"/>
      <c r="AJ30" s="9">
        <f>SUMIFS('Employee Leaves'!$G:$G,'Employee Leaves'!$C:$C,AF30,'Employee Leaves'!$E:$E,$AJ$21)</f>
        <v>9</v>
      </c>
      <c r="AK30" s="58">
        <f>SUMIFS('Employee Leaves'!$G:$G,'Employee Leaves'!$C:$C,AF30,'Employee Leaves'!$E:$E,$AK$21)</f>
        <v>5</v>
      </c>
      <c r="AL30" s="26">
        <f t="shared" si="31"/>
        <v>9.9667774086378731E-3</v>
      </c>
      <c r="AM30" s="553">
        <f>IF(SUMIFS('Employee Leaves'!$G:$G,'Employee Leaves'!$C:$C,$AF30,'Employee Leaves'!$E:$E,"Sick",'Employee Leaves'!$F:$F,AM$21)+SUMIFS('Employee Leaves'!$G:$G,'Employee Leaves'!$C:$C,$AF30,'Employee Leaves'!$E:$E,"Others",'Employee Leaves'!$F:$F,AM$21)=0,"-",SUMIFS('Employee Leaves'!$G:$G,'Employee Leaves'!$C:$C,$AF30,'Employee Leaves'!$E:$E,"Sick",'Employee Leaves'!$F:$F,AM$21)+SUMIFS('Employee Leaves'!$G:$G,'Employee Leaves'!$C:$C,$AF30,'Employee Leaves'!$E:$E,"Others",'Employee Leaves'!$F:$F,AM$21))</f>
        <v>2</v>
      </c>
      <c r="AN30" s="538" t="str">
        <f>IF(SUMIFS('Employee Leaves'!$G:$G,'Employee Leaves'!$C:$C,$AF30,'Employee Leaves'!$E:$E,"Sick",'Employee Leaves'!$F:$F,AN$21)+SUMIFS('Employee Leaves'!$G:$G,'Employee Leaves'!$C:$C,$AF30,'Employee Leaves'!$E:$E,"Others",'Employee Leaves'!$F:$F,AN$21)=0,"-",SUMIFS('Employee Leaves'!$G:$G,'Employee Leaves'!$C:$C,$AF30,'Employee Leaves'!$E:$E,"Sick",'Employee Leaves'!$F:$F,AN$21)+SUMIFS('Employee Leaves'!$G:$G,'Employee Leaves'!$C:$C,$AF30,'Employee Leaves'!$E:$E,"Others",'Employee Leaves'!$F:$F,AN$21))</f>
        <v>-</v>
      </c>
      <c r="AO30" s="538">
        <f>IF(SUMIFS('Employee Leaves'!$G:$G,'Employee Leaves'!$C:$C,$AF30,'Employee Leaves'!$E:$E,"Sick",'Employee Leaves'!$F:$F,AO$21)+SUMIFS('Employee Leaves'!$G:$G,'Employee Leaves'!$C:$C,$AF30,'Employee Leaves'!$E:$E,"Others",'Employee Leaves'!$F:$F,AO$21)=0,"-",SUMIFS('Employee Leaves'!$G:$G,'Employee Leaves'!$C:$C,$AF30,'Employee Leaves'!$E:$E,"Sick",'Employee Leaves'!$F:$F,AO$21)+SUMIFS('Employee Leaves'!$G:$G,'Employee Leaves'!$C:$C,$AF30,'Employee Leaves'!$E:$E,"Others",'Employee Leaves'!$F:$F,AO$21))</f>
        <v>3</v>
      </c>
      <c r="AP30" s="538" t="str">
        <f>IF(SUMIFS('Employee Leaves'!$G:$G,'Employee Leaves'!$C:$C,$AF30,'Employee Leaves'!$E:$E,"Sick",'Employee Leaves'!$F:$F,AP$21)+SUMIFS('Employee Leaves'!$G:$G,'Employee Leaves'!$C:$C,$AF30,'Employee Leaves'!$E:$E,"Others",'Employee Leaves'!$F:$F,AP$21)=0,"-",SUMIFS('Employee Leaves'!$G:$G,'Employee Leaves'!$C:$C,$AF30,'Employee Leaves'!$E:$E,"Sick",'Employee Leaves'!$F:$F,AP$21)+SUMIFS('Employee Leaves'!$G:$G,'Employee Leaves'!$C:$C,$AF30,'Employee Leaves'!$E:$E,"Others",'Employee Leaves'!$F:$F,AP$21))</f>
        <v>-</v>
      </c>
      <c r="AQ30" s="538" t="str">
        <f>IF(SUMIFS('Employee Leaves'!$G:$G,'Employee Leaves'!$C:$C,$AF30,'Employee Leaves'!$E:$E,"Sick",'Employee Leaves'!$F:$F,AQ$21)+SUMIFS('Employee Leaves'!$G:$G,'Employee Leaves'!$C:$C,$AF30,'Employee Leaves'!$E:$E,"Others",'Employee Leaves'!$F:$F,AQ$21)=0,"-",SUMIFS('Employee Leaves'!$G:$G,'Employee Leaves'!$C:$C,$AF30,'Employee Leaves'!$E:$E,"Sick",'Employee Leaves'!$F:$F,AQ$21)+SUMIFS('Employee Leaves'!$G:$G,'Employee Leaves'!$C:$C,$AF30,'Employee Leaves'!$E:$E,"Others",'Employee Leaves'!$F:$F,AQ$21))</f>
        <v>-</v>
      </c>
      <c r="AR30" s="541">
        <f>IF(SUMIFS('Employee Leaves'!$G:$G,'Employee Leaves'!$C:$C,$AF30,'Employee Leaves'!$E:$E,"Sick",'Employee Leaves'!$F:$F,AR$21)+SUMIFS('Employee Leaves'!$G:$G,'Employee Leaves'!$C:$C,$AF30,'Employee Leaves'!$E:$E,"Others",'Employee Leaves'!$F:$F,AR$21)=0,"-",SUMIFS('Employee Leaves'!$G:$G,'Employee Leaves'!$C:$C,$AF30,'Employee Leaves'!$E:$E,"Sick",'Employee Leaves'!$F:$F,AR$21)+SUMIFS('Employee Leaves'!$G:$G,'Employee Leaves'!$C:$C,$AF30,'Employee Leaves'!$E:$E,"Others",'Employee Leaves'!$F:$F,AR$21))</f>
        <v>6</v>
      </c>
      <c r="AS30" s="330"/>
      <c r="AT30" s="520">
        <v>8</v>
      </c>
      <c r="AU30" s="526">
        <f>INDEX(Employees!$A:$A,MATCH($AZ30,Employees!$O:$O,0))</f>
        <v>4089</v>
      </c>
      <c r="AV30" s="526">
        <f>INDEX(Employees!$M:$M,MATCH($AZ30,Employees!$O:$O,0))</f>
        <v>10</v>
      </c>
      <c r="AW30" s="531" t="str">
        <f>INDEX(Employees!$B:$B,MATCH($AZ30,Employees!$O:$O,0))</f>
        <v>Product &amp; Engineering</v>
      </c>
      <c r="AX30" s="531" t="str">
        <f>INDEX(Employees!$C:$C,MATCH($AZ30,Employees!$O:$O,0))</f>
        <v>Activation</v>
      </c>
      <c r="AY30" s="527">
        <f>INDEX(Employees!$H:$H,MATCH($AZ30,Employees!$O:$O,0))</f>
        <v>8</v>
      </c>
      <c r="AZ30" s="416">
        <f>LARGE(Employees!$O:$O,AT17)</f>
        <v>10.24455857177794</v>
      </c>
      <c r="BA30" s="330"/>
      <c r="BB30" s="330"/>
      <c r="BC30" s="330"/>
      <c r="BD30" s="142"/>
      <c r="BE30" s="136"/>
      <c r="BF30" s="300" t="s">
        <v>7</v>
      </c>
      <c r="BG30" s="104" t="s">
        <v>11</v>
      </c>
      <c r="BH30" s="10">
        <f t="shared" si="32"/>
        <v>7</v>
      </c>
      <c r="BI30" s="4">
        <f t="shared" si="33"/>
        <v>16</v>
      </c>
      <c r="BJ30" s="4">
        <f>SUMIFS('Employee Leaves'!$G:$G,'Employee Leaves'!$C:$C,BG30,'Employee Leaves'!$E:$E,"Holiday")+SUMIFS('Employee Leaves'!$G:$G,'Employee Leaves'!$C:$C,BG30,'Employee Leaves'!$E:$E,"Paternity Leave")+SUMIFS('Employee Leaves'!$G:$G,'Employee Leaves'!$C:$C,BG30,'Employee Leaves'!$E:$E,"Maternity Leave")</f>
        <v>5</v>
      </c>
      <c r="BK30" s="4">
        <f>SUMIFS('Employee Leaves'!$G:$G,'Employee Leaves'!$C:$C,BG30,'Employee Leaves'!$E:$E,"Sick")+SUMIFS('Employee Leaves'!$G:$G,'Employee Leaves'!$C:$C,BG30,'Employee Leaves'!$E:$E,"Others")</f>
        <v>11</v>
      </c>
      <c r="BL30" s="225">
        <f t="shared" si="34"/>
        <v>8.7354166666666675</v>
      </c>
      <c r="BM30" s="27">
        <f t="shared" si="35"/>
        <v>1.7718715393133997E-2</v>
      </c>
      <c r="BN30" s="252">
        <f t="shared" si="36"/>
        <v>2.2857142857142856</v>
      </c>
      <c r="BO30" s="279">
        <v>29.95</v>
      </c>
      <c r="BP30" s="280">
        <f t="shared" si="43"/>
        <v>44.924999999999997</v>
      </c>
      <c r="BQ30" s="280">
        <f t="shared" si="44"/>
        <v>239.6</v>
      </c>
      <c r="BR30" s="280">
        <f t="shared" si="45"/>
        <v>269.55</v>
      </c>
      <c r="BS30" s="280">
        <f t="shared" si="46"/>
        <v>404.32499999999999</v>
      </c>
      <c r="BT30" s="280">
        <f t="shared" si="47"/>
        <v>2156.4</v>
      </c>
      <c r="BU30" s="281">
        <f t="shared" si="48"/>
        <v>3833.6</v>
      </c>
      <c r="BV30" s="281">
        <f t="shared" si="38"/>
        <v>449.25</v>
      </c>
      <c r="BW30" s="281">
        <f t="shared" si="49"/>
        <v>3953.3999999999996</v>
      </c>
      <c r="BX30" s="281">
        <f t="shared" si="39"/>
        <v>4402.6499999999996</v>
      </c>
      <c r="BY30" s="281">
        <f t="shared" si="50"/>
        <v>8236.25</v>
      </c>
      <c r="BZ30" s="222">
        <f t="shared" si="51"/>
        <v>1176.6071428571429</v>
      </c>
      <c r="CA30" s="330"/>
      <c r="CB30" s="330"/>
      <c r="CC30" s="311" t="s">
        <v>167</v>
      </c>
      <c r="CD30" s="426" t="s">
        <v>168</v>
      </c>
      <c r="CE30" s="331" t="s">
        <v>115</v>
      </c>
      <c r="CF30" s="136"/>
      <c r="CG30" s="86" t="s">
        <v>7</v>
      </c>
      <c r="CH30" s="107" t="s">
        <v>11</v>
      </c>
      <c r="CI30" s="412">
        <f t="shared" si="40"/>
        <v>7</v>
      </c>
      <c r="CJ30" s="31">
        <f>COUNTIFS(Employees!$B:$B,$CG30,Employees!$C:$C,$CH30,Employees!G:G,"Resignation (Voluntary)")</f>
        <v>0</v>
      </c>
      <c r="CK30" s="32">
        <f>COUNTIFS(Employees!$B:$B,$CG30,Employees!$C:$C,$CH30,Employees!G:G,"Termination (Involuntary)")</f>
        <v>0</v>
      </c>
      <c r="CL30" s="53">
        <f>COUNTIFS(Employees!$B:$B,$CG30,Employees!$C:$C,$CH30)</f>
        <v>7</v>
      </c>
      <c r="CM30" s="142"/>
      <c r="CN30" s="431"/>
      <c r="CO30" s="300" t="s">
        <v>7</v>
      </c>
      <c r="CP30" s="104" t="s">
        <v>11</v>
      </c>
      <c r="CQ30" s="179">
        <f t="shared" si="52"/>
        <v>0</v>
      </c>
      <c r="CR30" s="27">
        <f t="shared" si="41"/>
        <v>1.7718715393133997E-2</v>
      </c>
      <c r="CS30" s="142"/>
    </row>
    <row r="31" spans="2:105" ht="15.75" customHeight="1" thickBot="1">
      <c r="B31" s="136"/>
      <c r="C31" s="213">
        <v>5</v>
      </c>
      <c r="D31" s="814" t="str">
        <f>INDEX($W$6:$W$10,MATCH(F31,$AA$6:$AA$10,0))</f>
        <v>Poland</v>
      </c>
      <c r="E31" s="815"/>
      <c r="F31" s="368">
        <f>LARGE($AA$6:$AA$10,C31)</f>
        <v>2.8792912513842746E-2</v>
      </c>
      <c r="G31" s="330"/>
      <c r="H31" s="674">
        <v>5</v>
      </c>
      <c r="I31" s="675"/>
      <c r="J31" s="707" t="str">
        <f t="shared" si="53"/>
        <v>Operations</v>
      </c>
      <c r="K31" s="708"/>
      <c r="L31" s="682">
        <f>LARGE($AA$14:$AA$18,H31)</f>
        <v>2.2932816537467701E-2</v>
      </c>
      <c r="M31" s="683"/>
      <c r="N31" s="330"/>
      <c r="O31" s="213">
        <v>5</v>
      </c>
      <c r="P31" s="210" t="str">
        <f>INDEX($W$22:$W$43,MATCH(S31,$AA$22:$AA$43,0))</f>
        <v>Biz Ops</v>
      </c>
      <c r="Q31" s="707" t="str">
        <f>INDEX($V$22:$V$43,MATCH(S31,$AA$22:$AA$43,0))</f>
        <v>Operations</v>
      </c>
      <c r="R31" s="708"/>
      <c r="S31" s="216">
        <f>LARGE($AA$22:$AA$43,5)</f>
        <v>4.8449612403100778E-2</v>
      </c>
      <c r="T31" s="142"/>
      <c r="U31" s="136"/>
      <c r="V31" s="75" t="s">
        <v>22</v>
      </c>
      <c r="W31" s="113" t="s">
        <v>30</v>
      </c>
      <c r="X31" s="8">
        <f t="shared" si="27"/>
        <v>11</v>
      </c>
      <c r="Y31" s="8">
        <f t="shared" si="42"/>
        <v>53</v>
      </c>
      <c r="Z31" s="25">
        <f t="shared" si="28"/>
        <v>5.2380952380952382E-2</v>
      </c>
      <c r="AA31" s="131">
        <f t="shared" si="29"/>
        <v>3.7350246652572236E-2</v>
      </c>
      <c r="AB31" s="151">
        <f t="shared" si="30"/>
        <v>4.8181818181818183</v>
      </c>
      <c r="AC31" s="142"/>
      <c r="AD31" s="136"/>
      <c r="AE31" s="75" t="s">
        <v>22</v>
      </c>
      <c r="AF31" s="113" t="s">
        <v>30</v>
      </c>
      <c r="AG31" s="8">
        <f>COUNTIFS('Employee Leaves'!$B:$B,AE31,'Employee Leaves'!$C:$C,AF31)</f>
        <v>9</v>
      </c>
      <c r="AH31" s="414">
        <f>SUMIFS('Employee Leaves'!$G:$G,'Employee Leaves'!$B:$B,AE31,'Employee Leaves'!$C:$C,AF31)</f>
        <v>53</v>
      </c>
      <c r="AI31" s="330"/>
      <c r="AJ31" s="9">
        <f>SUMIFS('Employee Leaves'!$G:$G,'Employee Leaves'!$C:$C,AF31,'Employee Leaves'!$E:$E,$AJ$21)</f>
        <v>20</v>
      </c>
      <c r="AK31" s="58">
        <f>SUMIFS('Employee Leaves'!$G:$G,'Employee Leaves'!$C:$C,AF31,'Employee Leaves'!$E:$E,$AK$21)</f>
        <v>33</v>
      </c>
      <c r="AL31" s="26">
        <f t="shared" si="31"/>
        <v>1.4094432699083862E-2</v>
      </c>
      <c r="AM31" s="553">
        <f>IF(SUMIFS('Employee Leaves'!$G:$G,'Employee Leaves'!$C:$C,$AF31,'Employee Leaves'!$E:$E,"Sick",'Employee Leaves'!$F:$F,AM$21)+SUMIFS('Employee Leaves'!$G:$G,'Employee Leaves'!$C:$C,$AF31,'Employee Leaves'!$E:$E,"Others",'Employee Leaves'!$F:$F,AM$21)=0,"-",SUMIFS('Employee Leaves'!$G:$G,'Employee Leaves'!$C:$C,$AF31,'Employee Leaves'!$E:$E,"Sick",'Employee Leaves'!$F:$F,AM$21)+SUMIFS('Employee Leaves'!$G:$G,'Employee Leaves'!$C:$C,$AF31,'Employee Leaves'!$E:$E,"Others",'Employee Leaves'!$F:$F,AM$21))</f>
        <v>4</v>
      </c>
      <c r="AN31" s="538" t="str">
        <f>IF(SUMIFS('Employee Leaves'!$G:$G,'Employee Leaves'!$C:$C,$AF31,'Employee Leaves'!$E:$E,"Sick",'Employee Leaves'!$F:$F,AN$21)+SUMIFS('Employee Leaves'!$G:$G,'Employee Leaves'!$C:$C,$AF31,'Employee Leaves'!$E:$E,"Others",'Employee Leaves'!$F:$F,AN$21)=0,"-",SUMIFS('Employee Leaves'!$G:$G,'Employee Leaves'!$C:$C,$AF31,'Employee Leaves'!$E:$E,"Sick",'Employee Leaves'!$F:$F,AN$21)+SUMIFS('Employee Leaves'!$G:$G,'Employee Leaves'!$C:$C,$AF31,'Employee Leaves'!$E:$E,"Others",'Employee Leaves'!$F:$F,AN$21))</f>
        <v>-</v>
      </c>
      <c r="AO31" s="538">
        <f>IF(SUMIFS('Employee Leaves'!$G:$G,'Employee Leaves'!$C:$C,$AF31,'Employee Leaves'!$E:$E,"Sick",'Employee Leaves'!$F:$F,AO$21)+SUMIFS('Employee Leaves'!$G:$G,'Employee Leaves'!$C:$C,$AF31,'Employee Leaves'!$E:$E,"Others",'Employee Leaves'!$F:$F,AO$21)=0,"-",SUMIFS('Employee Leaves'!$G:$G,'Employee Leaves'!$C:$C,$AF31,'Employee Leaves'!$E:$E,"Sick",'Employee Leaves'!$F:$F,AO$21)+SUMIFS('Employee Leaves'!$G:$G,'Employee Leaves'!$C:$C,$AF31,'Employee Leaves'!$E:$E,"Others",'Employee Leaves'!$F:$F,AO$21))</f>
        <v>6</v>
      </c>
      <c r="AP31" s="538">
        <f>IF(SUMIFS('Employee Leaves'!$G:$G,'Employee Leaves'!$C:$C,$AF31,'Employee Leaves'!$E:$E,"Sick",'Employee Leaves'!$F:$F,AP$21)+SUMIFS('Employee Leaves'!$G:$G,'Employee Leaves'!$C:$C,$AF31,'Employee Leaves'!$E:$E,"Others",'Employee Leaves'!$F:$F,AP$21)=0,"-",SUMIFS('Employee Leaves'!$G:$G,'Employee Leaves'!$C:$C,$AF31,'Employee Leaves'!$E:$E,"Sick",'Employee Leaves'!$F:$F,AP$21)+SUMIFS('Employee Leaves'!$G:$G,'Employee Leaves'!$C:$C,$AF31,'Employee Leaves'!$E:$E,"Others",'Employee Leaves'!$F:$F,AP$21))</f>
        <v>10</v>
      </c>
      <c r="AQ31" s="538" t="str">
        <f>IF(SUMIFS('Employee Leaves'!$G:$G,'Employee Leaves'!$C:$C,$AF31,'Employee Leaves'!$E:$E,"Sick",'Employee Leaves'!$F:$F,AQ$21)+SUMIFS('Employee Leaves'!$G:$G,'Employee Leaves'!$C:$C,$AF31,'Employee Leaves'!$E:$E,"Others",'Employee Leaves'!$F:$F,AQ$21)=0,"-",SUMIFS('Employee Leaves'!$G:$G,'Employee Leaves'!$C:$C,$AF31,'Employee Leaves'!$E:$E,"Sick",'Employee Leaves'!$F:$F,AQ$21)+SUMIFS('Employee Leaves'!$G:$G,'Employee Leaves'!$C:$C,$AF31,'Employee Leaves'!$E:$E,"Others",'Employee Leaves'!$F:$F,AQ$21))</f>
        <v>-</v>
      </c>
      <c r="AR31" s="541" t="str">
        <f>IF(SUMIFS('Employee Leaves'!$G:$G,'Employee Leaves'!$C:$C,$AF31,'Employee Leaves'!$E:$E,"Sick",'Employee Leaves'!$F:$F,AR$21)+SUMIFS('Employee Leaves'!$G:$G,'Employee Leaves'!$C:$C,$AF31,'Employee Leaves'!$E:$E,"Others",'Employee Leaves'!$F:$F,AR$21)=0,"-",SUMIFS('Employee Leaves'!$G:$G,'Employee Leaves'!$C:$C,$AF31,'Employee Leaves'!$E:$E,"Sick",'Employee Leaves'!$F:$F,AR$21)+SUMIFS('Employee Leaves'!$G:$G,'Employee Leaves'!$C:$C,$AF31,'Employee Leaves'!$E:$E,"Others",'Employee Leaves'!$F:$F,AR$21))</f>
        <v>-</v>
      </c>
      <c r="AS31" s="330"/>
      <c r="AT31" s="520">
        <v>9</v>
      </c>
      <c r="AU31" s="526">
        <f>INDEX(Employees!$A:$A,MATCH($AZ31,Employees!$O:$O,0))</f>
        <v>5014</v>
      </c>
      <c r="AV31" s="526">
        <f>INDEX(Employees!$M:$M,MATCH($AZ31,Employees!$O:$O,0))</f>
        <v>10</v>
      </c>
      <c r="AW31" s="531" t="str">
        <f>INDEX(Employees!$B:$B,MATCH($AZ31,Employees!$O:$O,0))</f>
        <v>Customer Experience</v>
      </c>
      <c r="AX31" s="531" t="str">
        <f>INDEX(Employees!$C:$C,MATCH($AZ31,Employees!$O:$O,0))</f>
        <v>Support</v>
      </c>
      <c r="AY31" s="527">
        <f>INDEX(Employees!$H:$H,MATCH($AZ31,Employees!$O:$O,0))</f>
        <v>0</v>
      </c>
      <c r="AZ31" s="416">
        <f>LARGE(Employees!$O:$O,AT18)</f>
        <v>10.199441563621859</v>
      </c>
      <c r="BA31" s="330"/>
      <c r="BB31" s="330"/>
      <c r="BC31" s="330"/>
      <c r="BD31" s="142"/>
      <c r="BE31" s="136"/>
      <c r="BF31" s="78" t="s">
        <v>22</v>
      </c>
      <c r="BG31" s="116" t="s">
        <v>30</v>
      </c>
      <c r="BH31" s="8">
        <f t="shared" si="32"/>
        <v>11</v>
      </c>
      <c r="BI31" s="11">
        <f t="shared" si="33"/>
        <v>53</v>
      </c>
      <c r="BJ31" s="11">
        <f>SUMIFS('Employee Leaves'!$G:$G,'Employee Leaves'!$C:$C,BG31,'Employee Leaves'!$E:$E,"Holiday")+SUMIFS('Employee Leaves'!$G:$G,'Employee Leaves'!$C:$C,BG31,'Employee Leaves'!$E:$E,"Paternity Leave")+SUMIFS('Employee Leaves'!$G:$G,'Employee Leaves'!$C:$C,BG31,'Employee Leaves'!$E:$E,"Maternity Leave")</f>
        <v>33</v>
      </c>
      <c r="BK31" s="11">
        <f>SUMIFS('Employee Leaves'!$G:$G,'Employee Leaves'!$C:$C,BG31,'Employee Leaves'!$E:$E,"Sick")+SUMIFS('Employee Leaves'!$G:$G,'Employee Leaves'!$C:$C,BG31,'Employee Leaves'!$E:$E,"Others")</f>
        <v>20</v>
      </c>
      <c r="BL31" s="223">
        <f t="shared" si="34"/>
        <v>2.1754545454545453</v>
      </c>
      <c r="BM31" s="25">
        <f t="shared" si="35"/>
        <v>3.7350246652572236E-2</v>
      </c>
      <c r="BN31" s="250">
        <f t="shared" si="36"/>
        <v>4.8181818181818183</v>
      </c>
      <c r="BO31" s="271">
        <v>23.93</v>
      </c>
      <c r="BP31" s="272">
        <f t="shared" si="43"/>
        <v>35.894999999999996</v>
      </c>
      <c r="BQ31" s="272">
        <f t="shared" si="44"/>
        <v>191.44</v>
      </c>
      <c r="BR31" s="272">
        <f t="shared" si="45"/>
        <v>215.37</v>
      </c>
      <c r="BS31" s="272">
        <f t="shared" si="46"/>
        <v>323.05499999999995</v>
      </c>
      <c r="BT31" s="272">
        <f t="shared" si="47"/>
        <v>1722.96</v>
      </c>
      <c r="BU31" s="277">
        <f t="shared" si="48"/>
        <v>10146.32</v>
      </c>
      <c r="BV31" s="277">
        <f t="shared" si="38"/>
        <v>2369.0699999999997</v>
      </c>
      <c r="BW31" s="277">
        <f t="shared" si="49"/>
        <v>5743.1999999999989</v>
      </c>
      <c r="BX31" s="277">
        <f t="shared" si="39"/>
        <v>8112.2699999999986</v>
      </c>
      <c r="BY31" s="277">
        <f t="shared" si="50"/>
        <v>18258.589999999997</v>
      </c>
      <c r="BZ31" s="566">
        <f t="shared" si="51"/>
        <v>1659.8718181818178</v>
      </c>
      <c r="CA31" s="330"/>
      <c r="CB31" s="330"/>
      <c r="CC31" s="311" t="s">
        <v>169</v>
      </c>
      <c r="CD31" s="426" t="s">
        <v>170</v>
      </c>
      <c r="CE31" s="331" t="s">
        <v>115</v>
      </c>
      <c r="CF31" s="136"/>
      <c r="CG31" s="78" t="s">
        <v>22</v>
      </c>
      <c r="CH31" s="116" t="s">
        <v>30</v>
      </c>
      <c r="CI31" s="413">
        <f t="shared" si="40"/>
        <v>10</v>
      </c>
      <c r="CJ31" s="33">
        <f>COUNTIFS(Employees!$B:$B,$CG31,Employees!$C:$C,$CH31,Employees!G:G,"Resignation (Voluntary)")</f>
        <v>1</v>
      </c>
      <c r="CK31" s="34">
        <f>COUNTIFS(Employees!$B:$B,$CG31,Employees!$C:$C,$CH31,Employees!G:G,"Termination (Involuntary)")</f>
        <v>0</v>
      </c>
      <c r="CL31" s="52">
        <f>COUNTIFS(Employees!$B:$B,$CG31,Employees!$C:$C,$CH31)</f>
        <v>11</v>
      </c>
      <c r="CM31" s="142"/>
      <c r="CN31" s="431"/>
      <c r="CO31" s="78" t="s">
        <v>22</v>
      </c>
      <c r="CP31" s="116" t="s">
        <v>30</v>
      </c>
      <c r="CQ31" s="199">
        <f t="shared" si="52"/>
        <v>9.5238095238095233E-2</v>
      </c>
      <c r="CR31" s="25">
        <f t="shared" si="41"/>
        <v>3.7350246652572236E-2</v>
      </c>
      <c r="CS31" s="142"/>
    </row>
    <row r="32" spans="2:105" ht="15.75" customHeight="1" thickBot="1">
      <c r="B32" s="136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0"/>
      <c r="P32" s="330"/>
      <c r="Q32" s="330"/>
      <c r="R32" s="330"/>
      <c r="S32" s="330"/>
      <c r="T32" s="142"/>
      <c r="U32" s="136"/>
      <c r="V32" s="76" t="s">
        <v>22</v>
      </c>
      <c r="W32" s="114" t="s">
        <v>23</v>
      </c>
      <c r="X32" s="9">
        <f t="shared" si="27"/>
        <v>9</v>
      </c>
      <c r="Y32" s="9">
        <f t="shared" si="42"/>
        <v>18</v>
      </c>
      <c r="Z32" s="26">
        <f t="shared" si="28"/>
        <v>4.2857142857142858E-2</v>
      </c>
      <c r="AA32" s="132">
        <f t="shared" si="29"/>
        <v>1.5503875968992248E-2</v>
      </c>
      <c r="AB32" s="152">
        <f t="shared" si="30"/>
        <v>2</v>
      </c>
      <c r="AC32" s="142"/>
      <c r="AD32" s="136"/>
      <c r="AE32" s="76" t="s">
        <v>22</v>
      </c>
      <c r="AF32" s="114" t="s">
        <v>23</v>
      </c>
      <c r="AG32" s="9">
        <f>COUNTIFS('Employee Leaves'!$B:$B,AE32,'Employee Leaves'!$C:$C,AF32)</f>
        <v>3</v>
      </c>
      <c r="AH32" s="416">
        <f>SUMIFS('Employee Leaves'!$G:$G,'Employee Leaves'!$B:$B,AE32,'Employee Leaves'!$C:$C,AF32)</f>
        <v>18</v>
      </c>
      <c r="AI32" s="330"/>
      <c r="AJ32" s="9">
        <f>SUMIFS('Employee Leaves'!$G:$G,'Employee Leaves'!$C:$C,AF32,'Employee Leaves'!$E:$E,$AJ$21)</f>
        <v>3</v>
      </c>
      <c r="AK32" s="58">
        <f>SUMIFS('Employee Leaves'!$G:$G,'Employee Leaves'!$C:$C,AF32,'Employee Leaves'!$E:$E,$AK$21)</f>
        <v>15</v>
      </c>
      <c r="AL32" s="26">
        <f t="shared" si="31"/>
        <v>2.5839793281653748E-3</v>
      </c>
      <c r="AM32" s="553" t="str">
        <f>IF(SUMIFS('Employee Leaves'!$G:$G,'Employee Leaves'!$C:$C,$AF32,'Employee Leaves'!$E:$E,"Sick",'Employee Leaves'!$F:$F,AM$21)+SUMIFS('Employee Leaves'!$G:$G,'Employee Leaves'!$C:$C,$AF32,'Employee Leaves'!$E:$E,"Others",'Employee Leaves'!$F:$F,AM$21)=0,"-",SUMIFS('Employee Leaves'!$G:$G,'Employee Leaves'!$C:$C,$AF32,'Employee Leaves'!$E:$E,"Sick",'Employee Leaves'!$F:$F,AM$21)+SUMIFS('Employee Leaves'!$G:$G,'Employee Leaves'!$C:$C,$AF32,'Employee Leaves'!$E:$E,"Others",'Employee Leaves'!$F:$F,AM$21))</f>
        <v>-</v>
      </c>
      <c r="AN32" s="538" t="str">
        <f>IF(SUMIFS('Employee Leaves'!$G:$G,'Employee Leaves'!$C:$C,$AF32,'Employee Leaves'!$E:$E,"Sick",'Employee Leaves'!$F:$F,AN$21)+SUMIFS('Employee Leaves'!$G:$G,'Employee Leaves'!$C:$C,$AF32,'Employee Leaves'!$E:$E,"Others",'Employee Leaves'!$F:$F,AN$21)=0,"-",SUMIFS('Employee Leaves'!$G:$G,'Employee Leaves'!$C:$C,$AF32,'Employee Leaves'!$E:$E,"Sick",'Employee Leaves'!$F:$F,AN$21)+SUMIFS('Employee Leaves'!$G:$G,'Employee Leaves'!$C:$C,$AF32,'Employee Leaves'!$E:$E,"Others",'Employee Leaves'!$F:$F,AN$21))</f>
        <v>-</v>
      </c>
      <c r="AO32" s="538" t="str">
        <f>IF(SUMIFS('Employee Leaves'!$G:$G,'Employee Leaves'!$C:$C,$AF32,'Employee Leaves'!$E:$E,"Sick",'Employee Leaves'!$F:$F,AO$21)+SUMIFS('Employee Leaves'!$G:$G,'Employee Leaves'!$C:$C,$AF32,'Employee Leaves'!$E:$E,"Others",'Employee Leaves'!$F:$F,AO$21)=0,"-",SUMIFS('Employee Leaves'!$G:$G,'Employee Leaves'!$C:$C,$AF32,'Employee Leaves'!$E:$E,"Sick",'Employee Leaves'!$F:$F,AO$21)+SUMIFS('Employee Leaves'!$G:$G,'Employee Leaves'!$C:$C,$AF32,'Employee Leaves'!$E:$E,"Others",'Employee Leaves'!$F:$F,AO$21))</f>
        <v>-</v>
      </c>
      <c r="AP32" s="538">
        <f>IF(SUMIFS('Employee Leaves'!$G:$G,'Employee Leaves'!$C:$C,$AF32,'Employee Leaves'!$E:$E,"Sick",'Employee Leaves'!$F:$F,AP$21)+SUMIFS('Employee Leaves'!$G:$G,'Employee Leaves'!$C:$C,$AF32,'Employee Leaves'!$E:$E,"Others",'Employee Leaves'!$F:$F,AP$21)=0,"-",SUMIFS('Employee Leaves'!$G:$G,'Employee Leaves'!$C:$C,$AF32,'Employee Leaves'!$E:$E,"Sick",'Employee Leaves'!$F:$F,AP$21)+SUMIFS('Employee Leaves'!$G:$G,'Employee Leaves'!$C:$C,$AF32,'Employee Leaves'!$E:$E,"Others",'Employee Leaves'!$F:$F,AP$21))</f>
        <v>3</v>
      </c>
      <c r="AQ32" s="538" t="str">
        <f>IF(SUMIFS('Employee Leaves'!$G:$G,'Employee Leaves'!$C:$C,$AF32,'Employee Leaves'!$E:$E,"Sick",'Employee Leaves'!$F:$F,AQ$21)+SUMIFS('Employee Leaves'!$G:$G,'Employee Leaves'!$C:$C,$AF32,'Employee Leaves'!$E:$E,"Others",'Employee Leaves'!$F:$F,AQ$21)=0,"-",SUMIFS('Employee Leaves'!$G:$G,'Employee Leaves'!$C:$C,$AF32,'Employee Leaves'!$E:$E,"Sick",'Employee Leaves'!$F:$F,AQ$21)+SUMIFS('Employee Leaves'!$G:$G,'Employee Leaves'!$C:$C,$AF32,'Employee Leaves'!$E:$E,"Others",'Employee Leaves'!$F:$F,AQ$21))</f>
        <v>-</v>
      </c>
      <c r="AR32" s="541" t="str">
        <f>IF(SUMIFS('Employee Leaves'!$G:$G,'Employee Leaves'!$C:$C,$AF32,'Employee Leaves'!$E:$E,"Sick",'Employee Leaves'!$F:$F,AR$21)+SUMIFS('Employee Leaves'!$G:$G,'Employee Leaves'!$C:$C,$AF32,'Employee Leaves'!$E:$E,"Others",'Employee Leaves'!$F:$F,AR$21)=0,"-",SUMIFS('Employee Leaves'!$G:$G,'Employee Leaves'!$C:$C,$AF32,'Employee Leaves'!$E:$E,"Sick",'Employee Leaves'!$F:$F,AR$21)+SUMIFS('Employee Leaves'!$G:$G,'Employee Leaves'!$C:$C,$AF32,'Employee Leaves'!$E:$E,"Others",'Employee Leaves'!$F:$F,AR$21))</f>
        <v>-</v>
      </c>
      <c r="AS32" s="330"/>
      <c r="AT32" s="521">
        <v>10</v>
      </c>
      <c r="AU32" s="528">
        <f>INDEX(Employees!$A:$A,MATCH($AZ32,Employees!$O:$O,0))</f>
        <v>2012</v>
      </c>
      <c r="AV32" s="528">
        <f>INDEX(Employees!$M:$M,MATCH($AZ32,Employees!$O:$O,0))</f>
        <v>9</v>
      </c>
      <c r="AW32" s="532" t="str">
        <f>INDEX(Employees!$B:$B,MATCH($AZ32,Employees!$O:$O,0))</f>
        <v>Sales</v>
      </c>
      <c r="AX32" s="532" t="str">
        <f>INDEX(Employees!$C:$C,MATCH($AZ32,Employees!$O:$O,0))</f>
        <v>Sales</v>
      </c>
      <c r="AY32" s="529">
        <f>INDEX(Employees!$H:$H,MATCH($AZ32,Employees!$O:$O,0))</f>
        <v>0</v>
      </c>
      <c r="AZ32" s="417">
        <f>LARGE(Employees!$O:$O,AT19)</f>
        <v>9.497017892644136</v>
      </c>
      <c r="BA32" s="330"/>
      <c r="BB32" s="330"/>
      <c r="BC32" s="330"/>
      <c r="BD32" s="142"/>
      <c r="BE32" s="136"/>
      <c r="BF32" s="79" t="s">
        <v>22</v>
      </c>
      <c r="BG32" s="117" t="s">
        <v>23</v>
      </c>
      <c r="BH32" s="9">
        <f t="shared" si="32"/>
        <v>9</v>
      </c>
      <c r="BI32" s="3">
        <f t="shared" si="33"/>
        <v>18</v>
      </c>
      <c r="BJ32" s="3">
        <f>SUMIFS('Employee Leaves'!$G:$G,'Employee Leaves'!$C:$C,BG32,'Employee Leaves'!$E:$E,"Holiday")+SUMIFS('Employee Leaves'!$G:$G,'Employee Leaves'!$C:$C,BG32,'Employee Leaves'!$E:$E,"Paternity Leave")+SUMIFS('Employee Leaves'!$G:$G,'Employee Leaves'!$C:$C,BG32,'Employee Leaves'!$E:$E,"Maternity Leave")</f>
        <v>15</v>
      </c>
      <c r="BK32" s="3">
        <f>SUMIFS('Employee Leaves'!$G:$G,'Employee Leaves'!$C:$C,BG32,'Employee Leaves'!$E:$E,"Sick")+SUMIFS('Employee Leaves'!$G:$G,'Employee Leaves'!$C:$C,BG32,'Employee Leaves'!$E:$E,"Others")</f>
        <v>3</v>
      </c>
      <c r="BL32" s="224">
        <f t="shared" si="34"/>
        <v>3.4066115702479336</v>
      </c>
      <c r="BM32" s="26">
        <f t="shared" si="35"/>
        <v>1.5503875968992248E-2</v>
      </c>
      <c r="BN32" s="251">
        <f t="shared" si="36"/>
        <v>2</v>
      </c>
      <c r="BO32" s="273">
        <v>45.8</v>
      </c>
      <c r="BP32" s="270">
        <f t="shared" si="43"/>
        <v>68.699999999999989</v>
      </c>
      <c r="BQ32" s="270">
        <f t="shared" si="44"/>
        <v>366.4</v>
      </c>
      <c r="BR32" s="270">
        <f>BO32*$BH$22</f>
        <v>412.2</v>
      </c>
      <c r="BS32" s="270">
        <f t="shared" si="46"/>
        <v>618.29999999999995</v>
      </c>
      <c r="BT32" s="270">
        <f t="shared" si="47"/>
        <v>3297.6</v>
      </c>
      <c r="BU32" s="278">
        <f t="shared" si="48"/>
        <v>6595.2</v>
      </c>
      <c r="BV32" s="278">
        <f t="shared" si="38"/>
        <v>2060.9999999999995</v>
      </c>
      <c r="BW32" s="278">
        <f t="shared" si="49"/>
        <v>1648.7999999999997</v>
      </c>
      <c r="BX32" s="278">
        <f t="shared" si="39"/>
        <v>3709.7999999999993</v>
      </c>
      <c r="BY32" s="278">
        <f t="shared" si="50"/>
        <v>10305</v>
      </c>
      <c r="BZ32" s="221">
        <f t="shared" si="51"/>
        <v>1145</v>
      </c>
      <c r="CA32" s="330"/>
      <c r="CB32" s="330"/>
      <c r="CC32" s="311" t="s">
        <v>172</v>
      </c>
      <c r="CD32" s="426" t="s">
        <v>173</v>
      </c>
      <c r="CE32" s="331" t="s">
        <v>115</v>
      </c>
      <c r="CF32" s="136"/>
      <c r="CG32" s="79" t="s">
        <v>22</v>
      </c>
      <c r="CH32" s="117" t="s">
        <v>23</v>
      </c>
      <c r="CI32" s="411">
        <f t="shared" si="40"/>
        <v>9</v>
      </c>
      <c r="CJ32" s="29">
        <f>COUNTIFS(Employees!$B:$B,$CG32,Employees!$C:$C,$CH32,Employees!G:G,"Resignation (Voluntary)")</f>
        <v>0</v>
      </c>
      <c r="CK32" s="30">
        <f>COUNTIFS(Employees!$B:$B,$CG32,Employees!$C:$C,$CH32,Employees!G:G,"Termination (Involuntary)")</f>
        <v>0</v>
      </c>
      <c r="CL32" s="52">
        <f>COUNTIFS(Employees!$B:$B,$CG32,Employees!$C:$C,$CH32)</f>
        <v>9</v>
      </c>
      <c r="CM32" s="142"/>
      <c r="CN32" s="431"/>
      <c r="CO32" s="79" t="s">
        <v>22</v>
      </c>
      <c r="CP32" s="117" t="s">
        <v>23</v>
      </c>
      <c r="CQ32" s="178">
        <f t="shared" si="52"/>
        <v>0</v>
      </c>
      <c r="CR32" s="26">
        <f t="shared" si="41"/>
        <v>1.5503875968992248E-2</v>
      </c>
      <c r="CS32" s="142"/>
    </row>
    <row r="33" spans="2:97" ht="15.75" customHeight="1">
      <c r="B33" s="136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142"/>
      <c r="U33" s="136"/>
      <c r="V33" s="76" t="s">
        <v>22</v>
      </c>
      <c r="W33" s="114" t="s">
        <v>33</v>
      </c>
      <c r="X33" s="9">
        <f t="shared" si="27"/>
        <v>11</v>
      </c>
      <c r="Y33" s="9">
        <f t="shared" si="42"/>
        <v>43</v>
      </c>
      <c r="Z33" s="26">
        <f t="shared" si="28"/>
        <v>5.2380952380952382E-2</v>
      </c>
      <c r="AA33" s="132">
        <f t="shared" si="29"/>
        <v>3.0303030303030304E-2</v>
      </c>
      <c r="AB33" s="152">
        <f t="shared" si="30"/>
        <v>3.9090909090909092</v>
      </c>
      <c r="AC33" s="142"/>
      <c r="AD33" s="136"/>
      <c r="AE33" s="76" t="s">
        <v>22</v>
      </c>
      <c r="AF33" s="114" t="s">
        <v>33</v>
      </c>
      <c r="AG33" s="9">
        <f>COUNTIFS('Employee Leaves'!$B:$B,AE33,'Employee Leaves'!$C:$C,AF33)</f>
        <v>8</v>
      </c>
      <c r="AH33" s="416">
        <f>SUMIFS('Employee Leaves'!$G:$G,'Employee Leaves'!$B:$B,AE33,'Employee Leaves'!$C:$C,AF33)</f>
        <v>43</v>
      </c>
      <c r="AI33" s="330"/>
      <c r="AJ33" s="9">
        <f>SUMIFS('Employee Leaves'!$G:$G,'Employee Leaves'!$C:$C,AF33,'Employee Leaves'!$E:$E,$AJ$21)</f>
        <v>32</v>
      </c>
      <c r="AK33" s="58">
        <f>SUMIFS('Employee Leaves'!$G:$G,'Employee Leaves'!$C:$C,AF33,'Employee Leaves'!$E:$E,$AK$21)</f>
        <v>11</v>
      </c>
      <c r="AL33" s="26">
        <f t="shared" si="31"/>
        <v>2.255109231853418E-2</v>
      </c>
      <c r="AM33" s="553">
        <f>IF(SUMIFS('Employee Leaves'!$G:$G,'Employee Leaves'!$C:$C,$AF33,'Employee Leaves'!$E:$E,"Sick",'Employee Leaves'!$F:$F,AM$21)+SUMIFS('Employee Leaves'!$G:$G,'Employee Leaves'!$C:$C,$AF33,'Employee Leaves'!$E:$E,"Others",'Employee Leaves'!$F:$F,AM$21)=0,"-",SUMIFS('Employee Leaves'!$G:$G,'Employee Leaves'!$C:$C,$AF33,'Employee Leaves'!$E:$E,"Sick",'Employee Leaves'!$F:$F,AM$21)+SUMIFS('Employee Leaves'!$G:$G,'Employee Leaves'!$C:$C,$AF33,'Employee Leaves'!$E:$E,"Others",'Employee Leaves'!$F:$F,AM$21))</f>
        <v>5</v>
      </c>
      <c r="AN33" s="538" t="str">
        <f>IF(SUMIFS('Employee Leaves'!$G:$G,'Employee Leaves'!$C:$C,$AF33,'Employee Leaves'!$E:$E,"Sick",'Employee Leaves'!$F:$F,AN$21)+SUMIFS('Employee Leaves'!$G:$G,'Employee Leaves'!$C:$C,$AF33,'Employee Leaves'!$E:$E,"Others",'Employee Leaves'!$F:$F,AN$21)=0,"-",SUMIFS('Employee Leaves'!$G:$G,'Employee Leaves'!$C:$C,$AF33,'Employee Leaves'!$E:$E,"Sick",'Employee Leaves'!$F:$F,AN$21)+SUMIFS('Employee Leaves'!$G:$G,'Employee Leaves'!$C:$C,$AF33,'Employee Leaves'!$E:$E,"Others",'Employee Leaves'!$F:$F,AN$21))</f>
        <v>-</v>
      </c>
      <c r="AO33" s="538">
        <f>IF(SUMIFS('Employee Leaves'!$G:$G,'Employee Leaves'!$C:$C,$AF33,'Employee Leaves'!$E:$E,"Sick",'Employee Leaves'!$F:$F,AO$21)+SUMIFS('Employee Leaves'!$G:$G,'Employee Leaves'!$C:$C,$AF33,'Employee Leaves'!$E:$E,"Others",'Employee Leaves'!$F:$F,AO$21)=0,"-",SUMIFS('Employee Leaves'!$G:$G,'Employee Leaves'!$C:$C,$AF33,'Employee Leaves'!$E:$E,"Sick",'Employee Leaves'!$F:$F,AO$21)+SUMIFS('Employee Leaves'!$G:$G,'Employee Leaves'!$C:$C,$AF33,'Employee Leaves'!$E:$E,"Others",'Employee Leaves'!$F:$F,AO$21))</f>
        <v>11</v>
      </c>
      <c r="AP33" s="538">
        <f>IF(SUMIFS('Employee Leaves'!$G:$G,'Employee Leaves'!$C:$C,$AF33,'Employee Leaves'!$E:$E,"Sick",'Employee Leaves'!$F:$F,AP$21)+SUMIFS('Employee Leaves'!$G:$G,'Employee Leaves'!$C:$C,$AF33,'Employee Leaves'!$E:$E,"Others",'Employee Leaves'!$F:$F,AP$21)=0,"-",SUMIFS('Employee Leaves'!$G:$G,'Employee Leaves'!$C:$C,$AF33,'Employee Leaves'!$E:$E,"Sick",'Employee Leaves'!$F:$F,AP$21)+SUMIFS('Employee Leaves'!$G:$G,'Employee Leaves'!$C:$C,$AF33,'Employee Leaves'!$E:$E,"Others",'Employee Leaves'!$F:$F,AP$21))</f>
        <v>5</v>
      </c>
      <c r="AQ33" s="538">
        <f>IF(SUMIFS('Employee Leaves'!$G:$G,'Employee Leaves'!$C:$C,$AF33,'Employee Leaves'!$E:$E,"Sick",'Employee Leaves'!$F:$F,AQ$21)+SUMIFS('Employee Leaves'!$G:$G,'Employee Leaves'!$C:$C,$AF33,'Employee Leaves'!$E:$E,"Others",'Employee Leaves'!$F:$F,AQ$21)=0,"-",SUMIFS('Employee Leaves'!$G:$G,'Employee Leaves'!$C:$C,$AF33,'Employee Leaves'!$E:$E,"Sick",'Employee Leaves'!$F:$F,AQ$21)+SUMIFS('Employee Leaves'!$G:$G,'Employee Leaves'!$C:$C,$AF33,'Employee Leaves'!$E:$E,"Others",'Employee Leaves'!$F:$F,AQ$21))</f>
        <v>8</v>
      </c>
      <c r="AR33" s="541">
        <f>IF(SUMIFS('Employee Leaves'!$G:$G,'Employee Leaves'!$C:$C,$AF33,'Employee Leaves'!$E:$E,"Sick",'Employee Leaves'!$F:$F,AR$21)+SUMIFS('Employee Leaves'!$G:$G,'Employee Leaves'!$C:$C,$AF33,'Employee Leaves'!$E:$E,"Others",'Employee Leaves'!$F:$F,AR$21)=0,"-",SUMIFS('Employee Leaves'!$G:$G,'Employee Leaves'!$C:$C,$AF33,'Employee Leaves'!$E:$E,"Sick",'Employee Leaves'!$F:$F,AR$21)+SUMIFS('Employee Leaves'!$G:$G,'Employee Leaves'!$C:$C,$AF33,'Employee Leaves'!$E:$E,"Others",'Employee Leaves'!$F:$F,AR$21))</f>
        <v>3</v>
      </c>
      <c r="AS33" s="330"/>
      <c r="AT33" s="330"/>
      <c r="AU33" s="330"/>
      <c r="AV33" s="330"/>
      <c r="AW33" s="330"/>
      <c r="AX33" s="330"/>
      <c r="AY33" s="330"/>
      <c r="AZ33" s="330"/>
      <c r="BA33" s="330"/>
      <c r="BB33" s="330"/>
      <c r="BC33" s="330"/>
      <c r="BD33" s="142"/>
      <c r="BE33" s="136"/>
      <c r="BF33" s="79" t="s">
        <v>22</v>
      </c>
      <c r="BG33" s="117" t="s">
        <v>33</v>
      </c>
      <c r="BH33" s="9">
        <f t="shared" si="32"/>
        <v>11</v>
      </c>
      <c r="BI33" s="3">
        <f t="shared" si="33"/>
        <v>43</v>
      </c>
      <c r="BJ33" s="3">
        <f>SUMIFS('Employee Leaves'!$G:$G,'Employee Leaves'!$C:$C,BG33,'Employee Leaves'!$E:$E,"Holiday")+SUMIFS('Employee Leaves'!$G:$G,'Employee Leaves'!$C:$C,BG33,'Employee Leaves'!$E:$E,"Paternity Leave")+SUMIFS('Employee Leaves'!$G:$G,'Employee Leaves'!$C:$C,BG33,'Employee Leaves'!$E:$E,"Maternity Leave")</f>
        <v>11</v>
      </c>
      <c r="BK33" s="3">
        <f>SUMIFS('Employee Leaves'!$G:$G,'Employee Leaves'!$C:$C,BG33,'Employee Leaves'!$E:$E,"Sick")+SUMIFS('Employee Leaves'!$G:$G,'Employee Leaves'!$C:$C,BG33,'Employee Leaves'!$E:$E,"Others")</f>
        <v>32</v>
      </c>
      <c r="BL33" s="224">
        <f t="shared" si="34"/>
        <v>4.1636363636363631</v>
      </c>
      <c r="BM33" s="26">
        <f t="shared" si="35"/>
        <v>3.0303030303030304E-2</v>
      </c>
      <c r="BN33" s="251">
        <f t="shared" si="36"/>
        <v>3.9090909090909092</v>
      </c>
      <c r="BO33" s="273">
        <v>45.8</v>
      </c>
      <c r="BP33" s="270">
        <f t="shared" si="43"/>
        <v>68.699999999999989</v>
      </c>
      <c r="BQ33" s="270">
        <f t="shared" si="44"/>
        <v>366.4</v>
      </c>
      <c r="BR33" s="270">
        <f t="shared" si="45"/>
        <v>412.2</v>
      </c>
      <c r="BS33" s="270">
        <f t="shared" si="46"/>
        <v>618.29999999999995</v>
      </c>
      <c r="BT33" s="270">
        <f t="shared" si="47"/>
        <v>3297.6</v>
      </c>
      <c r="BU33" s="278">
        <f t="shared" si="48"/>
        <v>15755.199999999999</v>
      </c>
      <c r="BV33" s="278">
        <f t="shared" si="38"/>
        <v>1511.3999999999996</v>
      </c>
      <c r="BW33" s="278">
        <f t="shared" si="49"/>
        <v>17587.199999999997</v>
      </c>
      <c r="BX33" s="278">
        <f t="shared" si="39"/>
        <v>19098.599999999999</v>
      </c>
      <c r="BY33" s="278">
        <f t="shared" si="50"/>
        <v>34853.799999999996</v>
      </c>
      <c r="BZ33" s="221">
        <f t="shared" si="51"/>
        <v>3168.5272727272722</v>
      </c>
      <c r="CA33" s="330"/>
      <c r="CB33" s="330"/>
      <c r="CC33" s="311" t="s">
        <v>172</v>
      </c>
      <c r="CD33" s="191" t="s">
        <v>173</v>
      </c>
      <c r="CE33" s="331" t="s">
        <v>115</v>
      </c>
      <c r="CF33" s="136"/>
      <c r="CG33" s="79" t="s">
        <v>22</v>
      </c>
      <c r="CH33" s="117" t="s">
        <v>33</v>
      </c>
      <c r="CI33" s="411">
        <f t="shared" si="40"/>
        <v>11</v>
      </c>
      <c r="CJ33" s="29">
        <f>COUNTIFS(Employees!$B:$B,$CG33,Employees!$C:$C,$CH33,Employees!G:G,"Resignation (Voluntary)")</f>
        <v>0</v>
      </c>
      <c r="CK33" s="30">
        <f>COUNTIFS(Employees!$B:$B,$CG33,Employees!$C:$C,$CH33,Employees!G:G,"Termination (Involuntary)")</f>
        <v>0</v>
      </c>
      <c r="CL33" s="52">
        <f>COUNTIFS(Employees!$B:$B,$CG33,Employees!$C:$C,$CH33)</f>
        <v>11</v>
      </c>
      <c r="CM33" s="142"/>
      <c r="CN33" s="431"/>
      <c r="CO33" s="79" t="s">
        <v>22</v>
      </c>
      <c r="CP33" s="117" t="s">
        <v>33</v>
      </c>
      <c r="CQ33" s="178">
        <f t="shared" si="52"/>
        <v>0</v>
      </c>
      <c r="CR33" s="26">
        <f t="shared" si="41"/>
        <v>3.0303030303030304E-2</v>
      </c>
      <c r="CS33" s="142"/>
    </row>
    <row r="34" spans="2:97" ht="15.75" customHeight="1">
      <c r="B34" s="136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142"/>
      <c r="U34" s="136"/>
      <c r="V34" s="76" t="s">
        <v>22</v>
      </c>
      <c r="W34" s="114" t="s">
        <v>35</v>
      </c>
      <c r="X34" s="9">
        <f t="shared" si="27"/>
        <v>6</v>
      </c>
      <c r="Y34" s="9">
        <f t="shared" si="42"/>
        <v>23</v>
      </c>
      <c r="Z34" s="26">
        <f t="shared" si="28"/>
        <v>2.8571428571428571E-2</v>
      </c>
      <c r="AA34" s="132">
        <f t="shared" si="29"/>
        <v>2.9715762273901807E-2</v>
      </c>
      <c r="AB34" s="152">
        <f t="shared" si="30"/>
        <v>3.8333333333333335</v>
      </c>
      <c r="AC34" s="142"/>
      <c r="AD34" s="136"/>
      <c r="AE34" s="76" t="s">
        <v>22</v>
      </c>
      <c r="AF34" s="114" t="s">
        <v>35</v>
      </c>
      <c r="AG34" s="9">
        <f>COUNTIFS('Employee Leaves'!$B:$B,AE34,'Employee Leaves'!$C:$C,AF34)</f>
        <v>3</v>
      </c>
      <c r="AH34" s="416">
        <f>SUMIFS('Employee Leaves'!$G:$G,'Employee Leaves'!$B:$B,AE34,'Employee Leaves'!$C:$C,AF34)</f>
        <v>23</v>
      </c>
      <c r="AI34" s="330"/>
      <c r="AJ34" s="9">
        <f>SUMIFS('Employee Leaves'!$G:$G,'Employee Leaves'!$C:$C,AF34,'Employee Leaves'!$E:$E,$AJ$21)</f>
        <v>0</v>
      </c>
      <c r="AK34" s="58">
        <f>SUMIFS('Employee Leaves'!$G:$G,'Employee Leaves'!$C:$C,AF34,'Employee Leaves'!$E:$E,$AK$21)</f>
        <v>23</v>
      </c>
      <c r="AL34" s="26">
        <f t="shared" si="31"/>
        <v>0</v>
      </c>
      <c r="AM34" s="553" t="str">
        <f>IF(SUMIFS('Employee Leaves'!$G:$G,'Employee Leaves'!$C:$C,$AF34,'Employee Leaves'!$E:$E,"Sick",'Employee Leaves'!$F:$F,AM$21)+SUMIFS('Employee Leaves'!$G:$G,'Employee Leaves'!$C:$C,$AF34,'Employee Leaves'!$E:$E,"Others",'Employee Leaves'!$F:$F,AM$21)=0,"-",SUMIFS('Employee Leaves'!$G:$G,'Employee Leaves'!$C:$C,$AF34,'Employee Leaves'!$E:$E,"Sick",'Employee Leaves'!$F:$F,AM$21)+SUMIFS('Employee Leaves'!$G:$G,'Employee Leaves'!$C:$C,$AF34,'Employee Leaves'!$E:$E,"Others",'Employee Leaves'!$F:$F,AM$21))</f>
        <v>-</v>
      </c>
      <c r="AN34" s="538" t="str">
        <f>IF(SUMIFS('Employee Leaves'!$G:$G,'Employee Leaves'!$C:$C,$AF34,'Employee Leaves'!$E:$E,"Sick",'Employee Leaves'!$F:$F,AN$21)+SUMIFS('Employee Leaves'!$G:$G,'Employee Leaves'!$C:$C,$AF34,'Employee Leaves'!$E:$E,"Others",'Employee Leaves'!$F:$F,AN$21)=0,"-",SUMIFS('Employee Leaves'!$G:$G,'Employee Leaves'!$C:$C,$AF34,'Employee Leaves'!$E:$E,"Sick",'Employee Leaves'!$F:$F,AN$21)+SUMIFS('Employee Leaves'!$G:$G,'Employee Leaves'!$C:$C,$AF34,'Employee Leaves'!$E:$E,"Others",'Employee Leaves'!$F:$F,AN$21))</f>
        <v>-</v>
      </c>
      <c r="AO34" s="538" t="str">
        <f>IF(SUMIFS('Employee Leaves'!$G:$G,'Employee Leaves'!$C:$C,$AF34,'Employee Leaves'!$E:$E,"Sick",'Employee Leaves'!$F:$F,AO$21)+SUMIFS('Employee Leaves'!$G:$G,'Employee Leaves'!$C:$C,$AF34,'Employee Leaves'!$E:$E,"Others",'Employee Leaves'!$F:$F,AO$21)=0,"-",SUMIFS('Employee Leaves'!$G:$G,'Employee Leaves'!$C:$C,$AF34,'Employee Leaves'!$E:$E,"Sick",'Employee Leaves'!$F:$F,AO$21)+SUMIFS('Employee Leaves'!$G:$G,'Employee Leaves'!$C:$C,$AF34,'Employee Leaves'!$E:$E,"Others",'Employee Leaves'!$F:$F,AO$21))</f>
        <v>-</v>
      </c>
      <c r="AP34" s="538" t="str">
        <f>IF(SUMIFS('Employee Leaves'!$G:$G,'Employee Leaves'!$C:$C,$AF34,'Employee Leaves'!$E:$E,"Sick",'Employee Leaves'!$F:$F,AP$21)+SUMIFS('Employee Leaves'!$G:$G,'Employee Leaves'!$C:$C,$AF34,'Employee Leaves'!$E:$E,"Others",'Employee Leaves'!$F:$F,AP$21)=0,"-",SUMIFS('Employee Leaves'!$G:$G,'Employee Leaves'!$C:$C,$AF34,'Employee Leaves'!$E:$E,"Sick",'Employee Leaves'!$F:$F,AP$21)+SUMIFS('Employee Leaves'!$G:$G,'Employee Leaves'!$C:$C,$AF34,'Employee Leaves'!$E:$E,"Others",'Employee Leaves'!$F:$F,AP$21))</f>
        <v>-</v>
      </c>
      <c r="AQ34" s="538" t="str">
        <f>IF(SUMIFS('Employee Leaves'!$G:$G,'Employee Leaves'!$C:$C,$AF34,'Employee Leaves'!$E:$E,"Sick",'Employee Leaves'!$F:$F,AQ$21)+SUMIFS('Employee Leaves'!$G:$G,'Employee Leaves'!$C:$C,$AF34,'Employee Leaves'!$E:$E,"Others",'Employee Leaves'!$F:$F,AQ$21)=0,"-",SUMIFS('Employee Leaves'!$G:$G,'Employee Leaves'!$C:$C,$AF34,'Employee Leaves'!$E:$E,"Sick",'Employee Leaves'!$F:$F,AQ$21)+SUMIFS('Employee Leaves'!$G:$G,'Employee Leaves'!$C:$C,$AF34,'Employee Leaves'!$E:$E,"Others",'Employee Leaves'!$F:$F,AQ$21))</f>
        <v>-</v>
      </c>
      <c r="AR34" s="541" t="str">
        <f>IF(SUMIFS('Employee Leaves'!$G:$G,'Employee Leaves'!$C:$C,$AF34,'Employee Leaves'!$E:$E,"Sick",'Employee Leaves'!$F:$F,AR$21)+SUMIFS('Employee Leaves'!$G:$G,'Employee Leaves'!$C:$C,$AF34,'Employee Leaves'!$E:$E,"Others",'Employee Leaves'!$F:$F,AR$21)=0,"-",SUMIFS('Employee Leaves'!$G:$G,'Employee Leaves'!$C:$C,$AF34,'Employee Leaves'!$E:$E,"Sick",'Employee Leaves'!$F:$F,AR$21)+SUMIFS('Employee Leaves'!$G:$G,'Employee Leaves'!$C:$C,$AF34,'Employee Leaves'!$E:$E,"Others",'Employee Leaves'!$F:$F,AR$21))</f>
        <v>-</v>
      </c>
      <c r="AS34" s="330"/>
      <c r="AT34" s="330"/>
      <c r="AU34" s="330"/>
      <c r="AV34" s="330"/>
      <c r="AW34" s="330"/>
      <c r="AX34" s="330"/>
      <c r="AY34" s="330"/>
      <c r="AZ34" s="330"/>
      <c r="BA34" s="330"/>
      <c r="BB34" s="330"/>
      <c r="BC34" s="330"/>
      <c r="BD34" s="142"/>
      <c r="BE34" s="136"/>
      <c r="BF34" s="79" t="s">
        <v>22</v>
      </c>
      <c r="BG34" s="117" t="s">
        <v>35</v>
      </c>
      <c r="BH34" s="9">
        <f t="shared" si="32"/>
        <v>6</v>
      </c>
      <c r="BI34" s="3">
        <f t="shared" si="33"/>
        <v>23</v>
      </c>
      <c r="BJ34" s="3">
        <f>SUMIFS('Employee Leaves'!$G:$G,'Employee Leaves'!$C:$C,BG34,'Employee Leaves'!$E:$E,"Holiday")+SUMIFS('Employee Leaves'!$G:$G,'Employee Leaves'!$C:$C,BG34,'Employee Leaves'!$E:$E,"Paternity Leave")+SUMIFS('Employee Leaves'!$G:$G,'Employee Leaves'!$C:$C,BG34,'Employee Leaves'!$E:$E,"Maternity Leave")</f>
        <v>23</v>
      </c>
      <c r="BK34" s="3">
        <f>SUMIFS('Employee Leaves'!$G:$G,'Employee Leaves'!$C:$C,BG34,'Employee Leaves'!$E:$E,"Sick")+SUMIFS('Employee Leaves'!$G:$G,'Employee Leaves'!$C:$C,BG34,'Employee Leaves'!$E:$E,"Others")</f>
        <v>0</v>
      </c>
      <c r="BL34" s="224">
        <f t="shared" si="34"/>
        <v>1.9046280991735536</v>
      </c>
      <c r="BM34" s="26">
        <f t="shared" si="35"/>
        <v>2.9715762273901807E-2</v>
      </c>
      <c r="BN34" s="251">
        <f t="shared" si="36"/>
        <v>3.8333333333333335</v>
      </c>
      <c r="BO34" s="273">
        <v>38.409999999999997</v>
      </c>
      <c r="BP34" s="270">
        <f t="shared" si="43"/>
        <v>57.614999999999995</v>
      </c>
      <c r="BQ34" s="270">
        <f t="shared" si="44"/>
        <v>307.27999999999997</v>
      </c>
      <c r="BR34" s="270">
        <f t="shared" si="45"/>
        <v>345.68999999999994</v>
      </c>
      <c r="BS34" s="270">
        <f t="shared" si="46"/>
        <v>518.53499999999997</v>
      </c>
      <c r="BT34" s="270">
        <f t="shared" si="47"/>
        <v>2765.5199999999995</v>
      </c>
      <c r="BU34" s="278">
        <f t="shared" si="48"/>
        <v>7067.44</v>
      </c>
      <c r="BV34" s="278">
        <f t="shared" si="38"/>
        <v>2650.29</v>
      </c>
      <c r="BW34" s="278">
        <f t="shared" si="49"/>
        <v>0</v>
      </c>
      <c r="BX34" s="278">
        <f t="shared" si="39"/>
        <v>2650.29</v>
      </c>
      <c r="BY34" s="278">
        <f t="shared" si="50"/>
        <v>9717.73</v>
      </c>
      <c r="BZ34" s="221">
        <f t="shared" si="51"/>
        <v>1619.6216666666667</v>
      </c>
      <c r="CA34" s="330"/>
      <c r="CB34" s="330"/>
      <c r="CC34" s="311" t="s">
        <v>174</v>
      </c>
      <c r="CD34" s="426" t="s">
        <v>175</v>
      </c>
      <c r="CE34" s="331" t="s">
        <v>115</v>
      </c>
      <c r="CF34" s="136"/>
      <c r="CG34" s="79" t="s">
        <v>22</v>
      </c>
      <c r="CH34" s="117" t="s">
        <v>35</v>
      </c>
      <c r="CI34" s="411">
        <f t="shared" si="40"/>
        <v>6</v>
      </c>
      <c r="CJ34" s="29">
        <f>COUNTIFS(Employees!$B:$B,$CG34,Employees!$C:$C,$CH34,Employees!G:G,"Resignation (Voluntary)")</f>
        <v>0</v>
      </c>
      <c r="CK34" s="30">
        <f>COUNTIFS(Employees!$B:$B,$CG34,Employees!$C:$C,$CH34,Employees!G:G,"Termination (Involuntary)")</f>
        <v>0</v>
      </c>
      <c r="CL34" s="52">
        <f>COUNTIFS(Employees!$B:$B,$CG34,Employees!$C:$C,$CH34)</f>
        <v>6</v>
      </c>
      <c r="CM34" s="142"/>
      <c r="CN34" s="431"/>
      <c r="CO34" s="79" t="s">
        <v>22</v>
      </c>
      <c r="CP34" s="117" t="s">
        <v>35</v>
      </c>
      <c r="CQ34" s="178">
        <f t="shared" si="52"/>
        <v>0</v>
      </c>
      <c r="CR34" s="26">
        <f t="shared" si="41"/>
        <v>2.9715762273901807E-2</v>
      </c>
      <c r="CS34" s="142"/>
    </row>
    <row r="35" spans="2:97" ht="15.75" customHeight="1">
      <c r="B35" s="136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142"/>
      <c r="U35" s="136"/>
      <c r="V35" s="76" t="s">
        <v>22</v>
      </c>
      <c r="W35" s="114" t="s">
        <v>32</v>
      </c>
      <c r="X35" s="9">
        <f t="shared" si="27"/>
        <v>20</v>
      </c>
      <c r="Y35" s="9">
        <f t="shared" si="42"/>
        <v>95</v>
      </c>
      <c r="Z35" s="26">
        <f t="shared" si="28"/>
        <v>9.5238095238095233E-2</v>
      </c>
      <c r="AA35" s="132">
        <f t="shared" si="29"/>
        <v>3.6821705426356592E-2</v>
      </c>
      <c r="AB35" s="152">
        <f t="shared" si="30"/>
        <v>4.75</v>
      </c>
      <c r="AC35" s="142"/>
      <c r="AD35" s="136"/>
      <c r="AE35" s="76" t="s">
        <v>22</v>
      </c>
      <c r="AF35" s="114" t="s">
        <v>32</v>
      </c>
      <c r="AG35" s="9">
        <f>COUNTIFS('Employee Leaves'!$B:$B,AE35,'Employee Leaves'!$C:$C,AF35)</f>
        <v>14</v>
      </c>
      <c r="AH35" s="416">
        <f>SUMIFS('Employee Leaves'!$G:$G,'Employee Leaves'!$B:$B,AE35,'Employee Leaves'!$C:$C,AF35)</f>
        <v>95</v>
      </c>
      <c r="AI35" s="330"/>
      <c r="AJ35" s="9">
        <f>SUMIFS('Employee Leaves'!$G:$G,'Employee Leaves'!$C:$C,AF35,'Employee Leaves'!$E:$E,$AJ$21)</f>
        <v>6</v>
      </c>
      <c r="AK35" s="58">
        <f>SUMIFS('Employee Leaves'!$G:$G,'Employee Leaves'!$C:$C,AF35,'Employee Leaves'!$E:$E,$AK$21)</f>
        <v>89</v>
      </c>
      <c r="AL35" s="26">
        <f t="shared" si="31"/>
        <v>2.3255813953488372E-3</v>
      </c>
      <c r="AM35" s="553">
        <f>IF(SUMIFS('Employee Leaves'!$G:$G,'Employee Leaves'!$C:$C,$AF35,'Employee Leaves'!$E:$E,"Sick",'Employee Leaves'!$F:$F,AM$21)+SUMIFS('Employee Leaves'!$G:$G,'Employee Leaves'!$C:$C,$AF35,'Employee Leaves'!$E:$E,"Others",'Employee Leaves'!$F:$F,AM$21)=0,"-",SUMIFS('Employee Leaves'!$G:$G,'Employee Leaves'!$C:$C,$AF35,'Employee Leaves'!$E:$E,"Sick",'Employee Leaves'!$F:$F,AM$21)+SUMIFS('Employee Leaves'!$G:$G,'Employee Leaves'!$C:$C,$AF35,'Employee Leaves'!$E:$E,"Others",'Employee Leaves'!$F:$F,AM$21))</f>
        <v>4</v>
      </c>
      <c r="AN35" s="538" t="str">
        <f>IF(SUMIFS('Employee Leaves'!$G:$G,'Employee Leaves'!$C:$C,$AF35,'Employee Leaves'!$E:$E,"Sick",'Employee Leaves'!$F:$F,AN$21)+SUMIFS('Employee Leaves'!$G:$G,'Employee Leaves'!$C:$C,$AF35,'Employee Leaves'!$E:$E,"Others",'Employee Leaves'!$F:$F,AN$21)=0,"-",SUMIFS('Employee Leaves'!$G:$G,'Employee Leaves'!$C:$C,$AF35,'Employee Leaves'!$E:$E,"Sick",'Employee Leaves'!$F:$F,AN$21)+SUMIFS('Employee Leaves'!$G:$G,'Employee Leaves'!$C:$C,$AF35,'Employee Leaves'!$E:$E,"Others",'Employee Leaves'!$F:$F,AN$21))</f>
        <v>-</v>
      </c>
      <c r="AO35" s="538">
        <f>IF(SUMIFS('Employee Leaves'!$G:$G,'Employee Leaves'!$C:$C,$AF35,'Employee Leaves'!$E:$E,"Sick",'Employee Leaves'!$F:$F,AO$21)+SUMIFS('Employee Leaves'!$G:$G,'Employee Leaves'!$C:$C,$AF35,'Employee Leaves'!$E:$E,"Others",'Employee Leaves'!$F:$F,AO$21)=0,"-",SUMIFS('Employee Leaves'!$G:$G,'Employee Leaves'!$C:$C,$AF35,'Employee Leaves'!$E:$E,"Sick",'Employee Leaves'!$F:$F,AO$21)+SUMIFS('Employee Leaves'!$G:$G,'Employee Leaves'!$C:$C,$AF35,'Employee Leaves'!$E:$E,"Others",'Employee Leaves'!$F:$F,AO$21))</f>
        <v>2</v>
      </c>
      <c r="AP35" s="538" t="str">
        <f>IF(SUMIFS('Employee Leaves'!$G:$G,'Employee Leaves'!$C:$C,$AF35,'Employee Leaves'!$E:$E,"Sick",'Employee Leaves'!$F:$F,AP$21)+SUMIFS('Employee Leaves'!$G:$G,'Employee Leaves'!$C:$C,$AF35,'Employee Leaves'!$E:$E,"Others",'Employee Leaves'!$F:$F,AP$21)=0,"-",SUMIFS('Employee Leaves'!$G:$G,'Employee Leaves'!$C:$C,$AF35,'Employee Leaves'!$E:$E,"Sick",'Employee Leaves'!$F:$F,AP$21)+SUMIFS('Employee Leaves'!$G:$G,'Employee Leaves'!$C:$C,$AF35,'Employee Leaves'!$E:$E,"Others",'Employee Leaves'!$F:$F,AP$21))</f>
        <v>-</v>
      </c>
      <c r="AQ35" s="538" t="str">
        <f>IF(SUMIFS('Employee Leaves'!$G:$G,'Employee Leaves'!$C:$C,$AF35,'Employee Leaves'!$E:$E,"Sick",'Employee Leaves'!$F:$F,AQ$21)+SUMIFS('Employee Leaves'!$G:$G,'Employee Leaves'!$C:$C,$AF35,'Employee Leaves'!$E:$E,"Others",'Employee Leaves'!$F:$F,AQ$21)=0,"-",SUMIFS('Employee Leaves'!$G:$G,'Employee Leaves'!$C:$C,$AF35,'Employee Leaves'!$E:$E,"Sick",'Employee Leaves'!$F:$F,AQ$21)+SUMIFS('Employee Leaves'!$G:$G,'Employee Leaves'!$C:$C,$AF35,'Employee Leaves'!$E:$E,"Others",'Employee Leaves'!$F:$F,AQ$21))</f>
        <v>-</v>
      </c>
      <c r="AR35" s="541" t="str">
        <f>IF(SUMIFS('Employee Leaves'!$G:$G,'Employee Leaves'!$C:$C,$AF35,'Employee Leaves'!$E:$E,"Sick",'Employee Leaves'!$F:$F,AR$21)+SUMIFS('Employee Leaves'!$G:$G,'Employee Leaves'!$C:$C,$AF35,'Employee Leaves'!$E:$E,"Others",'Employee Leaves'!$F:$F,AR$21)=0,"-",SUMIFS('Employee Leaves'!$G:$G,'Employee Leaves'!$C:$C,$AF35,'Employee Leaves'!$E:$E,"Sick",'Employee Leaves'!$F:$F,AR$21)+SUMIFS('Employee Leaves'!$G:$G,'Employee Leaves'!$C:$C,$AF35,'Employee Leaves'!$E:$E,"Others",'Employee Leaves'!$F:$F,AR$21))</f>
        <v>-</v>
      </c>
      <c r="AS35" s="330"/>
      <c r="AT35" s="330"/>
      <c r="AU35" s="330"/>
      <c r="AV35" s="330"/>
      <c r="AW35" s="330"/>
      <c r="AX35" s="330"/>
      <c r="AY35" s="330"/>
      <c r="AZ35" s="330"/>
      <c r="BA35" s="330"/>
      <c r="BB35" s="330"/>
      <c r="BC35" s="330"/>
      <c r="BD35" s="142"/>
      <c r="BE35" s="136"/>
      <c r="BF35" s="79" t="s">
        <v>22</v>
      </c>
      <c r="BG35" s="117" t="s">
        <v>32</v>
      </c>
      <c r="BH35" s="9">
        <f t="shared" si="32"/>
        <v>20</v>
      </c>
      <c r="BI35" s="3">
        <f t="shared" si="33"/>
        <v>95</v>
      </c>
      <c r="BJ35" s="3">
        <f>SUMIFS('Employee Leaves'!$G:$G,'Employee Leaves'!$C:$C,BG35,'Employee Leaves'!$E:$E,"Holiday")+SUMIFS('Employee Leaves'!$G:$G,'Employee Leaves'!$C:$C,BG35,'Employee Leaves'!$E:$E,"Paternity Leave")+SUMIFS('Employee Leaves'!$G:$G,'Employee Leaves'!$C:$C,BG35,'Employee Leaves'!$E:$E,"Maternity Leave")</f>
        <v>89</v>
      </c>
      <c r="BK35" s="3">
        <f>SUMIFS('Employee Leaves'!$G:$G,'Employee Leaves'!$C:$C,BG35,'Employee Leaves'!$E:$E,"Sick")+SUMIFS('Employee Leaves'!$G:$G,'Employee Leaves'!$C:$C,BG35,'Employee Leaves'!$E:$E,"Others")</f>
        <v>6</v>
      </c>
      <c r="BL35" s="224">
        <f t="shared" si="34"/>
        <v>8.0198347107438028</v>
      </c>
      <c r="BM35" s="26">
        <f t="shared" si="35"/>
        <v>3.6821705426356592E-2</v>
      </c>
      <c r="BN35" s="251">
        <f t="shared" si="36"/>
        <v>4.75</v>
      </c>
      <c r="BO35" s="273">
        <v>48.52</v>
      </c>
      <c r="BP35" s="270">
        <f t="shared" si="43"/>
        <v>72.78</v>
      </c>
      <c r="BQ35" s="270">
        <f t="shared" si="44"/>
        <v>388.16</v>
      </c>
      <c r="BR35" s="270">
        <f t="shared" si="45"/>
        <v>436.68</v>
      </c>
      <c r="BS35" s="270">
        <f t="shared" si="46"/>
        <v>655.02</v>
      </c>
      <c r="BT35" s="270">
        <f t="shared" si="47"/>
        <v>3493.44</v>
      </c>
      <c r="BU35" s="278">
        <f t="shared" si="48"/>
        <v>36875.200000000004</v>
      </c>
      <c r="BV35" s="278">
        <f t="shared" si="38"/>
        <v>12954.84</v>
      </c>
      <c r="BW35" s="278">
        <f t="shared" si="49"/>
        <v>3493.44</v>
      </c>
      <c r="BX35" s="278">
        <f t="shared" si="39"/>
        <v>16448.28</v>
      </c>
      <c r="BY35" s="278">
        <f t="shared" si="50"/>
        <v>53323.48</v>
      </c>
      <c r="BZ35" s="221">
        <f t="shared" si="51"/>
        <v>2666.174</v>
      </c>
      <c r="CA35" s="330"/>
      <c r="CB35" s="330"/>
      <c r="CC35" s="311" t="s">
        <v>176</v>
      </c>
      <c r="CD35" s="426" t="s">
        <v>177</v>
      </c>
      <c r="CE35" s="331" t="s">
        <v>115</v>
      </c>
      <c r="CF35" s="136"/>
      <c r="CG35" s="79" t="s">
        <v>22</v>
      </c>
      <c r="CH35" s="117" t="s">
        <v>32</v>
      </c>
      <c r="CI35" s="411">
        <f t="shared" si="40"/>
        <v>14</v>
      </c>
      <c r="CJ35" s="29">
        <f>COUNTIFS(Employees!$B:$B,$CG35,Employees!$C:$C,$CH35,Employees!G:G,"Resignation (Voluntary)")</f>
        <v>4</v>
      </c>
      <c r="CK35" s="30">
        <f>COUNTIFS(Employees!$B:$B,$CG35,Employees!$C:$C,$CH35,Employees!G:G,"Termination (Involuntary)")</f>
        <v>2</v>
      </c>
      <c r="CL35" s="52">
        <f>COUNTIFS(Employees!$B:$B,$CG35,Employees!$C:$C,$CH35)</f>
        <v>20</v>
      </c>
      <c r="CM35" s="142"/>
      <c r="CN35" s="431"/>
      <c r="CO35" s="79" t="s">
        <v>22</v>
      </c>
      <c r="CP35" s="117" t="s">
        <v>32</v>
      </c>
      <c r="CQ35" s="178">
        <f t="shared" si="52"/>
        <v>0.35294117647058826</v>
      </c>
      <c r="CR35" s="26">
        <f t="shared" si="41"/>
        <v>3.6821705426356592E-2</v>
      </c>
      <c r="CS35" s="142"/>
    </row>
    <row r="36" spans="2:97" ht="15.75" customHeight="1">
      <c r="B36" s="136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0"/>
      <c r="N36" s="330"/>
      <c r="O36" s="330"/>
      <c r="P36" s="330"/>
      <c r="Q36" s="330"/>
      <c r="R36" s="330"/>
      <c r="S36" s="330"/>
      <c r="T36" s="142"/>
      <c r="U36" s="136"/>
      <c r="V36" s="76" t="s">
        <v>22</v>
      </c>
      <c r="W36" s="114" t="s">
        <v>24</v>
      </c>
      <c r="X36" s="9">
        <f t="shared" si="27"/>
        <v>19</v>
      </c>
      <c r="Y36" s="9">
        <f t="shared" si="42"/>
        <v>87</v>
      </c>
      <c r="Z36" s="26">
        <f t="shared" si="28"/>
        <v>9.0476190476190474E-2</v>
      </c>
      <c r="AA36" s="132">
        <f t="shared" si="29"/>
        <v>3.5495716034271728E-2</v>
      </c>
      <c r="AB36" s="152">
        <f t="shared" si="30"/>
        <v>4.5789473684210522</v>
      </c>
      <c r="AC36" s="142"/>
      <c r="AD36" s="136"/>
      <c r="AE36" s="76" t="s">
        <v>22</v>
      </c>
      <c r="AF36" s="114" t="s">
        <v>24</v>
      </c>
      <c r="AG36" s="9">
        <f>COUNTIFS('Employee Leaves'!$B:$B,AE36,'Employee Leaves'!$C:$C,AF36)</f>
        <v>12</v>
      </c>
      <c r="AH36" s="416">
        <f>SUMIFS('Employee Leaves'!$G:$G,'Employee Leaves'!$B:$B,AE36,'Employee Leaves'!$C:$C,AF36)</f>
        <v>87</v>
      </c>
      <c r="AI36" s="330"/>
      <c r="AJ36" s="9">
        <f>SUMIFS('Employee Leaves'!$G:$G,'Employee Leaves'!$C:$C,AF36,'Employee Leaves'!$E:$E,$AJ$21)</f>
        <v>22</v>
      </c>
      <c r="AK36" s="58">
        <f>SUMIFS('Employee Leaves'!$G:$G,'Employee Leaves'!$C:$C,AF36,'Employee Leaves'!$E:$E,$AK$21)</f>
        <v>62</v>
      </c>
      <c r="AL36" s="26">
        <f t="shared" si="31"/>
        <v>8.9759281925744592E-3</v>
      </c>
      <c r="AM36" s="553" t="str">
        <f>IF(SUMIFS('Employee Leaves'!$G:$G,'Employee Leaves'!$C:$C,$AF36,'Employee Leaves'!$E:$E,"Sick",'Employee Leaves'!$F:$F,AM$21)+SUMIFS('Employee Leaves'!$G:$G,'Employee Leaves'!$C:$C,$AF36,'Employee Leaves'!$E:$E,"Others",'Employee Leaves'!$F:$F,AM$21)=0,"-",SUMIFS('Employee Leaves'!$G:$G,'Employee Leaves'!$C:$C,$AF36,'Employee Leaves'!$E:$E,"Sick",'Employee Leaves'!$F:$F,AM$21)+SUMIFS('Employee Leaves'!$G:$G,'Employee Leaves'!$C:$C,$AF36,'Employee Leaves'!$E:$E,"Others",'Employee Leaves'!$F:$F,AM$21))</f>
        <v>-</v>
      </c>
      <c r="AN36" s="538">
        <f>IF(SUMIFS('Employee Leaves'!$G:$G,'Employee Leaves'!$C:$C,$AF36,'Employee Leaves'!$E:$E,"Sick",'Employee Leaves'!$F:$F,AN$21)+SUMIFS('Employee Leaves'!$G:$G,'Employee Leaves'!$C:$C,$AF36,'Employee Leaves'!$E:$E,"Others",'Employee Leaves'!$F:$F,AN$21)=0,"-",SUMIFS('Employee Leaves'!$G:$G,'Employee Leaves'!$C:$C,$AF36,'Employee Leaves'!$E:$E,"Sick",'Employee Leaves'!$F:$F,AN$21)+SUMIFS('Employee Leaves'!$G:$G,'Employee Leaves'!$C:$C,$AF36,'Employee Leaves'!$E:$E,"Others",'Employee Leaves'!$F:$F,AN$21))</f>
        <v>9</v>
      </c>
      <c r="AO36" s="538">
        <f>IF(SUMIFS('Employee Leaves'!$G:$G,'Employee Leaves'!$C:$C,$AF36,'Employee Leaves'!$E:$E,"Sick",'Employee Leaves'!$F:$F,AO$21)+SUMIFS('Employee Leaves'!$G:$G,'Employee Leaves'!$C:$C,$AF36,'Employee Leaves'!$E:$E,"Others",'Employee Leaves'!$F:$F,AO$21)=0,"-",SUMIFS('Employee Leaves'!$G:$G,'Employee Leaves'!$C:$C,$AF36,'Employee Leaves'!$E:$E,"Sick",'Employee Leaves'!$F:$F,AO$21)+SUMIFS('Employee Leaves'!$G:$G,'Employee Leaves'!$C:$C,$AF36,'Employee Leaves'!$E:$E,"Others",'Employee Leaves'!$F:$F,AO$21))</f>
        <v>8</v>
      </c>
      <c r="AP36" s="538" t="str">
        <f>IF(SUMIFS('Employee Leaves'!$G:$G,'Employee Leaves'!$C:$C,$AF36,'Employee Leaves'!$E:$E,"Sick",'Employee Leaves'!$F:$F,AP$21)+SUMIFS('Employee Leaves'!$G:$G,'Employee Leaves'!$C:$C,$AF36,'Employee Leaves'!$E:$E,"Others",'Employee Leaves'!$F:$F,AP$21)=0,"-",SUMIFS('Employee Leaves'!$G:$G,'Employee Leaves'!$C:$C,$AF36,'Employee Leaves'!$E:$E,"Sick",'Employee Leaves'!$F:$F,AP$21)+SUMIFS('Employee Leaves'!$G:$G,'Employee Leaves'!$C:$C,$AF36,'Employee Leaves'!$E:$E,"Others",'Employee Leaves'!$F:$F,AP$21))</f>
        <v>-</v>
      </c>
      <c r="AQ36" s="538">
        <f>IF(SUMIFS('Employee Leaves'!$G:$G,'Employee Leaves'!$C:$C,$AF36,'Employee Leaves'!$E:$E,"Sick",'Employee Leaves'!$F:$F,AQ$21)+SUMIFS('Employee Leaves'!$G:$G,'Employee Leaves'!$C:$C,$AF36,'Employee Leaves'!$E:$E,"Others",'Employee Leaves'!$F:$F,AQ$21)=0,"-",SUMIFS('Employee Leaves'!$G:$G,'Employee Leaves'!$C:$C,$AF36,'Employee Leaves'!$E:$E,"Sick",'Employee Leaves'!$F:$F,AQ$21)+SUMIFS('Employee Leaves'!$G:$G,'Employee Leaves'!$C:$C,$AF36,'Employee Leaves'!$E:$E,"Others",'Employee Leaves'!$F:$F,AQ$21))</f>
        <v>3</v>
      </c>
      <c r="AR36" s="541">
        <f>IF(SUMIFS('Employee Leaves'!$G:$G,'Employee Leaves'!$C:$C,$AF36,'Employee Leaves'!$E:$E,"Sick",'Employee Leaves'!$F:$F,AR$21)+SUMIFS('Employee Leaves'!$G:$G,'Employee Leaves'!$C:$C,$AF36,'Employee Leaves'!$E:$E,"Others",'Employee Leaves'!$F:$F,AR$21)=0,"-",SUMIFS('Employee Leaves'!$G:$G,'Employee Leaves'!$C:$C,$AF36,'Employee Leaves'!$E:$E,"Sick",'Employee Leaves'!$F:$F,AR$21)+SUMIFS('Employee Leaves'!$G:$G,'Employee Leaves'!$C:$C,$AF36,'Employee Leaves'!$E:$E,"Others",'Employee Leaves'!$F:$F,AR$21))</f>
        <v>5</v>
      </c>
      <c r="AS36" s="330"/>
      <c r="AT36" s="330"/>
      <c r="AU36" s="330"/>
      <c r="AV36" s="330"/>
      <c r="AW36" s="330"/>
      <c r="AX36" s="330"/>
      <c r="AY36" s="330"/>
      <c r="AZ36" s="330"/>
      <c r="BA36" s="330"/>
      <c r="BB36" s="330"/>
      <c r="BC36" s="330"/>
      <c r="BD36" s="142"/>
      <c r="BE36" s="136"/>
      <c r="BF36" s="79" t="s">
        <v>22</v>
      </c>
      <c r="BG36" s="117" t="s">
        <v>24</v>
      </c>
      <c r="BH36" s="9">
        <f t="shared" si="32"/>
        <v>19</v>
      </c>
      <c r="BI36" s="3">
        <f t="shared" si="33"/>
        <v>87</v>
      </c>
      <c r="BJ36" s="3">
        <f>SUMIFS('Employee Leaves'!$G:$G,'Employee Leaves'!$C:$C,BG36,'Employee Leaves'!$E:$E,"Holiday")+SUMIFS('Employee Leaves'!$G:$G,'Employee Leaves'!$C:$C,BG36,'Employee Leaves'!$E:$E,"Paternity Leave")+SUMIFS('Employee Leaves'!$G:$G,'Employee Leaves'!$C:$C,BG36,'Employee Leaves'!$E:$E,"Maternity Leave")</f>
        <v>62</v>
      </c>
      <c r="BK36" s="3">
        <f>SUMIFS('Employee Leaves'!$G:$G,'Employee Leaves'!$C:$C,BG36,'Employee Leaves'!$E:$E,"Sick")+SUMIFS('Employee Leaves'!$G:$G,'Employee Leaves'!$C:$C,BG36,'Employee Leaves'!$E:$E,"Others")</f>
        <v>25</v>
      </c>
      <c r="BL36" s="224">
        <f t="shared" si="34"/>
        <v>7.6188429752066122</v>
      </c>
      <c r="BM36" s="26">
        <f t="shared" si="35"/>
        <v>3.5495716034271728E-2</v>
      </c>
      <c r="BN36" s="251">
        <f t="shared" si="36"/>
        <v>4.5789473684210522</v>
      </c>
      <c r="BO36" s="273">
        <v>48.52</v>
      </c>
      <c r="BP36" s="270">
        <f t="shared" si="43"/>
        <v>72.78</v>
      </c>
      <c r="BQ36" s="270">
        <f t="shared" si="44"/>
        <v>388.16</v>
      </c>
      <c r="BR36" s="270">
        <f t="shared" si="45"/>
        <v>436.68</v>
      </c>
      <c r="BS36" s="270">
        <f t="shared" si="46"/>
        <v>655.02</v>
      </c>
      <c r="BT36" s="270">
        <f t="shared" si="47"/>
        <v>3493.44</v>
      </c>
      <c r="BU36" s="278">
        <f t="shared" si="48"/>
        <v>33769.920000000006</v>
      </c>
      <c r="BV36" s="278">
        <f t="shared" si="38"/>
        <v>9024.7199999999993</v>
      </c>
      <c r="BW36" s="278">
        <f t="shared" si="49"/>
        <v>14556</v>
      </c>
      <c r="BX36" s="278">
        <f t="shared" si="39"/>
        <v>23580.720000000001</v>
      </c>
      <c r="BY36" s="278">
        <f t="shared" si="50"/>
        <v>57350.640000000007</v>
      </c>
      <c r="BZ36" s="221">
        <f t="shared" si="51"/>
        <v>3018.4547368421058</v>
      </c>
      <c r="CA36" s="330"/>
      <c r="CB36" s="330"/>
      <c r="CC36" s="311" t="s">
        <v>176</v>
      </c>
      <c r="CD36" s="426" t="s">
        <v>177</v>
      </c>
      <c r="CE36" s="331" t="s">
        <v>115</v>
      </c>
      <c r="CF36" s="136"/>
      <c r="CG36" s="79" t="s">
        <v>22</v>
      </c>
      <c r="CH36" s="117" t="s">
        <v>24</v>
      </c>
      <c r="CI36" s="411">
        <f t="shared" si="40"/>
        <v>15</v>
      </c>
      <c r="CJ36" s="29">
        <f>COUNTIFS(Employees!$B:$B,$CG36,Employees!$C:$C,$CH36,Employees!G:G,"Resignation (Voluntary)")</f>
        <v>2</v>
      </c>
      <c r="CK36" s="30">
        <f>COUNTIFS(Employees!$B:$B,$CG36,Employees!$C:$C,$CH36,Employees!G:G,"Termination (Involuntary)")</f>
        <v>2</v>
      </c>
      <c r="CL36" s="52">
        <f>COUNTIFS(Employees!$B:$B,$CG36,Employees!$C:$C,$CH36)</f>
        <v>19</v>
      </c>
      <c r="CM36" s="142"/>
      <c r="CN36" s="431"/>
      <c r="CO36" s="79" t="s">
        <v>22</v>
      </c>
      <c r="CP36" s="117" t="s">
        <v>24</v>
      </c>
      <c r="CQ36" s="178">
        <f t="shared" si="52"/>
        <v>0.23529411764705882</v>
      </c>
      <c r="CR36" s="26">
        <f t="shared" si="41"/>
        <v>3.5495716034271728E-2</v>
      </c>
      <c r="CS36" s="142"/>
    </row>
    <row r="37" spans="2:97" ht="15.75" customHeight="1">
      <c r="B37" s="136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142"/>
      <c r="U37" s="136"/>
      <c r="V37" s="76" t="s">
        <v>22</v>
      </c>
      <c r="W37" s="114" t="s">
        <v>31</v>
      </c>
      <c r="X37" s="9">
        <f t="shared" si="27"/>
        <v>9</v>
      </c>
      <c r="Y37" s="9">
        <f t="shared" si="42"/>
        <v>23</v>
      </c>
      <c r="Z37" s="26">
        <f t="shared" si="28"/>
        <v>4.2857142857142858E-2</v>
      </c>
      <c r="AA37" s="132">
        <f t="shared" si="29"/>
        <v>1.9810508182601206E-2</v>
      </c>
      <c r="AB37" s="152">
        <f t="shared" si="30"/>
        <v>2.5555555555555554</v>
      </c>
      <c r="AC37" s="142"/>
      <c r="AD37" s="136"/>
      <c r="AE37" s="76" t="s">
        <v>22</v>
      </c>
      <c r="AF37" s="114" t="s">
        <v>31</v>
      </c>
      <c r="AG37" s="9">
        <f>COUNTIFS('Employee Leaves'!$B:$B,AE37,'Employee Leaves'!$C:$C,AF37)</f>
        <v>3</v>
      </c>
      <c r="AH37" s="416">
        <f>SUMIFS('Employee Leaves'!$G:$G,'Employee Leaves'!$B:$B,AE37,'Employee Leaves'!$C:$C,AF37)</f>
        <v>23</v>
      </c>
      <c r="AI37" s="330"/>
      <c r="AJ37" s="9">
        <f>SUMIFS('Employee Leaves'!$G:$G,'Employee Leaves'!$C:$C,AF37,'Employee Leaves'!$E:$E,$AJ$21)</f>
        <v>12</v>
      </c>
      <c r="AK37" s="58">
        <f>SUMIFS('Employee Leaves'!$G:$G,'Employee Leaves'!$C:$C,AF37,'Employee Leaves'!$E:$E,$AK$21)</f>
        <v>11</v>
      </c>
      <c r="AL37" s="26">
        <f t="shared" si="31"/>
        <v>1.0335917312661499E-2</v>
      </c>
      <c r="AM37" s="553">
        <f>IF(SUMIFS('Employee Leaves'!$G:$G,'Employee Leaves'!$C:$C,$AF37,'Employee Leaves'!$E:$E,"Sick",'Employee Leaves'!$F:$F,AM$21)+SUMIFS('Employee Leaves'!$G:$G,'Employee Leaves'!$C:$C,$AF37,'Employee Leaves'!$E:$E,"Others",'Employee Leaves'!$F:$F,AM$21)=0,"-",SUMIFS('Employee Leaves'!$G:$G,'Employee Leaves'!$C:$C,$AF37,'Employee Leaves'!$E:$E,"Sick",'Employee Leaves'!$F:$F,AM$21)+SUMIFS('Employee Leaves'!$G:$G,'Employee Leaves'!$C:$C,$AF37,'Employee Leaves'!$E:$E,"Others",'Employee Leaves'!$F:$F,AM$21))</f>
        <v>12</v>
      </c>
      <c r="AN37" s="538" t="str">
        <f>IF(SUMIFS('Employee Leaves'!$G:$G,'Employee Leaves'!$C:$C,$AF37,'Employee Leaves'!$E:$E,"Sick",'Employee Leaves'!$F:$F,AN$21)+SUMIFS('Employee Leaves'!$G:$G,'Employee Leaves'!$C:$C,$AF37,'Employee Leaves'!$E:$E,"Others",'Employee Leaves'!$F:$F,AN$21)=0,"-",SUMIFS('Employee Leaves'!$G:$G,'Employee Leaves'!$C:$C,$AF37,'Employee Leaves'!$E:$E,"Sick",'Employee Leaves'!$F:$F,AN$21)+SUMIFS('Employee Leaves'!$G:$G,'Employee Leaves'!$C:$C,$AF37,'Employee Leaves'!$E:$E,"Others",'Employee Leaves'!$F:$F,AN$21))</f>
        <v>-</v>
      </c>
      <c r="AO37" s="538" t="str">
        <f>IF(SUMIFS('Employee Leaves'!$G:$G,'Employee Leaves'!$C:$C,$AF37,'Employee Leaves'!$E:$E,"Sick",'Employee Leaves'!$F:$F,AO$21)+SUMIFS('Employee Leaves'!$G:$G,'Employee Leaves'!$C:$C,$AF37,'Employee Leaves'!$E:$E,"Others",'Employee Leaves'!$F:$F,AO$21)=0,"-",SUMIFS('Employee Leaves'!$G:$G,'Employee Leaves'!$C:$C,$AF37,'Employee Leaves'!$E:$E,"Sick",'Employee Leaves'!$F:$F,AO$21)+SUMIFS('Employee Leaves'!$G:$G,'Employee Leaves'!$C:$C,$AF37,'Employee Leaves'!$E:$E,"Others",'Employee Leaves'!$F:$F,AO$21))</f>
        <v>-</v>
      </c>
      <c r="AP37" s="538" t="str">
        <f>IF(SUMIFS('Employee Leaves'!$G:$G,'Employee Leaves'!$C:$C,$AF37,'Employee Leaves'!$E:$E,"Sick",'Employee Leaves'!$F:$F,AP$21)+SUMIFS('Employee Leaves'!$G:$G,'Employee Leaves'!$C:$C,$AF37,'Employee Leaves'!$E:$E,"Others",'Employee Leaves'!$F:$F,AP$21)=0,"-",SUMIFS('Employee Leaves'!$G:$G,'Employee Leaves'!$C:$C,$AF37,'Employee Leaves'!$E:$E,"Sick",'Employee Leaves'!$F:$F,AP$21)+SUMIFS('Employee Leaves'!$G:$G,'Employee Leaves'!$C:$C,$AF37,'Employee Leaves'!$E:$E,"Others",'Employee Leaves'!$F:$F,AP$21))</f>
        <v>-</v>
      </c>
      <c r="AQ37" s="538" t="str">
        <f>IF(SUMIFS('Employee Leaves'!$G:$G,'Employee Leaves'!$C:$C,$AF37,'Employee Leaves'!$E:$E,"Sick",'Employee Leaves'!$F:$F,AQ$21)+SUMIFS('Employee Leaves'!$G:$G,'Employee Leaves'!$C:$C,$AF37,'Employee Leaves'!$E:$E,"Others",'Employee Leaves'!$F:$F,AQ$21)=0,"-",SUMIFS('Employee Leaves'!$G:$G,'Employee Leaves'!$C:$C,$AF37,'Employee Leaves'!$E:$E,"Sick",'Employee Leaves'!$F:$F,AQ$21)+SUMIFS('Employee Leaves'!$G:$G,'Employee Leaves'!$C:$C,$AF37,'Employee Leaves'!$E:$E,"Others",'Employee Leaves'!$F:$F,AQ$21))</f>
        <v>-</v>
      </c>
      <c r="AR37" s="541" t="str">
        <f>IF(SUMIFS('Employee Leaves'!$G:$G,'Employee Leaves'!$C:$C,$AF37,'Employee Leaves'!$E:$E,"Sick",'Employee Leaves'!$F:$F,AR$21)+SUMIFS('Employee Leaves'!$G:$G,'Employee Leaves'!$C:$C,$AF37,'Employee Leaves'!$E:$E,"Others",'Employee Leaves'!$F:$F,AR$21)=0,"-",SUMIFS('Employee Leaves'!$G:$G,'Employee Leaves'!$C:$C,$AF37,'Employee Leaves'!$E:$E,"Sick",'Employee Leaves'!$F:$F,AR$21)+SUMIFS('Employee Leaves'!$G:$G,'Employee Leaves'!$C:$C,$AF37,'Employee Leaves'!$E:$E,"Others",'Employee Leaves'!$F:$F,AR$21))</f>
        <v>-</v>
      </c>
      <c r="AS37" s="330"/>
      <c r="AT37" s="330"/>
      <c r="AU37" s="330"/>
      <c r="AV37" s="330"/>
      <c r="AW37" s="330"/>
      <c r="AX37" s="330"/>
      <c r="AY37" s="330"/>
      <c r="AZ37" s="330"/>
      <c r="BA37" s="330"/>
      <c r="BB37" s="330"/>
      <c r="BC37" s="330"/>
      <c r="BD37" s="142"/>
      <c r="BE37" s="136"/>
      <c r="BF37" s="79" t="s">
        <v>22</v>
      </c>
      <c r="BG37" s="117" t="s">
        <v>31</v>
      </c>
      <c r="BH37" s="9">
        <f t="shared" si="32"/>
        <v>9</v>
      </c>
      <c r="BI37" s="3">
        <f t="shared" si="33"/>
        <v>23</v>
      </c>
      <c r="BJ37" s="3">
        <f>SUMIFS('Employee Leaves'!$G:$G,'Employee Leaves'!$C:$C,BG37,'Employee Leaves'!$E:$E,"Holiday")+SUMIFS('Employee Leaves'!$G:$G,'Employee Leaves'!$C:$C,BG37,'Employee Leaves'!$E:$E,"Paternity Leave")+SUMIFS('Employee Leaves'!$G:$G,'Employee Leaves'!$C:$C,BG37,'Employee Leaves'!$E:$E,"Maternity Leave")</f>
        <v>11</v>
      </c>
      <c r="BK37" s="3">
        <f>SUMIFS('Employee Leaves'!$G:$G,'Employee Leaves'!$C:$C,BG37,'Employee Leaves'!$E:$E,"Sick")+SUMIFS('Employee Leaves'!$G:$G,'Employee Leaves'!$C:$C,BG37,'Employee Leaves'!$E:$E,"Others")</f>
        <v>12</v>
      </c>
      <c r="BL37" s="224">
        <f t="shared" si="34"/>
        <v>3.4066115702479336</v>
      </c>
      <c r="BM37" s="26">
        <f t="shared" si="35"/>
        <v>1.9810508182601206E-2</v>
      </c>
      <c r="BN37" s="251">
        <f t="shared" si="36"/>
        <v>2.5555555555555554</v>
      </c>
      <c r="BO37" s="273">
        <v>45.8</v>
      </c>
      <c r="BP37" s="270">
        <f t="shared" si="43"/>
        <v>68.699999999999989</v>
      </c>
      <c r="BQ37" s="270">
        <f t="shared" si="44"/>
        <v>366.4</v>
      </c>
      <c r="BR37" s="270">
        <f t="shared" si="45"/>
        <v>412.2</v>
      </c>
      <c r="BS37" s="270">
        <f t="shared" si="46"/>
        <v>618.29999999999995</v>
      </c>
      <c r="BT37" s="270">
        <f t="shared" si="47"/>
        <v>3297.6</v>
      </c>
      <c r="BU37" s="278">
        <f>BI37*BQ37</f>
        <v>8427.1999999999989</v>
      </c>
      <c r="BV37" s="278">
        <f t="shared" si="38"/>
        <v>1511.3999999999996</v>
      </c>
      <c r="BW37" s="278">
        <f t="shared" si="49"/>
        <v>6595.1999999999989</v>
      </c>
      <c r="BX37" s="278">
        <f t="shared" si="39"/>
        <v>8106.5999999999985</v>
      </c>
      <c r="BY37" s="278">
        <f t="shared" si="50"/>
        <v>16533.799999999996</v>
      </c>
      <c r="BZ37" s="221">
        <f t="shared" si="51"/>
        <v>1837.0888888888885</v>
      </c>
      <c r="CA37" s="330"/>
      <c r="CB37" s="330"/>
      <c r="CC37" s="311" t="s">
        <v>172</v>
      </c>
      <c r="CD37" s="426" t="s">
        <v>173</v>
      </c>
      <c r="CE37" s="331" t="s">
        <v>115</v>
      </c>
      <c r="CF37" s="136"/>
      <c r="CG37" s="79" t="s">
        <v>22</v>
      </c>
      <c r="CH37" s="117" t="s">
        <v>31</v>
      </c>
      <c r="CI37" s="411">
        <f t="shared" si="40"/>
        <v>9</v>
      </c>
      <c r="CJ37" s="29">
        <f>COUNTIFS(Employees!$B:$B,$CG37,Employees!$C:$C,$CH37,Employees!G:G,"Resignation (Voluntary)")</f>
        <v>0</v>
      </c>
      <c r="CK37" s="30">
        <f>COUNTIFS(Employees!$B:$B,$CG37,Employees!$C:$C,$CH37,Employees!G:G,"Termination (Involuntary)")</f>
        <v>0</v>
      </c>
      <c r="CL37" s="52">
        <f>COUNTIFS(Employees!$B:$B,$CG37,Employees!$C:$C,$CH37)</f>
        <v>9</v>
      </c>
      <c r="CM37" s="142"/>
      <c r="CN37" s="431"/>
      <c r="CO37" s="79" t="s">
        <v>22</v>
      </c>
      <c r="CP37" s="117" t="s">
        <v>31</v>
      </c>
      <c r="CQ37" s="178">
        <f t="shared" si="52"/>
        <v>0</v>
      </c>
      <c r="CR37" s="26">
        <f t="shared" si="41"/>
        <v>1.9810508182601206E-2</v>
      </c>
      <c r="CS37" s="142"/>
    </row>
    <row r="38" spans="2:97" ht="15.75" customHeight="1">
      <c r="B38" s="136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142"/>
      <c r="U38" s="136"/>
      <c r="V38" s="76" t="s">
        <v>22</v>
      </c>
      <c r="W38" s="114" t="s">
        <v>25</v>
      </c>
      <c r="X38" s="9">
        <f t="shared" si="27"/>
        <v>6</v>
      </c>
      <c r="Y38" s="9">
        <f t="shared" si="42"/>
        <v>16</v>
      </c>
      <c r="Z38" s="26">
        <f t="shared" si="28"/>
        <v>2.8571428571428571E-2</v>
      </c>
      <c r="AA38" s="132">
        <f t="shared" si="29"/>
        <v>2.0671834625322998E-2</v>
      </c>
      <c r="AB38" s="152">
        <f t="shared" si="30"/>
        <v>2.6666666666666665</v>
      </c>
      <c r="AC38" s="142"/>
      <c r="AD38" s="136"/>
      <c r="AE38" s="76" t="s">
        <v>22</v>
      </c>
      <c r="AF38" s="114" t="s">
        <v>25</v>
      </c>
      <c r="AG38" s="9">
        <f>COUNTIFS('Employee Leaves'!$B:$B,AE38,'Employee Leaves'!$C:$C,AF38)</f>
        <v>3</v>
      </c>
      <c r="AH38" s="416">
        <f>SUMIFS('Employee Leaves'!$G:$G,'Employee Leaves'!$B:$B,AE38,'Employee Leaves'!$C:$C,AF38)</f>
        <v>16</v>
      </c>
      <c r="AI38" s="330"/>
      <c r="AJ38" s="9">
        <f>SUMIFS('Employee Leaves'!$G:$G,'Employee Leaves'!$C:$C,AF38,'Employee Leaves'!$E:$E,$AJ$21)</f>
        <v>12</v>
      </c>
      <c r="AK38" s="58">
        <f>SUMIFS('Employee Leaves'!$G:$G,'Employee Leaves'!$C:$C,AF38,'Employee Leaves'!$E:$E,$AK$21)</f>
        <v>0</v>
      </c>
      <c r="AL38" s="26">
        <f t="shared" si="31"/>
        <v>1.5503875968992248E-2</v>
      </c>
      <c r="AM38" s="553" t="str">
        <f>IF(SUMIFS('Employee Leaves'!$G:$G,'Employee Leaves'!$C:$C,$AF38,'Employee Leaves'!$E:$E,"Sick",'Employee Leaves'!$F:$F,AM$21)+SUMIFS('Employee Leaves'!$G:$G,'Employee Leaves'!$C:$C,$AF38,'Employee Leaves'!$E:$E,"Others",'Employee Leaves'!$F:$F,AM$21)=0,"-",SUMIFS('Employee Leaves'!$G:$G,'Employee Leaves'!$C:$C,$AF38,'Employee Leaves'!$E:$E,"Sick",'Employee Leaves'!$F:$F,AM$21)+SUMIFS('Employee Leaves'!$G:$G,'Employee Leaves'!$C:$C,$AF38,'Employee Leaves'!$E:$E,"Others",'Employee Leaves'!$F:$F,AM$21))</f>
        <v>-</v>
      </c>
      <c r="AN38" s="538">
        <f>IF(SUMIFS('Employee Leaves'!$G:$G,'Employee Leaves'!$C:$C,$AF38,'Employee Leaves'!$E:$E,"Sick",'Employee Leaves'!$F:$F,AN$21)+SUMIFS('Employee Leaves'!$G:$G,'Employee Leaves'!$C:$C,$AF38,'Employee Leaves'!$E:$E,"Others",'Employee Leaves'!$F:$F,AN$21)=0,"-",SUMIFS('Employee Leaves'!$G:$G,'Employee Leaves'!$C:$C,$AF38,'Employee Leaves'!$E:$E,"Sick",'Employee Leaves'!$F:$F,AN$21)+SUMIFS('Employee Leaves'!$G:$G,'Employee Leaves'!$C:$C,$AF38,'Employee Leaves'!$E:$E,"Others",'Employee Leaves'!$F:$F,AN$21))</f>
        <v>12</v>
      </c>
      <c r="AO38" s="538" t="str">
        <f>IF(SUMIFS('Employee Leaves'!$G:$G,'Employee Leaves'!$C:$C,$AF38,'Employee Leaves'!$E:$E,"Sick",'Employee Leaves'!$F:$F,AO$21)+SUMIFS('Employee Leaves'!$G:$G,'Employee Leaves'!$C:$C,$AF38,'Employee Leaves'!$E:$E,"Others",'Employee Leaves'!$F:$F,AO$21)=0,"-",SUMIFS('Employee Leaves'!$G:$G,'Employee Leaves'!$C:$C,$AF38,'Employee Leaves'!$E:$E,"Sick",'Employee Leaves'!$F:$F,AO$21)+SUMIFS('Employee Leaves'!$G:$G,'Employee Leaves'!$C:$C,$AF38,'Employee Leaves'!$E:$E,"Others",'Employee Leaves'!$F:$F,AO$21))</f>
        <v>-</v>
      </c>
      <c r="AP38" s="538" t="str">
        <f>IF(SUMIFS('Employee Leaves'!$G:$G,'Employee Leaves'!$C:$C,$AF38,'Employee Leaves'!$E:$E,"Sick",'Employee Leaves'!$F:$F,AP$21)+SUMIFS('Employee Leaves'!$G:$G,'Employee Leaves'!$C:$C,$AF38,'Employee Leaves'!$E:$E,"Others",'Employee Leaves'!$F:$F,AP$21)=0,"-",SUMIFS('Employee Leaves'!$G:$G,'Employee Leaves'!$C:$C,$AF38,'Employee Leaves'!$E:$E,"Sick",'Employee Leaves'!$F:$F,AP$21)+SUMIFS('Employee Leaves'!$G:$G,'Employee Leaves'!$C:$C,$AF38,'Employee Leaves'!$E:$E,"Others",'Employee Leaves'!$F:$F,AP$21))</f>
        <v>-</v>
      </c>
      <c r="AQ38" s="538" t="str">
        <f>IF(SUMIFS('Employee Leaves'!$G:$G,'Employee Leaves'!$C:$C,$AF38,'Employee Leaves'!$E:$E,"Sick",'Employee Leaves'!$F:$F,AQ$21)+SUMIFS('Employee Leaves'!$G:$G,'Employee Leaves'!$C:$C,$AF38,'Employee Leaves'!$E:$E,"Others",'Employee Leaves'!$F:$F,AQ$21)=0,"-",SUMIFS('Employee Leaves'!$G:$G,'Employee Leaves'!$C:$C,$AF38,'Employee Leaves'!$E:$E,"Sick",'Employee Leaves'!$F:$F,AQ$21)+SUMIFS('Employee Leaves'!$G:$G,'Employee Leaves'!$C:$C,$AF38,'Employee Leaves'!$E:$E,"Others",'Employee Leaves'!$F:$F,AQ$21))</f>
        <v>-</v>
      </c>
      <c r="AR38" s="541">
        <f>IF(SUMIFS('Employee Leaves'!$G:$G,'Employee Leaves'!$C:$C,$AF38,'Employee Leaves'!$E:$E,"Sick",'Employee Leaves'!$F:$F,AR$21)+SUMIFS('Employee Leaves'!$G:$G,'Employee Leaves'!$C:$C,$AF38,'Employee Leaves'!$E:$E,"Others",'Employee Leaves'!$F:$F,AR$21)=0,"-",SUMIFS('Employee Leaves'!$G:$G,'Employee Leaves'!$C:$C,$AF38,'Employee Leaves'!$E:$E,"Sick",'Employee Leaves'!$F:$F,AR$21)+SUMIFS('Employee Leaves'!$G:$G,'Employee Leaves'!$C:$C,$AF38,'Employee Leaves'!$E:$E,"Others",'Employee Leaves'!$F:$F,AR$21))</f>
        <v>4</v>
      </c>
      <c r="AS38" s="330"/>
      <c r="AT38" s="330"/>
      <c r="AU38" s="330"/>
      <c r="AV38" s="330"/>
      <c r="AW38" s="330"/>
      <c r="AX38" s="330"/>
      <c r="AY38" s="330"/>
      <c r="AZ38" s="330"/>
      <c r="BA38" s="330"/>
      <c r="BB38" s="330"/>
      <c r="BC38" s="330"/>
      <c r="BD38" s="142"/>
      <c r="BE38" s="136"/>
      <c r="BF38" s="79" t="s">
        <v>22</v>
      </c>
      <c r="BG38" s="117" t="s">
        <v>25</v>
      </c>
      <c r="BH38" s="9">
        <f t="shared" si="32"/>
        <v>6</v>
      </c>
      <c r="BI38" s="3">
        <f t="shared" si="33"/>
        <v>16</v>
      </c>
      <c r="BJ38" s="3">
        <f>SUMIFS('Employee Leaves'!$G:$G,'Employee Leaves'!$C:$C,BG38,'Employee Leaves'!$E:$E,"Holiday")+SUMIFS('Employee Leaves'!$G:$G,'Employee Leaves'!$C:$C,BG38,'Employee Leaves'!$E:$E,"Paternity Leave")+SUMIFS('Employee Leaves'!$G:$G,'Employee Leaves'!$C:$C,BG38,'Employee Leaves'!$E:$E,"Maternity Leave")</f>
        <v>0</v>
      </c>
      <c r="BK38" s="3">
        <f>SUMIFS('Employee Leaves'!$G:$G,'Employee Leaves'!$C:$C,BG38,'Employee Leaves'!$E:$E,"Sick")+SUMIFS('Employee Leaves'!$G:$G,'Employee Leaves'!$C:$C,BG38,'Employee Leaves'!$E:$E,"Others")</f>
        <v>16</v>
      </c>
      <c r="BL38" s="224">
        <f t="shared" si="34"/>
        <v>2.2710743801652891</v>
      </c>
      <c r="BM38" s="26">
        <f t="shared" si="35"/>
        <v>2.0671834625322998E-2</v>
      </c>
      <c r="BN38" s="251">
        <f t="shared" si="36"/>
        <v>2.6666666666666665</v>
      </c>
      <c r="BO38" s="273">
        <v>45.8</v>
      </c>
      <c r="BP38" s="270">
        <f t="shared" si="43"/>
        <v>68.699999999999989</v>
      </c>
      <c r="BQ38" s="270">
        <f t="shared" si="44"/>
        <v>366.4</v>
      </c>
      <c r="BR38" s="270">
        <f t="shared" si="45"/>
        <v>412.2</v>
      </c>
      <c r="BS38" s="270">
        <f t="shared" si="46"/>
        <v>618.29999999999995</v>
      </c>
      <c r="BT38" s="270">
        <f t="shared" si="47"/>
        <v>3297.6</v>
      </c>
      <c r="BU38" s="278">
        <f t="shared" si="48"/>
        <v>5862.4</v>
      </c>
      <c r="BV38" s="278">
        <f t="shared" si="38"/>
        <v>0</v>
      </c>
      <c r="BW38" s="278">
        <f t="shared" si="49"/>
        <v>8793.5999999999985</v>
      </c>
      <c r="BX38" s="278">
        <f t="shared" si="39"/>
        <v>8793.5999999999985</v>
      </c>
      <c r="BY38" s="278">
        <f t="shared" si="50"/>
        <v>14655.999999999998</v>
      </c>
      <c r="BZ38" s="221">
        <f t="shared" si="51"/>
        <v>2442.6666666666665</v>
      </c>
      <c r="CA38" s="330"/>
      <c r="CB38" s="330"/>
      <c r="CC38" s="311" t="s">
        <v>172</v>
      </c>
      <c r="CD38" s="426" t="s">
        <v>173</v>
      </c>
      <c r="CE38" s="331" t="s">
        <v>115</v>
      </c>
      <c r="CF38" s="136"/>
      <c r="CG38" s="79" t="s">
        <v>22</v>
      </c>
      <c r="CH38" s="117" t="s">
        <v>25</v>
      </c>
      <c r="CI38" s="411">
        <f t="shared" si="40"/>
        <v>6</v>
      </c>
      <c r="CJ38" s="29">
        <f>COUNTIFS(Employees!$B:$B,$CG38,Employees!$C:$C,$CH38,Employees!G:G,"Resignation (Voluntary)")</f>
        <v>0</v>
      </c>
      <c r="CK38" s="30">
        <f>COUNTIFS(Employees!$B:$B,$CG38,Employees!$C:$C,$CH38,Employees!G:G,"Termination (Involuntary)")</f>
        <v>0</v>
      </c>
      <c r="CL38" s="52">
        <f>COUNTIFS(Employees!$B:$B,$CG38,Employees!$C:$C,$CH38)</f>
        <v>6</v>
      </c>
      <c r="CM38" s="142"/>
      <c r="CN38" s="431"/>
      <c r="CO38" s="79" t="s">
        <v>22</v>
      </c>
      <c r="CP38" s="117" t="s">
        <v>25</v>
      </c>
      <c r="CQ38" s="178">
        <f t="shared" si="52"/>
        <v>0</v>
      </c>
      <c r="CR38" s="26">
        <f t="shared" si="41"/>
        <v>2.0671834625322998E-2</v>
      </c>
      <c r="CS38" s="142"/>
    </row>
    <row r="39" spans="2:97" ht="15.75" customHeight="1">
      <c r="B39" s="136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142"/>
      <c r="U39" s="136"/>
      <c r="V39" s="76" t="s">
        <v>22</v>
      </c>
      <c r="W39" s="114" t="s">
        <v>29</v>
      </c>
      <c r="X39" s="9">
        <f t="shared" si="27"/>
        <v>11</v>
      </c>
      <c r="Y39" s="9">
        <f t="shared" si="42"/>
        <v>68</v>
      </c>
      <c r="Z39" s="26">
        <f t="shared" si="28"/>
        <v>5.2380952380952382E-2</v>
      </c>
      <c r="AA39" s="132">
        <f t="shared" si="29"/>
        <v>4.7921071176885127E-2</v>
      </c>
      <c r="AB39" s="152">
        <f t="shared" si="30"/>
        <v>6.1818181818181817</v>
      </c>
      <c r="AC39" s="142"/>
      <c r="AD39" s="136"/>
      <c r="AE39" s="76" t="s">
        <v>22</v>
      </c>
      <c r="AF39" s="114" t="s">
        <v>29</v>
      </c>
      <c r="AG39" s="9">
        <f>COUNTIFS('Employee Leaves'!$B:$B,AE39,'Employee Leaves'!$C:$C,AF39)</f>
        <v>13</v>
      </c>
      <c r="AH39" s="416">
        <f>SUMIFS('Employee Leaves'!$G:$G,'Employee Leaves'!$B:$B,AE39,'Employee Leaves'!$C:$C,AF39)</f>
        <v>68</v>
      </c>
      <c r="AI39" s="330"/>
      <c r="AJ39" s="9">
        <f>SUMIFS('Employee Leaves'!$G:$G,'Employee Leaves'!$C:$C,AF39,'Employee Leaves'!$E:$E,$AJ$21)</f>
        <v>21</v>
      </c>
      <c r="AK39" s="58">
        <f>SUMIFS('Employee Leaves'!$G:$G,'Employee Leaves'!$C:$C,AF39,'Employee Leaves'!$E:$E,$AK$21)</f>
        <v>44</v>
      </c>
      <c r="AL39" s="26">
        <f t="shared" si="31"/>
        <v>1.4799154334038054E-2</v>
      </c>
      <c r="AM39" s="553">
        <f>IF(SUMIFS('Employee Leaves'!$G:$G,'Employee Leaves'!$C:$C,$AF39,'Employee Leaves'!$E:$E,"Sick",'Employee Leaves'!$F:$F,AM$21)+SUMIFS('Employee Leaves'!$G:$G,'Employee Leaves'!$C:$C,$AF39,'Employee Leaves'!$E:$E,"Others",'Employee Leaves'!$F:$F,AM$21)=0,"-",SUMIFS('Employee Leaves'!$G:$G,'Employee Leaves'!$C:$C,$AF39,'Employee Leaves'!$E:$E,"Sick",'Employee Leaves'!$F:$F,AM$21)+SUMIFS('Employee Leaves'!$G:$G,'Employee Leaves'!$C:$C,$AF39,'Employee Leaves'!$E:$E,"Others",'Employee Leaves'!$F:$F,AM$21))</f>
        <v>19</v>
      </c>
      <c r="AN39" s="538">
        <f>IF(SUMIFS('Employee Leaves'!$G:$G,'Employee Leaves'!$C:$C,$AF39,'Employee Leaves'!$E:$E,"Sick",'Employee Leaves'!$F:$F,AN$21)+SUMIFS('Employee Leaves'!$G:$G,'Employee Leaves'!$C:$C,$AF39,'Employee Leaves'!$E:$E,"Others",'Employee Leaves'!$F:$F,AN$21)=0,"-",SUMIFS('Employee Leaves'!$G:$G,'Employee Leaves'!$C:$C,$AF39,'Employee Leaves'!$E:$E,"Sick",'Employee Leaves'!$F:$F,AN$21)+SUMIFS('Employee Leaves'!$G:$G,'Employee Leaves'!$C:$C,$AF39,'Employee Leaves'!$E:$E,"Others",'Employee Leaves'!$F:$F,AN$21))</f>
        <v>3</v>
      </c>
      <c r="AO39" s="538">
        <f>IF(SUMIFS('Employee Leaves'!$G:$G,'Employee Leaves'!$C:$C,$AF39,'Employee Leaves'!$E:$E,"Sick",'Employee Leaves'!$F:$F,AO$21)+SUMIFS('Employee Leaves'!$G:$G,'Employee Leaves'!$C:$C,$AF39,'Employee Leaves'!$E:$E,"Others",'Employee Leaves'!$F:$F,AO$21)=0,"-",SUMIFS('Employee Leaves'!$G:$G,'Employee Leaves'!$C:$C,$AF39,'Employee Leaves'!$E:$E,"Sick",'Employee Leaves'!$F:$F,AO$21)+SUMIFS('Employee Leaves'!$G:$G,'Employee Leaves'!$C:$C,$AF39,'Employee Leaves'!$E:$E,"Others",'Employee Leaves'!$F:$F,AO$21))</f>
        <v>2</v>
      </c>
      <c r="AP39" s="538" t="str">
        <f>IF(SUMIFS('Employee Leaves'!$G:$G,'Employee Leaves'!$C:$C,$AF39,'Employee Leaves'!$E:$E,"Sick",'Employee Leaves'!$F:$F,AP$21)+SUMIFS('Employee Leaves'!$G:$G,'Employee Leaves'!$C:$C,$AF39,'Employee Leaves'!$E:$E,"Others",'Employee Leaves'!$F:$F,AP$21)=0,"-",SUMIFS('Employee Leaves'!$G:$G,'Employee Leaves'!$C:$C,$AF39,'Employee Leaves'!$E:$E,"Sick",'Employee Leaves'!$F:$F,AP$21)+SUMIFS('Employee Leaves'!$G:$G,'Employee Leaves'!$C:$C,$AF39,'Employee Leaves'!$E:$E,"Others",'Employee Leaves'!$F:$F,AP$21))</f>
        <v>-</v>
      </c>
      <c r="AQ39" s="538" t="str">
        <f>IF(SUMIFS('Employee Leaves'!$G:$G,'Employee Leaves'!$C:$C,$AF39,'Employee Leaves'!$E:$E,"Sick",'Employee Leaves'!$F:$F,AQ$21)+SUMIFS('Employee Leaves'!$G:$G,'Employee Leaves'!$C:$C,$AF39,'Employee Leaves'!$E:$E,"Others",'Employee Leaves'!$F:$F,AQ$21)=0,"-",SUMIFS('Employee Leaves'!$G:$G,'Employee Leaves'!$C:$C,$AF39,'Employee Leaves'!$E:$E,"Sick",'Employee Leaves'!$F:$F,AQ$21)+SUMIFS('Employee Leaves'!$G:$G,'Employee Leaves'!$C:$C,$AF39,'Employee Leaves'!$E:$E,"Others",'Employee Leaves'!$F:$F,AQ$21))</f>
        <v>-</v>
      </c>
      <c r="AR39" s="541" t="str">
        <f>IF(SUMIFS('Employee Leaves'!$G:$G,'Employee Leaves'!$C:$C,$AF39,'Employee Leaves'!$E:$E,"Sick",'Employee Leaves'!$F:$F,AR$21)+SUMIFS('Employee Leaves'!$G:$G,'Employee Leaves'!$C:$C,$AF39,'Employee Leaves'!$E:$E,"Others",'Employee Leaves'!$F:$F,AR$21)=0,"-",SUMIFS('Employee Leaves'!$G:$G,'Employee Leaves'!$C:$C,$AF39,'Employee Leaves'!$E:$E,"Sick",'Employee Leaves'!$F:$F,AR$21)+SUMIFS('Employee Leaves'!$G:$G,'Employee Leaves'!$C:$C,$AF39,'Employee Leaves'!$E:$E,"Others",'Employee Leaves'!$F:$F,AR$21))</f>
        <v>-</v>
      </c>
      <c r="AS39" s="330"/>
      <c r="AT39" s="330"/>
      <c r="AU39" s="330"/>
      <c r="AV39" s="330"/>
      <c r="AW39" s="330"/>
      <c r="AX39" s="330"/>
      <c r="AY39" s="330"/>
      <c r="AZ39" s="330"/>
      <c r="BA39" s="330"/>
      <c r="BB39" s="330"/>
      <c r="BC39" s="330"/>
      <c r="BD39" s="142"/>
      <c r="BE39" s="136"/>
      <c r="BF39" s="79" t="s">
        <v>22</v>
      </c>
      <c r="BG39" s="117" t="s">
        <v>29</v>
      </c>
      <c r="BH39" s="9">
        <f t="shared" si="32"/>
        <v>11</v>
      </c>
      <c r="BI39" s="3">
        <f t="shared" si="33"/>
        <v>68</v>
      </c>
      <c r="BJ39" s="3">
        <f>SUMIFS('Employee Leaves'!$G:$G,'Employee Leaves'!$C:$C,BG39,'Employee Leaves'!$E:$E,"Holiday")+SUMIFS('Employee Leaves'!$G:$G,'Employee Leaves'!$C:$C,BG39,'Employee Leaves'!$E:$E,"Paternity Leave")+SUMIFS('Employee Leaves'!$G:$G,'Employee Leaves'!$C:$C,BG39,'Employee Leaves'!$E:$E,"Maternity Leave")</f>
        <v>44</v>
      </c>
      <c r="BK39" s="3">
        <f>SUMIFS('Employee Leaves'!$G:$G,'Employee Leaves'!$C:$C,BG39,'Employee Leaves'!$E:$E,"Sick")+SUMIFS('Employee Leaves'!$G:$G,'Employee Leaves'!$C:$C,BG39,'Employee Leaves'!$E:$E,"Others")</f>
        <v>24</v>
      </c>
      <c r="BL39" s="224">
        <f t="shared" si="34"/>
        <v>4.1636363636363631</v>
      </c>
      <c r="BM39" s="26">
        <f t="shared" si="35"/>
        <v>4.7921071176885127E-2</v>
      </c>
      <c r="BN39" s="251">
        <f t="shared" si="36"/>
        <v>6.1818181818181817</v>
      </c>
      <c r="BO39" s="273">
        <v>45.8</v>
      </c>
      <c r="BP39" s="270">
        <f t="shared" si="43"/>
        <v>68.699999999999989</v>
      </c>
      <c r="BQ39" s="270">
        <f t="shared" si="44"/>
        <v>366.4</v>
      </c>
      <c r="BR39" s="270">
        <f t="shared" si="45"/>
        <v>412.2</v>
      </c>
      <c r="BS39" s="270">
        <f t="shared" si="46"/>
        <v>618.29999999999995</v>
      </c>
      <c r="BT39" s="270">
        <f t="shared" si="47"/>
        <v>3297.6</v>
      </c>
      <c r="BU39" s="278">
        <f t="shared" si="48"/>
        <v>24915.199999999997</v>
      </c>
      <c r="BV39" s="278">
        <f t="shared" si="38"/>
        <v>6045.5999999999985</v>
      </c>
      <c r="BW39" s="278">
        <f t="shared" si="49"/>
        <v>13190.399999999998</v>
      </c>
      <c r="BX39" s="278">
        <f t="shared" si="39"/>
        <v>19235.999999999996</v>
      </c>
      <c r="BY39" s="278">
        <f t="shared" si="50"/>
        <v>44151.199999999997</v>
      </c>
      <c r="BZ39" s="221">
        <f t="shared" si="51"/>
        <v>4013.7454545454543</v>
      </c>
      <c r="CA39" s="330"/>
      <c r="CB39" s="330"/>
      <c r="CC39" s="311" t="s">
        <v>172</v>
      </c>
      <c r="CD39" s="426" t="s">
        <v>173</v>
      </c>
      <c r="CE39" s="331" t="s">
        <v>115</v>
      </c>
      <c r="CF39" s="136"/>
      <c r="CG39" s="79" t="s">
        <v>22</v>
      </c>
      <c r="CH39" s="117" t="s">
        <v>29</v>
      </c>
      <c r="CI39" s="411">
        <f t="shared" si="40"/>
        <v>11</v>
      </c>
      <c r="CJ39" s="29">
        <f>COUNTIFS(Employees!$B:$B,$CG39,Employees!$C:$C,$CH39,Employees!G:G,"Resignation (Voluntary)")</f>
        <v>0</v>
      </c>
      <c r="CK39" s="30">
        <f>COUNTIFS(Employees!$B:$B,$CG39,Employees!$C:$C,$CH39,Employees!G:G,"Termination (Involuntary)")</f>
        <v>0</v>
      </c>
      <c r="CL39" s="52">
        <f>COUNTIFS(Employees!$B:$B,$CG39,Employees!$C:$C,$CH39)</f>
        <v>11</v>
      </c>
      <c r="CM39" s="142"/>
      <c r="CN39" s="431"/>
      <c r="CO39" s="79" t="s">
        <v>22</v>
      </c>
      <c r="CP39" s="117" t="s">
        <v>29</v>
      </c>
      <c r="CQ39" s="178">
        <f t="shared" si="52"/>
        <v>0</v>
      </c>
      <c r="CR39" s="26">
        <f t="shared" si="41"/>
        <v>4.7921071176885127E-2</v>
      </c>
      <c r="CS39" s="142"/>
    </row>
    <row r="40" spans="2:97" ht="15.75" customHeight="1">
      <c r="B40" s="136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142"/>
      <c r="U40" s="136"/>
      <c r="V40" s="76" t="s">
        <v>22</v>
      </c>
      <c r="W40" s="114" t="s">
        <v>34</v>
      </c>
      <c r="X40" s="9">
        <f t="shared" si="27"/>
        <v>4</v>
      </c>
      <c r="Y40" s="9">
        <f t="shared" si="42"/>
        <v>38</v>
      </c>
      <c r="Z40" s="26">
        <f t="shared" si="28"/>
        <v>1.9047619047619049E-2</v>
      </c>
      <c r="AA40" s="132">
        <f t="shared" si="29"/>
        <v>7.3643410852713184E-2</v>
      </c>
      <c r="AB40" s="152">
        <f t="shared" si="30"/>
        <v>9.5</v>
      </c>
      <c r="AC40" s="142"/>
      <c r="AD40" s="136"/>
      <c r="AE40" s="76" t="s">
        <v>22</v>
      </c>
      <c r="AF40" s="114" t="s">
        <v>34</v>
      </c>
      <c r="AG40" s="9">
        <f>COUNTIFS('Employee Leaves'!$B:$B,AE40,'Employee Leaves'!$C:$C,AF40)</f>
        <v>5</v>
      </c>
      <c r="AH40" s="416">
        <f>SUMIFS('Employee Leaves'!$G:$G,'Employee Leaves'!$B:$B,AE40,'Employee Leaves'!$C:$C,AF40)</f>
        <v>38</v>
      </c>
      <c r="AI40" s="330"/>
      <c r="AJ40" s="9">
        <f>SUMIFS('Employee Leaves'!$G:$G,'Employee Leaves'!$C:$C,AF40,'Employee Leaves'!$E:$E,$AJ$21)</f>
        <v>0</v>
      </c>
      <c r="AK40" s="58">
        <f>SUMIFS('Employee Leaves'!$G:$G,'Employee Leaves'!$C:$C,AF40,'Employee Leaves'!$E:$E,$AK$21)</f>
        <v>25</v>
      </c>
      <c r="AL40" s="26">
        <f t="shared" si="31"/>
        <v>0</v>
      </c>
      <c r="AM40" s="553" t="str">
        <f>IF(SUMIFS('Employee Leaves'!$G:$G,'Employee Leaves'!$C:$C,$AF40,'Employee Leaves'!$E:$E,"Sick",'Employee Leaves'!$F:$F,AM$21)+SUMIFS('Employee Leaves'!$G:$G,'Employee Leaves'!$C:$C,$AF40,'Employee Leaves'!$E:$E,"Others",'Employee Leaves'!$F:$F,AM$21)=0,"-",SUMIFS('Employee Leaves'!$G:$G,'Employee Leaves'!$C:$C,$AF40,'Employee Leaves'!$E:$E,"Sick",'Employee Leaves'!$F:$F,AM$21)+SUMIFS('Employee Leaves'!$G:$G,'Employee Leaves'!$C:$C,$AF40,'Employee Leaves'!$E:$E,"Others",'Employee Leaves'!$F:$F,AM$21))</f>
        <v>-</v>
      </c>
      <c r="AN40" s="538" t="str">
        <f>IF(SUMIFS('Employee Leaves'!$G:$G,'Employee Leaves'!$C:$C,$AF40,'Employee Leaves'!$E:$E,"Sick",'Employee Leaves'!$F:$F,AN$21)+SUMIFS('Employee Leaves'!$G:$G,'Employee Leaves'!$C:$C,$AF40,'Employee Leaves'!$E:$E,"Others",'Employee Leaves'!$F:$F,AN$21)=0,"-",SUMIFS('Employee Leaves'!$G:$G,'Employee Leaves'!$C:$C,$AF40,'Employee Leaves'!$E:$E,"Sick",'Employee Leaves'!$F:$F,AN$21)+SUMIFS('Employee Leaves'!$G:$G,'Employee Leaves'!$C:$C,$AF40,'Employee Leaves'!$E:$E,"Others",'Employee Leaves'!$F:$F,AN$21))</f>
        <v>-</v>
      </c>
      <c r="AO40" s="538" t="str">
        <f>IF(SUMIFS('Employee Leaves'!$G:$G,'Employee Leaves'!$C:$C,$AF40,'Employee Leaves'!$E:$E,"Sick",'Employee Leaves'!$F:$F,AO$21)+SUMIFS('Employee Leaves'!$G:$G,'Employee Leaves'!$C:$C,$AF40,'Employee Leaves'!$E:$E,"Others",'Employee Leaves'!$F:$F,AO$21)=0,"-",SUMIFS('Employee Leaves'!$G:$G,'Employee Leaves'!$C:$C,$AF40,'Employee Leaves'!$E:$E,"Sick",'Employee Leaves'!$F:$F,AO$21)+SUMIFS('Employee Leaves'!$G:$G,'Employee Leaves'!$C:$C,$AF40,'Employee Leaves'!$E:$E,"Others",'Employee Leaves'!$F:$F,AO$21))</f>
        <v>-</v>
      </c>
      <c r="AP40" s="538">
        <f>IF(SUMIFS('Employee Leaves'!$G:$G,'Employee Leaves'!$C:$C,$AF40,'Employee Leaves'!$E:$E,"Sick",'Employee Leaves'!$F:$F,AP$21)+SUMIFS('Employee Leaves'!$G:$G,'Employee Leaves'!$C:$C,$AF40,'Employee Leaves'!$E:$E,"Others",'Employee Leaves'!$F:$F,AP$21)=0,"-",SUMIFS('Employee Leaves'!$G:$G,'Employee Leaves'!$C:$C,$AF40,'Employee Leaves'!$E:$E,"Sick",'Employee Leaves'!$F:$F,AP$21)+SUMIFS('Employee Leaves'!$G:$G,'Employee Leaves'!$C:$C,$AF40,'Employee Leaves'!$E:$E,"Others",'Employee Leaves'!$F:$F,AP$21))</f>
        <v>8</v>
      </c>
      <c r="AQ40" s="538" t="str">
        <f>IF(SUMIFS('Employee Leaves'!$G:$G,'Employee Leaves'!$C:$C,$AF40,'Employee Leaves'!$E:$E,"Sick",'Employee Leaves'!$F:$F,AQ$21)+SUMIFS('Employee Leaves'!$G:$G,'Employee Leaves'!$C:$C,$AF40,'Employee Leaves'!$E:$E,"Others",'Employee Leaves'!$F:$F,AQ$21)=0,"-",SUMIFS('Employee Leaves'!$G:$G,'Employee Leaves'!$C:$C,$AF40,'Employee Leaves'!$E:$E,"Sick",'Employee Leaves'!$F:$F,AQ$21)+SUMIFS('Employee Leaves'!$G:$G,'Employee Leaves'!$C:$C,$AF40,'Employee Leaves'!$E:$E,"Others",'Employee Leaves'!$F:$F,AQ$21))</f>
        <v>-</v>
      </c>
      <c r="AR40" s="541">
        <f>IF(SUMIFS('Employee Leaves'!$G:$G,'Employee Leaves'!$C:$C,$AF40,'Employee Leaves'!$E:$E,"Sick",'Employee Leaves'!$F:$F,AR$21)+SUMIFS('Employee Leaves'!$G:$G,'Employee Leaves'!$C:$C,$AF40,'Employee Leaves'!$E:$E,"Others",'Employee Leaves'!$F:$F,AR$21)=0,"-",SUMIFS('Employee Leaves'!$G:$G,'Employee Leaves'!$C:$C,$AF40,'Employee Leaves'!$E:$E,"Sick",'Employee Leaves'!$F:$F,AR$21)+SUMIFS('Employee Leaves'!$G:$G,'Employee Leaves'!$C:$C,$AF40,'Employee Leaves'!$E:$E,"Others",'Employee Leaves'!$F:$F,AR$21))</f>
        <v>5</v>
      </c>
      <c r="AS40" s="330"/>
      <c r="AT40" s="330"/>
      <c r="AU40" s="330"/>
      <c r="AV40" s="330"/>
      <c r="AW40" s="330"/>
      <c r="AX40" s="330"/>
      <c r="AY40" s="330"/>
      <c r="AZ40" s="330"/>
      <c r="BA40" s="330"/>
      <c r="BB40" s="330"/>
      <c r="BC40" s="330"/>
      <c r="BD40" s="142"/>
      <c r="BE40" s="136"/>
      <c r="BF40" s="79" t="s">
        <v>22</v>
      </c>
      <c r="BG40" s="117" t="s">
        <v>34</v>
      </c>
      <c r="BH40" s="9">
        <f t="shared" si="32"/>
        <v>4</v>
      </c>
      <c r="BI40" s="3">
        <f t="shared" si="33"/>
        <v>38</v>
      </c>
      <c r="BJ40" s="3">
        <f>SUMIFS('Employee Leaves'!$G:$G,'Employee Leaves'!$C:$C,BG40,'Employee Leaves'!$E:$E,"Holiday")+SUMIFS('Employee Leaves'!$G:$G,'Employee Leaves'!$C:$C,BG40,'Employee Leaves'!$E:$E,"Paternity Leave")+SUMIFS('Employee Leaves'!$G:$G,'Employee Leaves'!$C:$C,BG40,'Employee Leaves'!$E:$E,"Maternity Leave")</f>
        <v>25</v>
      </c>
      <c r="BK40" s="3">
        <f>SUMIFS('Employee Leaves'!$G:$G,'Employee Leaves'!$C:$C,BG40,'Employee Leaves'!$E:$E,"Sick")+SUMIFS('Employee Leaves'!$G:$G,'Employee Leaves'!$C:$C,BG40,'Employee Leaves'!$E:$E,"Others")</f>
        <v>13</v>
      </c>
      <c r="BL40" s="224">
        <f t="shared" si="34"/>
        <v>1.5140495867768595</v>
      </c>
      <c r="BM40" s="26">
        <f t="shared" si="35"/>
        <v>7.3643410852713184E-2</v>
      </c>
      <c r="BN40" s="251">
        <f t="shared" si="36"/>
        <v>9.5</v>
      </c>
      <c r="BO40" s="273">
        <v>45.8</v>
      </c>
      <c r="BP40" s="270">
        <f t="shared" si="43"/>
        <v>68.699999999999989</v>
      </c>
      <c r="BQ40" s="270">
        <f t="shared" si="44"/>
        <v>366.4</v>
      </c>
      <c r="BR40" s="270">
        <f t="shared" si="45"/>
        <v>412.2</v>
      </c>
      <c r="BS40" s="270">
        <f t="shared" si="46"/>
        <v>618.29999999999995</v>
      </c>
      <c r="BT40" s="270">
        <f t="shared" si="47"/>
        <v>3297.6</v>
      </c>
      <c r="BU40" s="278">
        <f t="shared" si="48"/>
        <v>13923.199999999999</v>
      </c>
      <c r="BV40" s="278">
        <f t="shared" si="38"/>
        <v>3434.9999999999995</v>
      </c>
      <c r="BW40" s="278">
        <f t="shared" si="49"/>
        <v>7144.7999999999993</v>
      </c>
      <c r="BX40" s="278">
        <f t="shared" si="39"/>
        <v>10579.8</v>
      </c>
      <c r="BY40" s="278">
        <f t="shared" si="50"/>
        <v>24503</v>
      </c>
      <c r="BZ40" s="221">
        <f t="shared" si="51"/>
        <v>6125.75</v>
      </c>
      <c r="CA40" s="330"/>
      <c r="CB40" s="330"/>
      <c r="CC40" s="311" t="s">
        <v>178</v>
      </c>
      <c r="CD40" s="426" t="s">
        <v>179</v>
      </c>
      <c r="CE40" s="331" t="s">
        <v>115</v>
      </c>
      <c r="CF40" s="136"/>
      <c r="CG40" s="79" t="s">
        <v>22</v>
      </c>
      <c r="CH40" s="117" t="s">
        <v>34</v>
      </c>
      <c r="CI40" s="411">
        <f t="shared" si="40"/>
        <v>4</v>
      </c>
      <c r="CJ40" s="29">
        <f>COUNTIFS(Employees!$B:$B,$CG40,Employees!$C:$C,$CH40,Employees!G:G,"Resignation (Voluntary)")</f>
        <v>0</v>
      </c>
      <c r="CK40" s="30">
        <f>COUNTIFS(Employees!$B:$B,$CG40,Employees!$C:$C,$CH40,Employees!G:G,"Termination (Involuntary)")</f>
        <v>0</v>
      </c>
      <c r="CL40" s="52">
        <f>COUNTIFS(Employees!$B:$B,$CG40,Employees!$C:$C,$CH40)</f>
        <v>4</v>
      </c>
      <c r="CM40" s="142"/>
      <c r="CN40" s="431"/>
      <c r="CO40" s="79" t="s">
        <v>22</v>
      </c>
      <c r="CP40" s="117" t="s">
        <v>34</v>
      </c>
      <c r="CQ40" s="178">
        <f t="shared" si="52"/>
        <v>0</v>
      </c>
      <c r="CR40" s="26">
        <f t="shared" si="41"/>
        <v>7.3643410852713184E-2</v>
      </c>
      <c r="CS40" s="142"/>
    </row>
    <row r="41" spans="2:97" ht="15.75" customHeight="1">
      <c r="B41" s="136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142"/>
      <c r="U41" s="136"/>
      <c r="V41" s="76" t="s">
        <v>22</v>
      </c>
      <c r="W41" s="114" t="s">
        <v>28</v>
      </c>
      <c r="X41" s="9">
        <f t="shared" si="27"/>
        <v>8</v>
      </c>
      <c r="Y41" s="9">
        <f t="shared" si="42"/>
        <v>35</v>
      </c>
      <c r="Z41" s="26">
        <f t="shared" si="28"/>
        <v>3.8095238095238099E-2</v>
      </c>
      <c r="AA41" s="132">
        <f t="shared" si="29"/>
        <v>3.391472868217054E-2</v>
      </c>
      <c r="AB41" s="152">
        <f t="shared" si="30"/>
        <v>4.375</v>
      </c>
      <c r="AC41" s="142"/>
      <c r="AD41" s="136"/>
      <c r="AE41" s="76" t="s">
        <v>22</v>
      </c>
      <c r="AF41" s="114" t="s">
        <v>28</v>
      </c>
      <c r="AG41" s="9">
        <f>COUNTIFS('Employee Leaves'!$B:$B,AE41,'Employee Leaves'!$C:$C,AF41)</f>
        <v>6</v>
      </c>
      <c r="AH41" s="416">
        <f>SUMIFS('Employee Leaves'!$G:$G,'Employee Leaves'!$B:$B,AE41,'Employee Leaves'!$C:$C,AF41)</f>
        <v>35</v>
      </c>
      <c r="AI41" s="330"/>
      <c r="AJ41" s="9">
        <f>SUMIFS('Employee Leaves'!$G:$G,'Employee Leaves'!$C:$C,AF41,'Employee Leaves'!$E:$E,$AJ$21)</f>
        <v>4</v>
      </c>
      <c r="AK41" s="58">
        <f>SUMIFS('Employee Leaves'!$G:$G,'Employee Leaves'!$C:$C,AF41,'Employee Leaves'!$E:$E,$AK$21)</f>
        <v>31</v>
      </c>
      <c r="AL41" s="26">
        <f t="shared" si="31"/>
        <v>3.875968992248062E-3</v>
      </c>
      <c r="AM41" s="553" t="str">
        <f>IF(SUMIFS('Employee Leaves'!$G:$G,'Employee Leaves'!$C:$C,$AF41,'Employee Leaves'!$E:$E,"Sick",'Employee Leaves'!$F:$F,AM$21)+SUMIFS('Employee Leaves'!$G:$G,'Employee Leaves'!$C:$C,$AF41,'Employee Leaves'!$E:$E,"Others",'Employee Leaves'!$F:$F,AM$21)=0,"-",SUMIFS('Employee Leaves'!$G:$G,'Employee Leaves'!$C:$C,$AF41,'Employee Leaves'!$E:$E,"Sick",'Employee Leaves'!$F:$F,AM$21)+SUMIFS('Employee Leaves'!$G:$G,'Employee Leaves'!$C:$C,$AF41,'Employee Leaves'!$E:$E,"Others",'Employee Leaves'!$F:$F,AM$21))</f>
        <v>-</v>
      </c>
      <c r="AN41" s="538" t="str">
        <f>IF(SUMIFS('Employee Leaves'!$G:$G,'Employee Leaves'!$C:$C,$AF41,'Employee Leaves'!$E:$E,"Sick",'Employee Leaves'!$F:$F,AN$21)+SUMIFS('Employee Leaves'!$G:$G,'Employee Leaves'!$C:$C,$AF41,'Employee Leaves'!$E:$E,"Others",'Employee Leaves'!$F:$F,AN$21)=0,"-",SUMIFS('Employee Leaves'!$G:$G,'Employee Leaves'!$C:$C,$AF41,'Employee Leaves'!$E:$E,"Sick",'Employee Leaves'!$F:$F,AN$21)+SUMIFS('Employee Leaves'!$G:$G,'Employee Leaves'!$C:$C,$AF41,'Employee Leaves'!$E:$E,"Others",'Employee Leaves'!$F:$F,AN$21))</f>
        <v>-</v>
      </c>
      <c r="AO41" s="538" t="str">
        <f>IF(SUMIFS('Employee Leaves'!$G:$G,'Employee Leaves'!$C:$C,$AF41,'Employee Leaves'!$E:$E,"Sick",'Employee Leaves'!$F:$F,AO$21)+SUMIFS('Employee Leaves'!$G:$G,'Employee Leaves'!$C:$C,$AF41,'Employee Leaves'!$E:$E,"Others",'Employee Leaves'!$F:$F,AO$21)=0,"-",SUMIFS('Employee Leaves'!$G:$G,'Employee Leaves'!$C:$C,$AF41,'Employee Leaves'!$E:$E,"Sick",'Employee Leaves'!$F:$F,AO$21)+SUMIFS('Employee Leaves'!$G:$G,'Employee Leaves'!$C:$C,$AF41,'Employee Leaves'!$E:$E,"Others",'Employee Leaves'!$F:$F,AO$21))</f>
        <v>-</v>
      </c>
      <c r="AP41" s="538" t="str">
        <f>IF(SUMIFS('Employee Leaves'!$G:$G,'Employee Leaves'!$C:$C,$AF41,'Employee Leaves'!$E:$E,"Sick",'Employee Leaves'!$F:$F,AP$21)+SUMIFS('Employee Leaves'!$G:$G,'Employee Leaves'!$C:$C,$AF41,'Employee Leaves'!$E:$E,"Others",'Employee Leaves'!$F:$F,AP$21)=0,"-",SUMIFS('Employee Leaves'!$G:$G,'Employee Leaves'!$C:$C,$AF41,'Employee Leaves'!$E:$E,"Sick",'Employee Leaves'!$F:$F,AP$21)+SUMIFS('Employee Leaves'!$G:$G,'Employee Leaves'!$C:$C,$AF41,'Employee Leaves'!$E:$E,"Others",'Employee Leaves'!$F:$F,AP$21))</f>
        <v>-</v>
      </c>
      <c r="AQ41" s="538" t="str">
        <f>IF(SUMIFS('Employee Leaves'!$G:$G,'Employee Leaves'!$C:$C,$AF41,'Employee Leaves'!$E:$E,"Sick",'Employee Leaves'!$F:$F,AQ$21)+SUMIFS('Employee Leaves'!$G:$G,'Employee Leaves'!$C:$C,$AF41,'Employee Leaves'!$E:$E,"Others",'Employee Leaves'!$F:$F,AQ$21)=0,"-",SUMIFS('Employee Leaves'!$G:$G,'Employee Leaves'!$C:$C,$AF41,'Employee Leaves'!$E:$E,"Sick",'Employee Leaves'!$F:$F,AQ$21)+SUMIFS('Employee Leaves'!$G:$G,'Employee Leaves'!$C:$C,$AF41,'Employee Leaves'!$E:$E,"Others",'Employee Leaves'!$F:$F,AQ$21))</f>
        <v>-</v>
      </c>
      <c r="AR41" s="541">
        <f>IF(SUMIFS('Employee Leaves'!$G:$G,'Employee Leaves'!$C:$C,$AF41,'Employee Leaves'!$E:$E,"Sick",'Employee Leaves'!$F:$F,AR$21)+SUMIFS('Employee Leaves'!$G:$G,'Employee Leaves'!$C:$C,$AF41,'Employee Leaves'!$E:$E,"Others",'Employee Leaves'!$F:$F,AR$21)=0,"-",SUMIFS('Employee Leaves'!$G:$G,'Employee Leaves'!$C:$C,$AF41,'Employee Leaves'!$E:$E,"Sick",'Employee Leaves'!$F:$F,AR$21)+SUMIFS('Employee Leaves'!$G:$G,'Employee Leaves'!$C:$C,$AF41,'Employee Leaves'!$E:$E,"Others",'Employee Leaves'!$F:$F,AR$21))</f>
        <v>4</v>
      </c>
      <c r="AS41" s="330"/>
      <c r="AT41" s="330"/>
      <c r="AU41" s="330"/>
      <c r="AV41" s="330"/>
      <c r="AW41" s="330"/>
      <c r="AX41" s="330"/>
      <c r="AY41" s="330"/>
      <c r="AZ41" s="330"/>
      <c r="BA41" s="330"/>
      <c r="BB41" s="330"/>
      <c r="BC41" s="330"/>
      <c r="BD41" s="142"/>
      <c r="BE41" s="136"/>
      <c r="BF41" s="79" t="s">
        <v>22</v>
      </c>
      <c r="BG41" s="117" t="s">
        <v>28</v>
      </c>
      <c r="BH41" s="9">
        <f t="shared" si="32"/>
        <v>8</v>
      </c>
      <c r="BI41" s="3">
        <f t="shared" si="33"/>
        <v>35</v>
      </c>
      <c r="BJ41" s="3">
        <f>SUMIFS('Employee Leaves'!$G:$G,'Employee Leaves'!$C:$C,BG41,'Employee Leaves'!$E:$E,"Holiday")+SUMIFS('Employee Leaves'!$G:$G,'Employee Leaves'!$C:$C,BG41,'Employee Leaves'!$E:$E,"Paternity Leave")+SUMIFS('Employee Leaves'!$G:$G,'Employee Leaves'!$C:$C,BG41,'Employee Leaves'!$E:$E,"Maternity Leave")</f>
        <v>31</v>
      </c>
      <c r="BK41" s="3">
        <f>SUMIFS('Employee Leaves'!$G:$G,'Employee Leaves'!$C:$C,BG41,'Employee Leaves'!$E:$E,"Sick")+SUMIFS('Employee Leaves'!$G:$G,'Employee Leaves'!$C:$C,BG41,'Employee Leaves'!$E:$E,"Others")</f>
        <v>4</v>
      </c>
      <c r="BL41" s="224">
        <f t="shared" si="34"/>
        <v>3.028099173553719</v>
      </c>
      <c r="BM41" s="26">
        <f t="shared" si="35"/>
        <v>3.391472868217054E-2</v>
      </c>
      <c r="BN41" s="251">
        <f t="shared" si="36"/>
        <v>4.375</v>
      </c>
      <c r="BO41" s="273">
        <v>45.8</v>
      </c>
      <c r="BP41" s="270">
        <f t="shared" si="43"/>
        <v>68.699999999999989</v>
      </c>
      <c r="BQ41" s="270">
        <f t="shared" si="44"/>
        <v>366.4</v>
      </c>
      <c r="BR41" s="270">
        <f t="shared" si="45"/>
        <v>412.2</v>
      </c>
      <c r="BS41" s="270">
        <f t="shared" si="46"/>
        <v>618.29999999999995</v>
      </c>
      <c r="BT41" s="270">
        <f t="shared" si="47"/>
        <v>3297.6</v>
      </c>
      <c r="BU41" s="278">
        <f t="shared" si="48"/>
        <v>12824</v>
      </c>
      <c r="BV41" s="278">
        <f t="shared" si="38"/>
        <v>4259.3999999999996</v>
      </c>
      <c r="BW41" s="278">
        <f t="shared" si="49"/>
        <v>2198.3999999999996</v>
      </c>
      <c r="BX41" s="278">
        <f t="shared" si="39"/>
        <v>6457.7999999999993</v>
      </c>
      <c r="BY41" s="278">
        <f t="shared" si="50"/>
        <v>19281.8</v>
      </c>
      <c r="BZ41" s="221">
        <f t="shared" si="51"/>
        <v>2410.2249999999999</v>
      </c>
      <c r="CA41" s="330"/>
      <c r="CB41" s="330"/>
      <c r="CC41" s="311" t="s">
        <v>172</v>
      </c>
      <c r="CD41" s="426" t="s">
        <v>173</v>
      </c>
      <c r="CE41" s="331" t="s">
        <v>115</v>
      </c>
      <c r="CF41" s="136"/>
      <c r="CG41" s="79" t="s">
        <v>22</v>
      </c>
      <c r="CH41" s="117" t="s">
        <v>28</v>
      </c>
      <c r="CI41" s="411">
        <f t="shared" si="40"/>
        <v>7</v>
      </c>
      <c r="CJ41" s="29">
        <f>COUNTIFS(Employees!$B:$B,$CG41,Employees!$C:$C,$CH41,Employees!G:G,"Resignation (Voluntary)")</f>
        <v>1</v>
      </c>
      <c r="CK41" s="30">
        <f>COUNTIFS(Employees!$B:$B,$CG41,Employees!$C:$C,$CH41,Employees!G:G,"Termination (Involuntary)")</f>
        <v>0</v>
      </c>
      <c r="CL41" s="52">
        <f>COUNTIFS(Employees!$B:$B,$CG41,Employees!$C:$C,$CH41)</f>
        <v>8</v>
      </c>
      <c r="CM41" s="142"/>
      <c r="CN41" s="431"/>
      <c r="CO41" s="79" t="s">
        <v>22</v>
      </c>
      <c r="CP41" s="117" t="s">
        <v>28</v>
      </c>
      <c r="CQ41" s="178">
        <f t="shared" si="52"/>
        <v>0.13333333333333333</v>
      </c>
      <c r="CR41" s="26">
        <f t="shared" si="41"/>
        <v>3.391472868217054E-2</v>
      </c>
      <c r="CS41" s="142"/>
    </row>
    <row r="42" spans="2:97" ht="15.75" customHeight="1" thickBot="1">
      <c r="B42" s="136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142"/>
      <c r="U42" s="136"/>
      <c r="V42" s="77" t="s">
        <v>22</v>
      </c>
      <c r="W42" s="115" t="s">
        <v>26</v>
      </c>
      <c r="X42" s="10">
        <f t="shared" si="27"/>
        <v>7</v>
      </c>
      <c r="Y42" s="10">
        <f t="shared" si="42"/>
        <v>20</v>
      </c>
      <c r="Z42" s="27">
        <f t="shared" si="28"/>
        <v>3.3333333333333333E-2</v>
      </c>
      <c r="AA42" s="133">
        <f t="shared" si="29"/>
        <v>2.2148394241417499E-2</v>
      </c>
      <c r="AB42" s="153">
        <f t="shared" si="30"/>
        <v>2.8571428571428572</v>
      </c>
      <c r="AC42" s="142"/>
      <c r="AD42" s="136"/>
      <c r="AE42" s="77" t="s">
        <v>22</v>
      </c>
      <c r="AF42" s="115" t="s">
        <v>26</v>
      </c>
      <c r="AG42" s="10">
        <f>COUNTIFS('Employee Leaves'!$B:$B,AE42,'Employee Leaves'!$C:$C,AF42)</f>
        <v>3</v>
      </c>
      <c r="AH42" s="417">
        <f>SUMIFS('Employee Leaves'!$G:$G,'Employee Leaves'!$B:$B,AE42,'Employee Leaves'!$C:$C,AF42)</f>
        <v>20</v>
      </c>
      <c r="AI42" s="330"/>
      <c r="AJ42" s="9">
        <f>SUMIFS('Employee Leaves'!$G:$G,'Employee Leaves'!$C:$C,AF42,'Employee Leaves'!$E:$E,$AJ$21)</f>
        <v>4</v>
      </c>
      <c r="AK42" s="58">
        <f>SUMIFS('Employee Leaves'!$G:$G,'Employee Leaves'!$C:$C,AF42,'Employee Leaves'!$E:$E,$AK$21)</f>
        <v>16</v>
      </c>
      <c r="AL42" s="26">
        <f t="shared" si="31"/>
        <v>4.4296788482834993E-3</v>
      </c>
      <c r="AM42" s="553" t="str">
        <f>IF(SUMIFS('Employee Leaves'!$G:$G,'Employee Leaves'!$C:$C,$AF42,'Employee Leaves'!$E:$E,"Sick",'Employee Leaves'!$F:$F,AM$21)+SUMIFS('Employee Leaves'!$G:$G,'Employee Leaves'!$C:$C,$AF42,'Employee Leaves'!$E:$E,"Others",'Employee Leaves'!$F:$F,AM$21)=0,"-",SUMIFS('Employee Leaves'!$G:$G,'Employee Leaves'!$C:$C,$AF42,'Employee Leaves'!$E:$E,"Sick",'Employee Leaves'!$F:$F,AM$21)+SUMIFS('Employee Leaves'!$G:$G,'Employee Leaves'!$C:$C,$AF42,'Employee Leaves'!$E:$E,"Others",'Employee Leaves'!$F:$F,AM$21))</f>
        <v>-</v>
      </c>
      <c r="AN42" s="538" t="str">
        <f>IF(SUMIFS('Employee Leaves'!$G:$G,'Employee Leaves'!$C:$C,$AF42,'Employee Leaves'!$E:$E,"Sick",'Employee Leaves'!$F:$F,AN$21)+SUMIFS('Employee Leaves'!$G:$G,'Employee Leaves'!$C:$C,$AF42,'Employee Leaves'!$E:$E,"Others",'Employee Leaves'!$F:$F,AN$21)=0,"-",SUMIFS('Employee Leaves'!$G:$G,'Employee Leaves'!$C:$C,$AF42,'Employee Leaves'!$E:$E,"Sick",'Employee Leaves'!$F:$F,AN$21)+SUMIFS('Employee Leaves'!$G:$G,'Employee Leaves'!$C:$C,$AF42,'Employee Leaves'!$E:$E,"Others",'Employee Leaves'!$F:$F,AN$21))</f>
        <v>-</v>
      </c>
      <c r="AO42" s="538" t="str">
        <f>IF(SUMIFS('Employee Leaves'!$G:$G,'Employee Leaves'!$C:$C,$AF42,'Employee Leaves'!$E:$E,"Sick",'Employee Leaves'!$F:$F,AO$21)+SUMIFS('Employee Leaves'!$G:$G,'Employee Leaves'!$C:$C,$AF42,'Employee Leaves'!$E:$E,"Others",'Employee Leaves'!$F:$F,AO$21)=0,"-",SUMIFS('Employee Leaves'!$G:$G,'Employee Leaves'!$C:$C,$AF42,'Employee Leaves'!$E:$E,"Sick",'Employee Leaves'!$F:$F,AO$21)+SUMIFS('Employee Leaves'!$G:$G,'Employee Leaves'!$C:$C,$AF42,'Employee Leaves'!$E:$E,"Others",'Employee Leaves'!$F:$F,AO$21))</f>
        <v>-</v>
      </c>
      <c r="AP42" s="538" t="str">
        <f>IF(SUMIFS('Employee Leaves'!$G:$G,'Employee Leaves'!$C:$C,$AF42,'Employee Leaves'!$E:$E,"Sick",'Employee Leaves'!$F:$F,AP$21)+SUMIFS('Employee Leaves'!$G:$G,'Employee Leaves'!$C:$C,$AF42,'Employee Leaves'!$E:$E,"Others",'Employee Leaves'!$F:$F,AP$21)=0,"-",SUMIFS('Employee Leaves'!$G:$G,'Employee Leaves'!$C:$C,$AF42,'Employee Leaves'!$E:$E,"Sick",'Employee Leaves'!$F:$F,AP$21)+SUMIFS('Employee Leaves'!$G:$G,'Employee Leaves'!$C:$C,$AF42,'Employee Leaves'!$E:$E,"Others",'Employee Leaves'!$F:$F,AP$21))</f>
        <v>-</v>
      </c>
      <c r="AQ42" s="538">
        <f>IF(SUMIFS('Employee Leaves'!$G:$G,'Employee Leaves'!$C:$C,$AF42,'Employee Leaves'!$E:$E,"Sick",'Employee Leaves'!$F:$F,AQ$21)+SUMIFS('Employee Leaves'!$G:$G,'Employee Leaves'!$C:$C,$AF42,'Employee Leaves'!$E:$E,"Others",'Employee Leaves'!$F:$F,AQ$21)=0,"-",SUMIFS('Employee Leaves'!$G:$G,'Employee Leaves'!$C:$C,$AF42,'Employee Leaves'!$E:$E,"Sick",'Employee Leaves'!$F:$F,AQ$21)+SUMIFS('Employee Leaves'!$G:$G,'Employee Leaves'!$C:$C,$AF42,'Employee Leaves'!$E:$E,"Others",'Employee Leaves'!$F:$F,AQ$21))</f>
        <v>4</v>
      </c>
      <c r="AR42" s="541" t="str">
        <f>IF(SUMIFS('Employee Leaves'!$G:$G,'Employee Leaves'!$C:$C,$AF42,'Employee Leaves'!$E:$E,"Sick",'Employee Leaves'!$F:$F,AR$21)+SUMIFS('Employee Leaves'!$G:$G,'Employee Leaves'!$C:$C,$AF42,'Employee Leaves'!$E:$E,"Others",'Employee Leaves'!$F:$F,AR$21)=0,"-",SUMIFS('Employee Leaves'!$G:$G,'Employee Leaves'!$C:$C,$AF42,'Employee Leaves'!$E:$E,"Sick",'Employee Leaves'!$F:$F,AR$21)+SUMIFS('Employee Leaves'!$G:$G,'Employee Leaves'!$C:$C,$AF42,'Employee Leaves'!$E:$E,"Others",'Employee Leaves'!$F:$F,AR$21))</f>
        <v>-</v>
      </c>
      <c r="AS42" s="330"/>
      <c r="AT42" s="330"/>
      <c r="AU42" s="330"/>
      <c r="AV42" s="330"/>
      <c r="AW42" s="330"/>
      <c r="AX42" s="330"/>
      <c r="AY42" s="330"/>
      <c r="AZ42" s="330"/>
      <c r="BA42" s="330"/>
      <c r="BB42" s="330"/>
      <c r="BC42" s="330"/>
      <c r="BD42" s="142"/>
      <c r="BE42" s="136"/>
      <c r="BF42" s="302" t="s">
        <v>22</v>
      </c>
      <c r="BG42" s="118" t="s">
        <v>26</v>
      </c>
      <c r="BH42" s="10">
        <f t="shared" si="32"/>
        <v>7</v>
      </c>
      <c r="BI42" s="4">
        <f t="shared" si="33"/>
        <v>20</v>
      </c>
      <c r="BJ42" s="4">
        <f>SUMIFS('Employee Leaves'!$G:$G,'Employee Leaves'!$C:$C,BG42,'Employee Leaves'!$E:$E,"Holiday")+SUMIFS('Employee Leaves'!$G:$G,'Employee Leaves'!$C:$C,BG42,'Employee Leaves'!$E:$E,"Paternity Leave")+SUMIFS('Employee Leaves'!$G:$G,'Employee Leaves'!$C:$C,BG42,'Employee Leaves'!$E:$E,"Maternity Leave")</f>
        <v>16</v>
      </c>
      <c r="BK42" s="4">
        <f>SUMIFS('Employee Leaves'!$G:$G,'Employee Leaves'!$C:$C,BG42,'Employee Leaves'!$E:$E,"Sick")+SUMIFS('Employee Leaves'!$G:$G,'Employee Leaves'!$C:$C,BG42,'Employee Leaves'!$E:$E,"Others")</f>
        <v>4</v>
      </c>
      <c r="BL42" s="225">
        <f t="shared" si="34"/>
        <v>2.1433884297520662</v>
      </c>
      <c r="BM42" s="27">
        <f t="shared" si="35"/>
        <v>2.2148394241417499E-2</v>
      </c>
      <c r="BN42" s="252">
        <f t="shared" si="36"/>
        <v>2.8571428571428572</v>
      </c>
      <c r="BO42" s="279">
        <v>37.049999999999997</v>
      </c>
      <c r="BP42" s="280">
        <f t="shared" si="43"/>
        <v>55.574999999999996</v>
      </c>
      <c r="BQ42" s="280">
        <f t="shared" si="44"/>
        <v>296.39999999999998</v>
      </c>
      <c r="BR42" s="280">
        <f t="shared" si="45"/>
        <v>333.45</v>
      </c>
      <c r="BS42" s="280">
        <f t="shared" si="46"/>
        <v>500.17499999999995</v>
      </c>
      <c r="BT42" s="280">
        <f t="shared" si="47"/>
        <v>2667.6</v>
      </c>
      <c r="BU42" s="281">
        <f t="shared" si="48"/>
        <v>5928</v>
      </c>
      <c r="BV42" s="281">
        <f t="shared" si="38"/>
        <v>1778.3999999999999</v>
      </c>
      <c r="BW42" s="281">
        <f t="shared" si="49"/>
        <v>1778.3999999999999</v>
      </c>
      <c r="BX42" s="281">
        <f t="shared" si="39"/>
        <v>3556.7999999999997</v>
      </c>
      <c r="BY42" s="281">
        <f t="shared" si="50"/>
        <v>9484.7999999999993</v>
      </c>
      <c r="BZ42" s="390">
        <f t="shared" si="51"/>
        <v>1354.9714285714285</v>
      </c>
      <c r="CA42" s="330"/>
      <c r="CB42" s="330"/>
      <c r="CC42" s="311" t="s">
        <v>180</v>
      </c>
      <c r="CD42" s="426" t="s">
        <v>181</v>
      </c>
      <c r="CE42" s="331" t="s">
        <v>115</v>
      </c>
      <c r="CF42" s="136"/>
      <c r="CG42" s="80" t="s">
        <v>22</v>
      </c>
      <c r="CH42" s="118" t="s">
        <v>26</v>
      </c>
      <c r="CI42" s="410">
        <f t="shared" si="40"/>
        <v>7</v>
      </c>
      <c r="CJ42" s="35">
        <f>COUNTIFS(Employees!$B:$B,$CG42,Employees!$C:$C,$CH42,Employees!G:G,"Resignation (Voluntary)")</f>
        <v>0</v>
      </c>
      <c r="CK42" s="36">
        <f>COUNTIFS(Employees!$B:$B,$CG42,Employees!$C:$C,$CH42,Employees!G:G,"Termination (Involuntary)")</f>
        <v>0</v>
      </c>
      <c r="CL42" s="55">
        <f>COUNTIFS(Employees!$B:$B,$CG42,Employees!$C:$C,$CH42)</f>
        <v>7</v>
      </c>
      <c r="CM42" s="142"/>
      <c r="CN42" s="431"/>
      <c r="CO42" s="302" t="s">
        <v>22</v>
      </c>
      <c r="CP42" s="118" t="s">
        <v>26</v>
      </c>
      <c r="CQ42" s="179">
        <f t="shared" si="52"/>
        <v>0</v>
      </c>
      <c r="CR42" s="27">
        <f t="shared" si="41"/>
        <v>2.2148394241417499E-2</v>
      </c>
      <c r="CS42" s="142"/>
    </row>
    <row r="43" spans="2:97" ht="15.75" customHeight="1" thickBot="1">
      <c r="B43" s="136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142"/>
      <c r="U43" s="136"/>
      <c r="V43" s="74" t="s">
        <v>15</v>
      </c>
      <c r="W43" s="120" t="s">
        <v>15</v>
      </c>
      <c r="X43" s="41">
        <f t="shared" si="27"/>
        <v>22</v>
      </c>
      <c r="Y43" s="41">
        <f t="shared" si="42"/>
        <v>168</v>
      </c>
      <c r="Z43" s="147">
        <f t="shared" si="28"/>
        <v>0.10476190476190476</v>
      </c>
      <c r="AA43" s="134">
        <f t="shared" si="29"/>
        <v>5.9196617336152217E-2</v>
      </c>
      <c r="AB43" s="154">
        <f t="shared" si="30"/>
        <v>7.6363636363636367</v>
      </c>
      <c r="AC43" s="142"/>
      <c r="AD43" s="136"/>
      <c r="AE43" s="74" t="s">
        <v>15</v>
      </c>
      <c r="AF43" s="120" t="s">
        <v>15</v>
      </c>
      <c r="AG43" s="41">
        <f>COUNTIFS('Employee Leaves'!$B:$B,AE43,'Employee Leaves'!$C:$C,AF43)</f>
        <v>19</v>
      </c>
      <c r="AH43" s="282">
        <f>SUMIFS('Employee Leaves'!$G:$G,'Employee Leaves'!$B:$B,AE43,'Employee Leaves'!$C:$C,AF43)</f>
        <v>168</v>
      </c>
      <c r="AI43" s="330"/>
      <c r="AJ43" s="10">
        <f>SUMIFS('Employee Leaves'!$G:$G,'Employee Leaves'!$C:$C,AF43,'Employee Leaves'!$E:$E,$AJ$21)</f>
        <v>39</v>
      </c>
      <c r="AK43" s="550">
        <f>SUMIFS('Employee Leaves'!$G:$G,'Employee Leaves'!$C:$C,AF43,'Employee Leaves'!$E:$E,$AK$21)</f>
        <v>74</v>
      </c>
      <c r="AL43" s="27">
        <f t="shared" si="31"/>
        <v>1.3742071881606765E-2</v>
      </c>
      <c r="AM43" s="554" t="str">
        <f>IF(SUMIFS('Employee Leaves'!$G:$G,'Employee Leaves'!$C:$C,$AF43,'Employee Leaves'!$E:$E,"Sick",'Employee Leaves'!$F:$F,AM$21)+SUMIFS('Employee Leaves'!$G:$G,'Employee Leaves'!$C:$C,$AF43,'Employee Leaves'!$E:$E,"Others",'Employee Leaves'!$F:$F,AM$21)=0,"-",SUMIFS('Employee Leaves'!$G:$G,'Employee Leaves'!$C:$C,$AF43,'Employee Leaves'!$E:$E,"Sick",'Employee Leaves'!$F:$F,AM$21)+SUMIFS('Employee Leaves'!$G:$G,'Employee Leaves'!$C:$C,$AF43,'Employee Leaves'!$E:$E,"Others",'Employee Leaves'!$F:$F,AM$21))</f>
        <v>-</v>
      </c>
      <c r="AN43" s="542">
        <f>IF(SUMIFS('Employee Leaves'!$G:$G,'Employee Leaves'!$C:$C,$AF43,'Employee Leaves'!$E:$E,"Sick",'Employee Leaves'!$F:$F,AN$21)+SUMIFS('Employee Leaves'!$G:$G,'Employee Leaves'!$C:$C,$AF43,'Employee Leaves'!$E:$E,"Others",'Employee Leaves'!$F:$F,AN$21)=0,"-",SUMIFS('Employee Leaves'!$G:$G,'Employee Leaves'!$C:$C,$AF43,'Employee Leaves'!$E:$E,"Sick",'Employee Leaves'!$F:$F,AN$21)+SUMIFS('Employee Leaves'!$G:$G,'Employee Leaves'!$C:$C,$AF43,'Employee Leaves'!$E:$E,"Others",'Employee Leaves'!$F:$F,AN$21))</f>
        <v>6</v>
      </c>
      <c r="AO43" s="542">
        <f>IF(SUMIFS('Employee Leaves'!$G:$G,'Employee Leaves'!$C:$C,$AF43,'Employee Leaves'!$E:$E,"Sick",'Employee Leaves'!$F:$F,AO$21)+SUMIFS('Employee Leaves'!$G:$G,'Employee Leaves'!$C:$C,$AF43,'Employee Leaves'!$E:$E,"Others",'Employee Leaves'!$F:$F,AO$21)=0,"-",SUMIFS('Employee Leaves'!$G:$G,'Employee Leaves'!$C:$C,$AF43,'Employee Leaves'!$E:$E,"Sick",'Employee Leaves'!$F:$F,AO$21)+SUMIFS('Employee Leaves'!$G:$G,'Employee Leaves'!$C:$C,$AF43,'Employee Leaves'!$E:$E,"Others",'Employee Leaves'!$F:$F,AO$21))</f>
        <v>26</v>
      </c>
      <c r="AP43" s="542" t="str">
        <f>IF(SUMIFS('Employee Leaves'!$G:$G,'Employee Leaves'!$C:$C,$AF43,'Employee Leaves'!$E:$E,"Sick",'Employee Leaves'!$F:$F,AP$21)+SUMIFS('Employee Leaves'!$G:$G,'Employee Leaves'!$C:$C,$AF43,'Employee Leaves'!$E:$E,"Others",'Employee Leaves'!$F:$F,AP$21)=0,"-",SUMIFS('Employee Leaves'!$G:$G,'Employee Leaves'!$C:$C,$AF43,'Employee Leaves'!$E:$E,"Sick",'Employee Leaves'!$F:$F,AP$21)+SUMIFS('Employee Leaves'!$G:$G,'Employee Leaves'!$C:$C,$AF43,'Employee Leaves'!$E:$E,"Others",'Employee Leaves'!$F:$F,AP$21))</f>
        <v>-</v>
      </c>
      <c r="AQ43" s="542" t="str">
        <f>IF(SUMIFS('Employee Leaves'!$G:$G,'Employee Leaves'!$C:$C,$AF43,'Employee Leaves'!$E:$E,"Sick",'Employee Leaves'!$F:$F,AQ$21)+SUMIFS('Employee Leaves'!$G:$G,'Employee Leaves'!$C:$C,$AF43,'Employee Leaves'!$E:$E,"Others",'Employee Leaves'!$F:$F,AQ$21)=0,"-",SUMIFS('Employee Leaves'!$G:$G,'Employee Leaves'!$C:$C,$AF43,'Employee Leaves'!$E:$E,"Sick",'Employee Leaves'!$F:$F,AQ$21)+SUMIFS('Employee Leaves'!$G:$G,'Employee Leaves'!$C:$C,$AF43,'Employee Leaves'!$E:$E,"Others",'Employee Leaves'!$F:$F,AQ$21))</f>
        <v>-</v>
      </c>
      <c r="AR43" s="543">
        <f>IF(SUMIFS('Employee Leaves'!$G:$G,'Employee Leaves'!$C:$C,$AF43,'Employee Leaves'!$E:$E,"Sick",'Employee Leaves'!$F:$F,AR$21)+SUMIFS('Employee Leaves'!$G:$G,'Employee Leaves'!$C:$C,$AF43,'Employee Leaves'!$E:$E,"Others",'Employee Leaves'!$F:$F,AR$21)=0,"-",SUMIFS('Employee Leaves'!$G:$G,'Employee Leaves'!$C:$C,$AF43,'Employee Leaves'!$E:$E,"Sick",'Employee Leaves'!$F:$F,AR$21)+SUMIFS('Employee Leaves'!$G:$G,'Employee Leaves'!$C:$C,$AF43,'Employee Leaves'!$E:$E,"Others",'Employee Leaves'!$F:$F,AR$21))</f>
        <v>7</v>
      </c>
      <c r="AS43" s="330"/>
      <c r="AT43" s="330"/>
      <c r="AU43" s="330"/>
      <c r="AV43" s="330"/>
      <c r="AW43" s="330"/>
      <c r="AX43" s="330"/>
      <c r="AY43" s="330"/>
      <c r="AZ43" s="330"/>
      <c r="BA43" s="330"/>
      <c r="BB43" s="330"/>
      <c r="BC43" s="330"/>
      <c r="BD43" s="142"/>
      <c r="BE43" s="136"/>
      <c r="BF43" s="301" t="s">
        <v>15</v>
      </c>
      <c r="BG43" s="120" t="s">
        <v>15</v>
      </c>
      <c r="BH43" s="41">
        <f t="shared" si="32"/>
        <v>22</v>
      </c>
      <c r="BI43" s="299">
        <f t="shared" si="33"/>
        <v>168</v>
      </c>
      <c r="BJ43" s="299">
        <f>SUMIFS('Employee Leaves'!$G:$G,'Employee Leaves'!$C:$C,BG43,'Employee Leaves'!$E:$E,"Holiday")+SUMIFS('Employee Leaves'!$G:$G,'Employee Leaves'!$C:$C,BG43,'Employee Leaves'!$E:$E,"Paternity Leave")+SUMIFS('Employee Leaves'!$G:$G,'Employee Leaves'!$C:$C,BG43,'Employee Leaves'!$E:$E,"Maternity Leave")</f>
        <v>129</v>
      </c>
      <c r="BK43" s="299">
        <f>SUMIFS('Employee Leaves'!$G:$G,'Employee Leaves'!$C:$C,BG43,'Employee Leaves'!$E:$E,"Sick")+SUMIFS('Employee Leaves'!$G:$G,'Employee Leaves'!$C:$C,BG43,'Employee Leaves'!$E:$E,"Others")</f>
        <v>39</v>
      </c>
      <c r="BL43" s="303">
        <f t="shared" si="34"/>
        <v>14.22</v>
      </c>
      <c r="BM43" s="309">
        <f t="shared" si="35"/>
        <v>5.9196617336152217E-2</v>
      </c>
      <c r="BN43" s="269">
        <f t="shared" si="36"/>
        <v>7.6363636363636367</v>
      </c>
      <c r="BO43" s="570">
        <v>14.22</v>
      </c>
      <c r="BP43" s="571">
        <f t="shared" si="43"/>
        <v>21.330000000000002</v>
      </c>
      <c r="BQ43" s="571">
        <f t="shared" si="44"/>
        <v>113.76</v>
      </c>
      <c r="BR43" s="571">
        <f t="shared" si="45"/>
        <v>127.98</v>
      </c>
      <c r="BS43" s="571">
        <f t="shared" si="46"/>
        <v>191.97000000000003</v>
      </c>
      <c r="BT43" s="571">
        <f t="shared" si="47"/>
        <v>1023.84</v>
      </c>
      <c r="BU43" s="573">
        <f t="shared" si="48"/>
        <v>19111.68</v>
      </c>
      <c r="BV43" s="573">
        <f t="shared" si="38"/>
        <v>5503.14</v>
      </c>
      <c r="BW43" s="573">
        <f t="shared" si="49"/>
        <v>6654.9600000000009</v>
      </c>
      <c r="BX43" s="573">
        <f t="shared" si="39"/>
        <v>12158.100000000002</v>
      </c>
      <c r="BY43" s="572">
        <f t="shared" si="50"/>
        <v>31269.780000000002</v>
      </c>
      <c r="BZ43" s="574">
        <f t="shared" si="51"/>
        <v>1421.3536363636365</v>
      </c>
      <c r="CA43" s="330"/>
      <c r="CB43" s="330"/>
      <c r="CC43" s="323" t="s">
        <v>182</v>
      </c>
      <c r="CD43" s="427" t="s">
        <v>183</v>
      </c>
      <c r="CE43" s="331" t="s">
        <v>115</v>
      </c>
      <c r="CF43" s="136"/>
      <c r="CG43" s="170" t="s">
        <v>15</v>
      </c>
      <c r="CH43" s="119" t="s">
        <v>15</v>
      </c>
      <c r="CI43" s="181">
        <f t="shared" si="40"/>
        <v>21</v>
      </c>
      <c r="CJ43" s="37">
        <f>COUNTIFS(Employees!$B:$B,$CG43,Employees!$C:$C,$CH43,Employees!G:G,"Resignation (Voluntary)")</f>
        <v>1</v>
      </c>
      <c r="CK43" s="38">
        <f>COUNTIFS(Employees!$B:$B,$CG43,Employees!$C:$C,$CH43,Employees!G:G,"Termination (Involuntary)")</f>
        <v>0</v>
      </c>
      <c r="CL43" s="56">
        <f>COUNTIFS(Employees!$B:$B,$CG43,Employees!$C:$C,$CH43)</f>
        <v>22</v>
      </c>
      <c r="CM43" s="142"/>
      <c r="CN43" s="431"/>
      <c r="CO43" s="301" t="s">
        <v>15</v>
      </c>
      <c r="CP43" s="120" t="s">
        <v>15</v>
      </c>
      <c r="CQ43" s="433">
        <f t="shared" si="52"/>
        <v>4.6511627906976744E-2</v>
      </c>
      <c r="CR43" s="309">
        <f t="shared" si="41"/>
        <v>5.9196617336152217E-2</v>
      </c>
      <c r="CS43" s="142"/>
    </row>
    <row r="44" spans="2:97" ht="15.75" customHeight="1" thickBot="1">
      <c r="B44" s="136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142"/>
      <c r="U44" s="136"/>
      <c r="V44" s="721" t="s">
        <v>110</v>
      </c>
      <c r="W44" s="722"/>
      <c r="X44" s="62">
        <f>SUM(X22:X43)</f>
        <v>210</v>
      </c>
      <c r="Y44" s="62">
        <f>SUM(Y22:Y43)</f>
        <v>960</v>
      </c>
      <c r="Z44" s="363" t="s">
        <v>126</v>
      </c>
      <c r="AA44" s="364">
        <f>SUMPRODUCT(Z22:Z43,AA22:AA43)</f>
        <v>3.5437430786267994E-2</v>
      </c>
      <c r="AB44" s="365">
        <f>SUMPRODUCT(Z22:Z43,AB22:AB43)</f>
        <v>4.5714285714285712</v>
      </c>
      <c r="AC44" s="142"/>
      <c r="AD44" s="136"/>
      <c r="AE44" s="723" t="s">
        <v>110</v>
      </c>
      <c r="AF44" s="724"/>
      <c r="AG44" s="72">
        <f>SUM(AG22:AG43)</f>
        <v>143</v>
      </c>
      <c r="AH44" s="72">
        <f>SUM(AH22:AH43)</f>
        <v>960</v>
      </c>
      <c r="AI44" s="330"/>
      <c r="AJ44" s="549">
        <f>SUM(AJ22:AJ43)</f>
        <v>307</v>
      </c>
      <c r="AK44" s="576">
        <f>SUM(AK22:AK43)</f>
        <v>551</v>
      </c>
      <c r="AL44" s="545"/>
      <c r="AM44" s="555">
        <f t="shared" ref="AM44:AR44" si="54">SUM(AM22:AM43)</f>
        <v>73</v>
      </c>
      <c r="AN44" s="555">
        <f t="shared" si="54"/>
        <v>40</v>
      </c>
      <c r="AO44" s="555">
        <f t="shared" si="54"/>
        <v>70</v>
      </c>
      <c r="AP44" s="555">
        <f t="shared" si="54"/>
        <v>36</v>
      </c>
      <c r="AQ44" s="555">
        <f t="shared" si="54"/>
        <v>58</v>
      </c>
      <c r="AR44" s="548">
        <f t="shared" si="54"/>
        <v>61</v>
      </c>
      <c r="AS44" s="330"/>
      <c r="AT44" s="330"/>
      <c r="AU44" s="330"/>
      <c r="AV44" s="330"/>
      <c r="AW44" s="330"/>
      <c r="AX44" s="330"/>
      <c r="AY44" s="330"/>
      <c r="AZ44" s="330"/>
      <c r="BA44" s="330"/>
      <c r="BB44" s="330"/>
      <c r="BC44" s="330"/>
      <c r="BD44" s="142"/>
      <c r="BE44" s="136"/>
      <c r="BF44" s="721" t="s">
        <v>110</v>
      </c>
      <c r="BG44" s="722"/>
      <c r="BH44" s="62">
        <f>SUM(BH22:BH43)</f>
        <v>210</v>
      </c>
      <c r="BI44" s="230">
        <f>SUM(BI22:BI43)</f>
        <v>960</v>
      </c>
      <c r="BJ44" s="62">
        <f>SUM(BJ22:BJ43)</f>
        <v>622</v>
      </c>
      <c r="BK44" s="62">
        <f>SUM(BK22:BK43)</f>
        <v>338</v>
      </c>
      <c r="BL44" s="62"/>
      <c r="BM44" s="254">
        <f t="shared" si="35"/>
        <v>3.5437430786267994E-2</v>
      </c>
      <c r="BN44" s="256">
        <f t="shared" si="36"/>
        <v>4.5714285714285712</v>
      </c>
      <c r="BO44" s="567"/>
      <c r="BP44" s="568"/>
      <c r="BQ44" s="569"/>
      <c r="BR44" s="397">
        <f>SUMPRODUCT($BH$22:$BH$43,BO22:BO43)</f>
        <v>7420.71</v>
      </c>
      <c r="BS44" s="401">
        <f>SUMPRODUCT($BH$22:$BH$43,BP22:BP43)</f>
        <v>11131.064999999997</v>
      </c>
      <c r="BT44" s="402">
        <f>SUMPRODUCT($BH$22:$BH$43,BQ22:BQ43)</f>
        <v>59365.68</v>
      </c>
      <c r="BU44" s="261">
        <f>SUM(BU22:BU43)</f>
        <v>257421.60000000003</v>
      </c>
      <c r="BV44" s="261">
        <f t="shared" ref="BV44:BW44" si="55">SUM(BV22:BV43)</f>
        <v>63021.24</v>
      </c>
      <c r="BW44" s="261">
        <f t="shared" si="55"/>
        <v>134047.43999999997</v>
      </c>
      <c r="BX44" s="261">
        <f>SUM(BX22:BX43)</f>
        <v>197068.67999999996</v>
      </c>
      <c r="BY44" s="565">
        <f>SUM(BY22:BY43)</f>
        <v>454490.28</v>
      </c>
      <c r="BZ44" s="640">
        <f>AVERAGE(BZ22:BZ43)</f>
        <v>2327.8258443129166</v>
      </c>
      <c r="CA44" s="330"/>
      <c r="CB44" s="330"/>
      <c r="CC44" s="330"/>
      <c r="CD44" s="330"/>
      <c r="CE44" s="330"/>
      <c r="CF44" s="136"/>
      <c r="CG44" s="788" t="s">
        <v>110</v>
      </c>
      <c r="CH44" s="789"/>
      <c r="CI44" s="44">
        <f>SUM(CI22:CI43)</f>
        <v>185</v>
      </c>
      <c r="CJ44" s="123">
        <f>SUM(CJ22:CJ43)</f>
        <v>16</v>
      </c>
      <c r="CK44" s="124">
        <f>SUM(CK22:CK43)</f>
        <v>9</v>
      </c>
      <c r="CL44" s="297">
        <f>SUM(CL22:CL43)</f>
        <v>210</v>
      </c>
      <c r="CM44" s="142"/>
      <c r="CN44" s="136"/>
      <c r="CO44" s="806" t="s">
        <v>216</v>
      </c>
      <c r="CP44" s="807"/>
      <c r="CQ44" s="473">
        <f>CORREL(CQ22:CQ43,CR22:CR43)^2</f>
        <v>1.0263238064017365E-2</v>
      </c>
      <c r="CR44" s="455" t="str">
        <f>IF(CORREL(CQ22:CQ43,CR22:CR43)&lt;0,", Negative Corr.",", Positive Corr.")</f>
        <v>, Negative Corr.</v>
      </c>
      <c r="CS44" s="142"/>
    </row>
    <row r="45" spans="2:97" ht="15.75" customHeight="1" thickBot="1">
      <c r="B45" s="136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142"/>
      <c r="U45" s="137"/>
      <c r="V45" s="139"/>
      <c r="W45" s="139"/>
      <c r="X45" s="139"/>
      <c r="Y45" s="139"/>
      <c r="Z45" s="139"/>
      <c r="AA45" s="139"/>
      <c r="AB45" s="139"/>
      <c r="AC45" s="140"/>
      <c r="AD45" s="137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40"/>
      <c r="BE45" s="137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326"/>
      <c r="BV45" s="326"/>
      <c r="BW45" s="326"/>
      <c r="BX45" s="326"/>
      <c r="BY45" s="260"/>
      <c r="BZ45" s="260"/>
      <c r="CA45" s="139"/>
      <c r="CB45" s="139"/>
      <c r="CC45" s="139"/>
      <c r="CD45" s="139"/>
      <c r="CE45" s="139"/>
      <c r="CF45" s="137"/>
      <c r="CG45" s="139"/>
      <c r="CH45" s="139"/>
      <c r="CI45" s="139"/>
      <c r="CJ45" s="139"/>
      <c r="CK45" s="139"/>
      <c r="CL45" s="139"/>
      <c r="CM45" s="140"/>
      <c r="CN45" s="137"/>
      <c r="CO45" s="139"/>
      <c r="CP45" s="139"/>
      <c r="CQ45" s="139"/>
      <c r="CR45" s="139"/>
      <c r="CS45" s="140"/>
    </row>
    <row r="46" spans="2:97">
      <c r="B46" s="136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142"/>
    </row>
    <row r="47" spans="2:97">
      <c r="B47" s="136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142"/>
      <c r="BU47" s="327"/>
    </row>
    <row r="48" spans="2:97">
      <c r="B48" s="136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142"/>
    </row>
    <row r="49" spans="2:70">
      <c r="B49" s="136"/>
      <c r="C49" s="330"/>
      <c r="D49" s="330"/>
      <c r="E49" s="330"/>
      <c r="F49" s="330"/>
      <c r="G49" s="330"/>
      <c r="H49" s="330"/>
      <c r="I49" s="330"/>
      <c r="J49" s="330"/>
      <c r="K49" s="330"/>
      <c r="L49" s="330"/>
      <c r="M49" s="330"/>
      <c r="N49" s="330"/>
      <c r="O49" s="330"/>
      <c r="P49" s="330"/>
      <c r="Q49" s="330"/>
      <c r="R49" s="330"/>
      <c r="S49" s="330"/>
      <c r="T49" s="142"/>
      <c r="BP49" s="307"/>
      <c r="BR49" s="308"/>
    </row>
    <row r="50" spans="2:70">
      <c r="B50" s="136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142"/>
      <c r="BP50" s="307"/>
      <c r="BR50" s="308"/>
    </row>
    <row r="51" spans="2:70" ht="13.5" thickBot="1">
      <c r="B51" s="136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142"/>
      <c r="BM51" s="7"/>
      <c r="BP51" s="307"/>
      <c r="BR51" s="308"/>
    </row>
    <row r="52" spans="2:70" ht="16.5" thickBot="1">
      <c r="B52" s="136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0"/>
      <c r="N52" s="330"/>
      <c r="O52" s="703" t="s">
        <v>225</v>
      </c>
      <c r="P52" s="704"/>
      <c r="Q52" s="696" t="s">
        <v>136</v>
      </c>
      <c r="R52" s="697"/>
      <c r="S52" s="698"/>
      <c r="T52" s="142"/>
      <c r="BP52" s="307"/>
      <c r="BR52" s="308"/>
    </row>
    <row r="53" spans="2:70" ht="13.5" thickBot="1">
      <c r="B53" s="137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40"/>
      <c r="BP53" s="306"/>
    </row>
    <row r="54" spans="2:70">
      <c r="BR54" s="7" t="s">
        <v>115</v>
      </c>
    </row>
    <row r="57" spans="2:70">
      <c r="BN57" s="7"/>
    </row>
  </sheetData>
  <mergeCells count="167">
    <mergeCell ref="C5:C6"/>
    <mergeCell ref="I12:K12"/>
    <mergeCell ref="I10:K10"/>
    <mergeCell ref="L9:L10"/>
    <mergeCell ref="O12:P12"/>
    <mergeCell ref="O15:P15"/>
    <mergeCell ref="O16:P16"/>
    <mergeCell ref="O17:P17"/>
    <mergeCell ref="O14:S14"/>
    <mergeCell ref="O10:S10"/>
    <mergeCell ref="D11:E11"/>
    <mergeCell ref="D12:E12"/>
    <mergeCell ref="BB8:BC8"/>
    <mergeCell ref="BF16:BG16"/>
    <mergeCell ref="I6:L6"/>
    <mergeCell ref="I20:J22"/>
    <mergeCell ref="L11:L12"/>
    <mergeCell ref="K20:K22"/>
    <mergeCell ref="L20:L22"/>
    <mergeCell ref="I18:K18"/>
    <mergeCell ref="I11:K11"/>
    <mergeCell ref="Q6:R6"/>
    <mergeCell ref="Q7:R7"/>
    <mergeCell ref="Q8:R8"/>
    <mergeCell ref="Q11:R11"/>
    <mergeCell ref="Q12:R12"/>
    <mergeCell ref="Q17:R17"/>
    <mergeCell ref="Q21:R21"/>
    <mergeCell ref="Q20:R20"/>
    <mergeCell ref="Q22:R22"/>
    <mergeCell ref="O6:P6"/>
    <mergeCell ref="O7:P7"/>
    <mergeCell ref="O8:P8"/>
    <mergeCell ref="O11:P11"/>
    <mergeCell ref="O21:P21"/>
    <mergeCell ref="O20:P20"/>
    <mergeCell ref="CG5:CH5"/>
    <mergeCell ref="AE6:AF6"/>
    <mergeCell ref="BF5:BG5"/>
    <mergeCell ref="BF6:BG6"/>
    <mergeCell ref="J29:K29"/>
    <mergeCell ref="CG18:CH18"/>
    <mergeCell ref="CO44:CP44"/>
    <mergeCell ref="CO5:CP5"/>
    <mergeCell ref="CO11:CP11"/>
    <mergeCell ref="CC7:CD7"/>
    <mergeCell ref="BF13:BG13"/>
    <mergeCell ref="BF14:BG14"/>
    <mergeCell ref="BF15:BG15"/>
    <mergeCell ref="CG7:CH7"/>
    <mergeCell ref="AT8:AX8"/>
    <mergeCell ref="AT21:AX21"/>
    <mergeCell ref="AT5:AW5"/>
    <mergeCell ref="AT6:AW6"/>
    <mergeCell ref="AK5:AM5"/>
    <mergeCell ref="AJ5:AJ6"/>
    <mergeCell ref="AN5:AN6"/>
    <mergeCell ref="AO5:AP5"/>
    <mergeCell ref="AQ5:AQ6"/>
    <mergeCell ref="AR5:AR6"/>
    <mergeCell ref="CO13:CP13"/>
    <mergeCell ref="CO19:CP19"/>
    <mergeCell ref="BF44:BG44"/>
    <mergeCell ref="CG44:CH44"/>
    <mergeCell ref="BF17:BG17"/>
    <mergeCell ref="BF18:BG18"/>
    <mergeCell ref="C25:F25"/>
    <mergeCell ref="J30:K30"/>
    <mergeCell ref="J31:K31"/>
    <mergeCell ref="D26:E26"/>
    <mergeCell ref="D27:E27"/>
    <mergeCell ref="D28:E28"/>
    <mergeCell ref="D29:E29"/>
    <mergeCell ref="D30:E30"/>
    <mergeCell ref="D31:E31"/>
    <mergeCell ref="BF19:BG19"/>
    <mergeCell ref="Q23:R23"/>
    <mergeCell ref="O22:P22"/>
    <mergeCell ref="O23:P23"/>
    <mergeCell ref="AY21:AY22"/>
    <mergeCell ref="D13:E13"/>
    <mergeCell ref="H25:M25"/>
    <mergeCell ref="H26:I26"/>
    <mergeCell ref="H27:I27"/>
    <mergeCell ref="CO3:CR3"/>
    <mergeCell ref="O25:S25"/>
    <mergeCell ref="AE17:AF17"/>
    <mergeCell ref="AE13:AF13"/>
    <mergeCell ref="AE14:AF14"/>
    <mergeCell ref="AE15:AF15"/>
    <mergeCell ref="V19:W19"/>
    <mergeCell ref="CG6:CH6"/>
    <mergeCell ref="BF7:BG7"/>
    <mergeCell ref="BF8:BG8"/>
    <mergeCell ref="BF9:BG9"/>
    <mergeCell ref="CG19:CH19"/>
    <mergeCell ref="CG17:CH17"/>
    <mergeCell ref="CG8:CH8"/>
    <mergeCell ref="CG9:CH9"/>
    <mergeCell ref="CG10:CH10"/>
    <mergeCell ref="CG11:CH11"/>
    <mergeCell ref="CG13:CH13"/>
    <mergeCell ref="CG14:CH14"/>
    <mergeCell ref="CG15:CH15"/>
    <mergeCell ref="BF10:BG10"/>
    <mergeCell ref="BF11:BG11"/>
    <mergeCell ref="CG16:CH16"/>
    <mergeCell ref="CG3:CL3"/>
    <mergeCell ref="BF3:CD3"/>
    <mergeCell ref="AE7:AF7"/>
    <mergeCell ref="AE8:AF8"/>
    <mergeCell ref="V3:AB3"/>
    <mergeCell ref="C3:S3"/>
    <mergeCell ref="J26:K26"/>
    <mergeCell ref="J27:K27"/>
    <mergeCell ref="J28:K28"/>
    <mergeCell ref="I9:K9"/>
    <mergeCell ref="I7:L7"/>
    <mergeCell ref="I13:K14"/>
    <mergeCell ref="L13:L14"/>
    <mergeCell ref="I15:K15"/>
    <mergeCell ref="I16:K16"/>
    <mergeCell ref="I17:K17"/>
    <mergeCell ref="AE5:AF5"/>
    <mergeCell ref="AE11:AF11"/>
    <mergeCell ref="V5:W5"/>
    <mergeCell ref="V11:W11"/>
    <mergeCell ref="AE9:AF9"/>
    <mergeCell ref="AE10:AF10"/>
    <mergeCell ref="AE3:AY3"/>
    <mergeCell ref="O5:S5"/>
    <mergeCell ref="AY8:AY9"/>
    <mergeCell ref="Q52:S52"/>
    <mergeCell ref="AE16:AF16"/>
    <mergeCell ref="AE18:AF18"/>
    <mergeCell ref="O52:P52"/>
    <mergeCell ref="V13:W13"/>
    <mergeCell ref="Q31:R31"/>
    <mergeCell ref="Q30:R30"/>
    <mergeCell ref="Q26:R26"/>
    <mergeCell ref="Q27:R27"/>
    <mergeCell ref="Q28:R28"/>
    <mergeCell ref="Q29:R29"/>
    <mergeCell ref="AE19:AF19"/>
    <mergeCell ref="Q15:R15"/>
    <mergeCell ref="Q16:R16"/>
    <mergeCell ref="V44:W44"/>
    <mergeCell ref="AE44:AF44"/>
    <mergeCell ref="O19:S19"/>
    <mergeCell ref="H28:I28"/>
    <mergeCell ref="H29:I29"/>
    <mergeCell ref="D8:E8"/>
    <mergeCell ref="D9:E9"/>
    <mergeCell ref="D15:E15"/>
    <mergeCell ref="H30:I30"/>
    <mergeCell ref="H31:I31"/>
    <mergeCell ref="L26:M26"/>
    <mergeCell ref="L27:M27"/>
    <mergeCell ref="L28:M28"/>
    <mergeCell ref="L29:M29"/>
    <mergeCell ref="L30:M30"/>
    <mergeCell ref="L31:M31"/>
    <mergeCell ref="D18:E18"/>
    <mergeCell ref="D16:E16"/>
    <mergeCell ref="D17:E17"/>
    <mergeCell ref="D20:E20"/>
    <mergeCell ref="C22:F23"/>
  </mergeCells>
  <phoneticPr fontId="7" type="noConversion"/>
  <conditionalFormatting sqref="AA6:AA10">
    <cfRule type="cellIs" dxfId="59" priority="48" operator="greaterThan">
      <formula>$AA$11</formula>
    </cfRule>
  </conditionalFormatting>
  <conditionalFormatting sqref="AB6:AB10">
    <cfRule type="cellIs" dxfId="58" priority="47" operator="greaterThan">
      <formula>$AB$11</formula>
    </cfRule>
  </conditionalFormatting>
  <conditionalFormatting sqref="AA22:AA43">
    <cfRule type="cellIs" dxfId="57" priority="44" operator="greaterThan">
      <formula>$AA$44</formula>
    </cfRule>
  </conditionalFormatting>
  <conditionalFormatting sqref="AB22:AB43">
    <cfRule type="cellIs" dxfId="56" priority="43" operator="greaterThan">
      <formula>$AB$44</formula>
    </cfRule>
  </conditionalFormatting>
  <conditionalFormatting sqref="AA14:AA18">
    <cfRule type="cellIs" dxfId="55" priority="42" operator="greaterThan">
      <formula>$AA$19</formula>
    </cfRule>
  </conditionalFormatting>
  <conditionalFormatting sqref="AB14:AB18">
    <cfRule type="cellIs" dxfId="54" priority="41" operator="greaterThan">
      <formula>$AB$19</formula>
    </cfRule>
  </conditionalFormatting>
  <conditionalFormatting sqref="Q27:R31">
    <cfRule type="cellIs" dxfId="53" priority="36" operator="equal">
      <formula>"Operations"</formula>
    </cfRule>
    <cfRule type="cellIs" dxfId="52" priority="37" operator="equal">
      <formula>"Customer Experience"</formula>
    </cfRule>
    <cfRule type="cellIs" dxfId="51" priority="38" operator="equal">
      <formula>"Sales"</formula>
    </cfRule>
    <cfRule type="cellIs" dxfId="50" priority="39" operator="equal">
      <formula>"Product &amp; Engineering"</formula>
    </cfRule>
    <cfRule type="cellIs" dxfId="49" priority="40" operator="equal">
      <formula>"Marketing"</formula>
    </cfRule>
  </conditionalFormatting>
  <conditionalFormatting sqref="J27:K31">
    <cfRule type="cellIs" dxfId="48" priority="31" operator="equal">
      <formula>"Operations"</formula>
    </cfRule>
    <cfRule type="cellIs" dxfId="47" priority="32" operator="equal">
      <formula>"Customer Experience"</formula>
    </cfRule>
    <cfRule type="cellIs" dxfId="46" priority="33" operator="equal">
      <formula>"Sales"</formula>
    </cfRule>
    <cfRule type="cellIs" dxfId="45" priority="34" operator="equal">
      <formula>"Product &amp; Engineering"</formula>
    </cfRule>
    <cfRule type="cellIs" dxfId="44" priority="35" operator="equal">
      <formula>"Marketing"</formula>
    </cfRule>
  </conditionalFormatting>
  <conditionalFormatting sqref="P29">
    <cfRule type="expression" dxfId="43" priority="22">
      <formula>$Q$29="Sales"</formula>
    </cfRule>
  </conditionalFormatting>
  <conditionalFormatting sqref="P27">
    <cfRule type="expression" dxfId="42" priority="21">
      <formula>$Q$27="Marketing"</formula>
    </cfRule>
  </conditionalFormatting>
  <conditionalFormatting sqref="P28">
    <cfRule type="expression" dxfId="41" priority="20">
      <formula>$Q$28="Product &amp; Engineering"</formula>
    </cfRule>
  </conditionalFormatting>
  <conditionalFormatting sqref="P30">
    <cfRule type="expression" dxfId="40" priority="18">
      <formula>$Q$30="Customer Experience"</formula>
    </cfRule>
  </conditionalFormatting>
  <conditionalFormatting sqref="P31">
    <cfRule type="expression" dxfId="39" priority="17">
      <formula>$Q$31="Operations"</formula>
    </cfRule>
  </conditionalFormatting>
  <conditionalFormatting sqref="BM6:BM10">
    <cfRule type="cellIs" dxfId="38" priority="16" operator="greaterThan">
      <formula>$AA$11</formula>
    </cfRule>
  </conditionalFormatting>
  <conditionalFormatting sqref="BN6:BN10">
    <cfRule type="cellIs" dxfId="37" priority="15" operator="greaterThan">
      <formula>$AB$11</formula>
    </cfRule>
  </conditionalFormatting>
  <conditionalFormatting sqref="BM22:BM43">
    <cfRule type="cellIs" dxfId="36" priority="14" operator="greaterThan">
      <formula>$AA$44</formula>
    </cfRule>
  </conditionalFormatting>
  <conditionalFormatting sqref="BN22:BN43">
    <cfRule type="cellIs" dxfId="35" priority="13" operator="greaterThan">
      <formula>$AB$44</formula>
    </cfRule>
  </conditionalFormatting>
  <conditionalFormatting sqref="BM14:BM18">
    <cfRule type="cellIs" dxfId="34" priority="12" operator="greaterThan">
      <formula>$AA$19</formula>
    </cfRule>
  </conditionalFormatting>
  <conditionalFormatting sqref="BN14:BN18">
    <cfRule type="cellIs" dxfId="33" priority="9" operator="greaterThan">
      <formula>$AB$11</formula>
    </cfRule>
  </conditionalFormatting>
  <conditionalFormatting sqref="CX22:CX25">
    <cfRule type="cellIs" dxfId="32" priority="8" operator="greaterThan">
      <formula>$AA$44</formula>
    </cfRule>
  </conditionalFormatting>
  <conditionalFormatting sqref="CY22:CY25">
    <cfRule type="cellIs" dxfId="31" priority="7" operator="greaterThan">
      <formula>$AB$44</formula>
    </cfRule>
  </conditionalFormatting>
  <conditionalFormatting sqref="AM22:AR43">
    <cfRule type="cellIs" dxfId="30" priority="5" operator="between">
      <formula>0</formula>
      <formula>999</formula>
    </cfRule>
  </conditionalFormatting>
  <conditionalFormatting sqref="K20:L22">
    <cfRule type="expression" dxfId="29" priority="2">
      <formula>$K$20="+"</formula>
    </cfRule>
    <cfRule type="expression" dxfId="28" priority="3">
      <formula>$K$20="-"</formula>
    </cfRule>
  </conditionalFormatting>
  <conditionalFormatting sqref="K20:L22">
    <cfRule type="expression" priority="1">
      <formula>0</formula>
    </cfRule>
  </conditionalFormatting>
  <conditionalFormatting sqref="S27:S31 L27:L31 F27:F31">
    <cfRule type="cellIs" dxfId="27" priority="59" operator="greaterThan">
      <formula>$F$11</formula>
    </cfRule>
  </conditionalFormatting>
  <dataValidations count="1">
    <dataValidation type="list" allowBlank="1" showInputMessage="1" showErrorMessage="1" sqref="CD8" xr:uid="{144734D2-E296-41B2-B5F5-3C904C1D0A23}">
      <formula1>$BG$22:$BG$43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CD0F367-3EDD-4111-91F8-CF48F0B19F11}">
          <x14:formula1>
            <xm:f>'Dashboard Tables'!$B$30:$B$32</xm:f>
          </x14:formula1>
          <xm:sqref>Q52</xm:sqref>
        </x14:dataValidation>
        <x14:dataValidation type="list" allowBlank="1" showInputMessage="1" showErrorMessage="1" xr:uid="{9B53B190-215C-4C89-ADEE-9D104DFF2A40}">
          <x14:formula1>
            <xm:f>'COA Estimator'!$B$29:$B$49</xm:f>
          </x14:formula1>
          <xm:sqref>L11:L14</xm:sqref>
        </x14:dataValidation>
        <x14:dataValidation type="list" allowBlank="1" showInputMessage="1" showErrorMessage="1" xr:uid="{8E094177-F9AC-497A-BD73-A0FF9BFF8D4C}">
          <x14:formula1>
            <xm:f>'COA Estimator'!$C$29:$C$49</xm:f>
          </x14:formula1>
          <xm:sqref>L9:L10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outlinePr summaryBelow="0" summaryRight="0"/>
  </sheetPr>
  <dimension ref="A1:AB211"/>
  <sheetViews>
    <sheetView workbookViewId="0">
      <selection activeCell="M2" sqref="M2"/>
    </sheetView>
  </sheetViews>
  <sheetFormatPr defaultColWidth="12.5703125" defaultRowHeight="15.75" customHeight="1"/>
  <cols>
    <col min="1" max="1" width="14.5703125" customWidth="1"/>
    <col min="2" max="2" width="21.140625" customWidth="1"/>
    <col min="3" max="3" width="17.7109375" customWidth="1"/>
    <col min="4" max="4" width="16.42578125" customWidth="1"/>
    <col min="5" max="5" width="13.140625" customWidth="1"/>
    <col min="6" max="6" width="18.85546875" customWidth="1"/>
    <col min="7" max="7" width="21.140625" customWidth="1"/>
    <col min="8" max="15" width="19" customWidth="1"/>
    <col min="16" max="16" width="22.7109375" bestFit="1" customWidth="1"/>
    <col min="17" max="17" width="19.28515625" customWidth="1"/>
    <col min="18" max="19" width="13.28515625" customWidth="1"/>
    <col min="20" max="20" width="14.140625" style="219" customWidth="1"/>
    <col min="21" max="21" width="13" style="219" customWidth="1"/>
    <col min="22" max="22" width="10" style="219" customWidth="1"/>
    <col min="23" max="23" width="45.42578125" bestFit="1" customWidth="1"/>
    <col min="24" max="24" width="46.28515625" bestFit="1" customWidth="1"/>
    <col min="25" max="25" width="14" style="2" customWidth="1"/>
    <col min="26" max="26" width="13.28515625" style="2" customWidth="1"/>
    <col min="27" max="27" width="19.140625" style="2" customWidth="1"/>
    <col min="28" max="28" width="8.42578125" bestFit="1" customWidth="1"/>
    <col min="29" max="29" width="19.42578125" bestFit="1" customWidth="1"/>
    <col min="30" max="30" width="14" bestFit="1" customWidth="1"/>
    <col min="31" max="31" width="16.85546875" bestFit="1" customWidth="1"/>
    <col min="32" max="32" width="9.85546875" bestFit="1" customWidth="1"/>
    <col min="33" max="33" width="8.28515625" bestFit="1" customWidth="1"/>
    <col min="34" max="34" width="12.140625" bestFit="1" customWidth="1"/>
    <col min="35" max="35" width="5.5703125" bestFit="1" customWidth="1"/>
    <col min="36" max="36" width="21.42578125" bestFit="1" customWidth="1"/>
    <col min="37" max="37" width="6" bestFit="1" customWidth="1"/>
    <col min="38" max="38" width="15.140625" bestFit="1" customWidth="1"/>
    <col min="39" max="39" width="4.7109375" bestFit="1" customWidth="1"/>
    <col min="40" max="40" width="8.28515625" bestFit="1" customWidth="1"/>
    <col min="41" max="41" width="13.28515625" bestFit="1" customWidth="1"/>
    <col min="42" max="42" width="8.140625" bestFit="1" customWidth="1"/>
    <col min="43" max="43" width="17.5703125" bestFit="1" customWidth="1"/>
    <col min="44" max="44" width="9.42578125" bestFit="1" customWidth="1"/>
    <col min="45" max="45" width="11.7109375" bestFit="1" customWidth="1"/>
  </cols>
  <sheetData>
    <row r="1" spans="1:28" ht="13.5" thickBot="1">
      <c r="A1" s="158" t="s">
        <v>0</v>
      </c>
      <c r="B1" s="159" t="s">
        <v>1</v>
      </c>
      <c r="C1" s="159" t="s">
        <v>2</v>
      </c>
      <c r="D1" s="159" t="s">
        <v>3</v>
      </c>
      <c r="E1" s="159" t="s">
        <v>4</v>
      </c>
      <c r="F1" s="159" t="s">
        <v>5</v>
      </c>
      <c r="G1" s="160" t="s">
        <v>6</v>
      </c>
      <c r="H1" s="482" t="s">
        <v>86</v>
      </c>
      <c r="I1" s="482" t="s">
        <v>232</v>
      </c>
      <c r="J1" s="482" t="s">
        <v>234</v>
      </c>
      <c r="K1" s="129" t="s">
        <v>83</v>
      </c>
      <c r="L1" s="129" t="s">
        <v>85</v>
      </c>
      <c r="M1" s="481" t="s">
        <v>87</v>
      </c>
      <c r="N1" s="481" t="s">
        <v>233</v>
      </c>
      <c r="O1" s="481" t="s">
        <v>235</v>
      </c>
      <c r="P1" s="129" t="s">
        <v>77</v>
      </c>
      <c r="Q1" s="483" t="s">
        <v>218</v>
      </c>
      <c r="R1" s="435"/>
      <c r="S1" s="157" t="s">
        <v>171</v>
      </c>
      <c r="T1" s="232" t="s">
        <v>147</v>
      </c>
      <c r="U1" s="232" t="s">
        <v>148</v>
      </c>
      <c r="V1" s="232" t="s">
        <v>149</v>
      </c>
      <c r="W1" s="233" t="s">
        <v>145</v>
      </c>
      <c r="X1" s="234" t="s">
        <v>150</v>
      </c>
    </row>
    <row r="2" spans="1:28" ht="12.75">
      <c r="A2" s="288">
        <v>4068</v>
      </c>
      <c r="B2" s="288" t="s">
        <v>22</v>
      </c>
      <c r="C2" s="288" t="s">
        <v>30</v>
      </c>
      <c r="D2" s="288" t="s">
        <v>9</v>
      </c>
      <c r="E2" s="289">
        <v>44266</v>
      </c>
      <c r="F2" s="290"/>
      <c r="G2" s="447"/>
      <c r="H2" s="436">
        <f>SUMIFS('Employee Leaves'!$G:$G,'Employee Leaves'!$A:$A,A2,'Employee Leaves'!$E:$E,"Holiday")</f>
        <v>17</v>
      </c>
      <c r="I2" s="436">
        <f>COUNTIFS('Employee Leaves'!$A:$A,A2,'Employee Leaves'!$E:$E,$H$1)</f>
        <v>2</v>
      </c>
      <c r="J2" s="441">
        <f t="shared" ref="J2:J65" si="0">H2+(1000/A2)</f>
        <v>17.245821042281218</v>
      </c>
      <c r="K2" s="487">
        <f>SUMIFS('Employee Leaves'!$G:$G,'Employee Leaves'!$A:$A,A2,'Employee Leaves'!$E:$E,"Maternity Leave")</f>
        <v>0</v>
      </c>
      <c r="L2" s="436">
        <f>SUMIFS('Employee Leaves'!$G:$G,'Employee Leaves'!$A:$A,A2,'Employee Leaves'!$E:$E,"Paternity Leave")</f>
        <v>0</v>
      </c>
      <c r="M2" s="436">
        <f>SUMIFS('Employee Leaves'!$G:$G,'Employee Leaves'!$A:$A,A2,'Employee Leaves'!$E:$E,"Sick")</f>
        <v>0</v>
      </c>
      <c r="N2" s="436">
        <f>COUNTIFS('Employee Leaves'!$A:$A,A2,'Employee Leaves'!$E:$E,$M$1)</f>
        <v>0</v>
      </c>
      <c r="O2" s="441">
        <f t="shared" ref="O2:O65" si="1">M2+(1000/A2)</f>
        <v>0.24582104228121926</v>
      </c>
      <c r="P2" s="444">
        <f>SUMIFS('Employee Leaves'!$G:$G,'Employee Leaves'!$A:$A,A2,'Employee Leaves'!$E:$E,"Others")</f>
        <v>0</v>
      </c>
      <c r="Q2" s="484">
        <f>SUMIFS('Employee Leaves'!$G:$G,'Employee Leaves'!$A:$A,A2)</f>
        <v>17</v>
      </c>
      <c r="R2" s="450"/>
      <c r="S2" s="438" t="str">
        <f t="shared" ref="S2:S65" si="2">IF(F2-E2&lt;0,"-",F2-E2)</f>
        <v>-</v>
      </c>
      <c r="T2" s="235">
        <v>23.93</v>
      </c>
      <c r="U2" s="236">
        <f t="shared" ref="U2:U65" si="3">T2*8</f>
        <v>191.44</v>
      </c>
      <c r="V2" s="236">
        <f t="shared" ref="V2:V65" si="4">T2*1.5</f>
        <v>35.894999999999996</v>
      </c>
      <c r="W2" s="437" t="s">
        <v>170</v>
      </c>
      <c r="X2" s="237" t="s">
        <v>169</v>
      </c>
    </row>
    <row r="3" spans="1:28" ht="12.75">
      <c r="A3" s="288">
        <v>4031</v>
      </c>
      <c r="B3" s="288" t="s">
        <v>22</v>
      </c>
      <c r="C3" s="288" t="s">
        <v>34</v>
      </c>
      <c r="D3" s="288" t="s">
        <v>9</v>
      </c>
      <c r="E3" s="290">
        <v>44501</v>
      </c>
      <c r="F3" s="290"/>
      <c r="G3" s="447"/>
      <c r="H3" s="448">
        <f>SUMIFS('Employee Leaves'!$G:$G,'Employee Leaves'!$A:$A,A3,'Employee Leaves'!$E:$E,"Holiday")</f>
        <v>15</v>
      </c>
      <c r="I3" s="448">
        <f>COUNTIFS('Employee Leaves'!$A:$A,A3,'Employee Leaves'!$E:$E,$H$1)</f>
        <v>1</v>
      </c>
      <c r="J3" s="442">
        <f t="shared" si="0"/>
        <v>15.248077400148846</v>
      </c>
      <c r="K3" s="488">
        <f>SUMIFS('Employee Leaves'!$G:$G,'Employee Leaves'!$A:$A,A3,'Employee Leaves'!$E:$E,"Maternity Leave")</f>
        <v>0</v>
      </c>
      <c r="L3" s="448">
        <f>SUMIFS('Employee Leaves'!$G:$G,'Employee Leaves'!$A:$A,A3,'Employee Leaves'!$E:$E,"Paternity Leave")</f>
        <v>0</v>
      </c>
      <c r="M3" s="448">
        <f>SUMIFS('Employee Leaves'!$G:$G,'Employee Leaves'!$A:$A,A3,'Employee Leaves'!$E:$E,"Sick")</f>
        <v>0</v>
      </c>
      <c r="N3" s="448">
        <f>COUNTIFS('Employee Leaves'!$A:$A,A3,'Employee Leaves'!$E:$E,$M$1)</f>
        <v>0</v>
      </c>
      <c r="O3" s="442">
        <f t="shared" si="1"/>
        <v>0.24807740014884644</v>
      </c>
      <c r="P3" s="445">
        <f>SUMIFS('Employee Leaves'!$G:$G,'Employee Leaves'!$A:$A,A3,'Employee Leaves'!$E:$E,"Others")</f>
        <v>0</v>
      </c>
      <c r="Q3" s="485">
        <f>SUMIFS('Employee Leaves'!$G:$G,'Employee Leaves'!$A:$A,A3)</f>
        <v>15</v>
      </c>
      <c r="R3" s="451"/>
      <c r="S3" s="439" t="str">
        <f t="shared" si="2"/>
        <v>-</v>
      </c>
      <c r="T3" s="238">
        <v>45.8</v>
      </c>
      <c r="U3" s="239">
        <f t="shared" si="3"/>
        <v>366.4</v>
      </c>
      <c r="V3" s="239">
        <f t="shared" si="4"/>
        <v>68.699999999999989</v>
      </c>
      <c r="W3" s="243" t="s">
        <v>179</v>
      </c>
      <c r="X3" s="241" t="s">
        <v>178</v>
      </c>
    </row>
    <row r="4" spans="1:28" ht="12.75">
      <c r="A4" s="288">
        <v>4052</v>
      </c>
      <c r="B4" s="288" t="s">
        <v>22</v>
      </c>
      <c r="C4" s="288" t="s">
        <v>32</v>
      </c>
      <c r="D4" s="288" t="s">
        <v>27</v>
      </c>
      <c r="E4" s="290">
        <v>44256</v>
      </c>
      <c r="F4" s="288"/>
      <c r="G4" s="447"/>
      <c r="H4" s="448">
        <f>SUMIFS('Employee Leaves'!$G:$G,'Employee Leaves'!$A:$A,A4,'Employee Leaves'!$E:$E,"Holiday")</f>
        <v>15</v>
      </c>
      <c r="I4" s="448">
        <f>COUNTIFS('Employee Leaves'!$A:$A,A4,'Employee Leaves'!$E:$E,$H$1)</f>
        <v>2</v>
      </c>
      <c r="J4" s="442">
        <f t="shared" si="0"/>
        <v>15.246791707798618</v>
      </c>
      <c r="K4" s="488">
        <f>SUMIFS('Employee Leaves'!$G:$G,'Employee Leaves'!$A:$A,A4,'Employee Leaves'!$E:$E,"Maternity Leave")</f>
        <v>0</v>
      </c>
      <c r="L4" s="448">
        <f>SUMIFS('Employee Leaves'!$G:$G,'Employee Leaves'!$A:$A,A4,'Employee Leaves'!$E:$E,"Paternity Leave")</f>
        <v>0</v>
      </c>
      <c r="M4" s="448">
        <f>SUMIFS('Employee Leaves'!$G:$G,'Employee Leaves'!$A:$A,A4,'Employee Leaves'!$E:$E,"Sick")</f>
        <v>0</v>
      </c>
      <c r="N4" s="448">
        <f>COUNTIFS('Employee Leaves'!$A:$A,A4,'Employee Leaves'!$E:$E,$M$1)</f>
        <v>0</v>
      </c>
      <c r="O4" s="442">
        <f t="shared" si="1"/>
        <v>0.24679170779861798</v>
      </c>
      <c r="P4" s="445">
        <f>SUMIFS('Employee Leaves'!$G:$G,'Employee Leaves'!$A:$A,A4,'Employee Leaves'!$E:$E,"Others")</f>
        <v>0</v>
      </c>
      <c r="Q4" s="485">
        <f>SUMIFS('Employee Leaves'!$G:$G,'Employee Leaves'!$A:$A,A4)</f>
        <v>15</v>
      </c>
      <c r="R4" s="451"/>
      <c r="S4" s="439" t="str">
        <f t="shared" si="2"/>
        <v>-</v>
      </c>
      <c r="T4" s="238">
        <v>48.52</v>
      </c>
      <c r="U4" s="239">
        <f t="shared" si="3"/>
        <v>388.16</v>
      </c>
      <c r="V4" s="239">
        <f t="shared" si="4"/>
        <v>72.78</v>
      </c>
      <c r="W4" s="243" t="s">
        <v>177</v>
      </c>
      <c r="X4" s="241" t="s">
        <v>176</v>
      </c>
    </row>
    <row r="5" spans="1:28" ht="12.75">
      <c r="A5" s="288">
        <v>4064</v>
      </c>
      <c r="B5" s="288" t="s">
        <v>22</v>
      </c>
      <c r="C5" s="288" t="s">
        <v>32</v>
      </c>
      <c r="D5" s="288" t="s">
        <v>27</v>
      </c>
      <c r="E5" s="289">
        <v>44359</v>
      </c>
      <c r="F5" s="290"/>
      <c r="G5" s="447"/>
      <c r="H5" s="448">
        <f>SUMIFS('Employee Leaves'!$G:$G,'Employee Leaves'!$A:$A,A5,'Employee Leaves'!$E:$E,"Holiday")</f>
        <v>15</v>
      </c>
      <c r="I5" s="448">
        <f>COUNTIFS('Employee Leaves'!$A:$A,A5,'Employee Leaves'!$E:$E,$H$1)</f>
        <v>1</v>
      </c>
      <c r="J5" s="442">
        <f t="shared" si="0"/>
        <v>15.246062992125985</v>
      </c>
      <c r="K5" s="488">
        <f>SUMIFS('Employee Leaves'!$G:$G,'Employee Leaves'!$A:$A,A5,'Employee Leaves'!$E:$E,"Maternity Leave")</f>
        <v>0</v>
      </c>
      <c r="L5" s="448">
        <f>SUMIFS('Employee Leaves'!$G:$G,'Employee Leaves'!$A:$A,A5,'Employee Leaves'!$E:$E,"Paternity Leave")</f>
        <v>0</v>
      </c>
      <c r="M5" s="448">
        <f>SUMIFS('Employee Leaves'!$G:$G,'Employee Leaves'!$A:$A,A5,'Employee Leaves'!$E:$E,"Sick")</f>
        <v>0</v>
      </c>
      <c r="N5" s="448">
        <f>COUNTIFS('Employee Leaves'!$A:$A,A5,'Employee Leaves'!$E:$E,$M$1)</f>
        <v>0</v>
      </c>
      <c r="O5" s="442">
        <f t="shared" si="1"/>
        <v>0.24606299212598426</v>
      </c>
      <c r="P5" s="445">
        <f>SUMIFS('Employee Leaves'!$G:$G,'Employee Leaves'!$A:$A,A5,'Employee Leaves'!$E:$E,"Others")</f>
        <v>0</v>
      </c>
      <c r="Q5" s="485">
        <f>SUMIFS('Employee Leaves'!$G:$G,'Employee Leaves'!$A:$A,A5)</f>
        <v>15</v>
      </c>
      <c r="R5" s="451"/>
      <c r="S5" s="439" t="str">
        <f t="shared" si="2"/>
        <v>-</v>
      </c>
      <c r="T5" s="238">
        <v>48.52</v>
      </c>
      <c r="U5" s="239">
        <f t="shared" si="3"/>
        <v>388.16</v>
      </c>
      <c r="V5" s="239">
        <f t="shared" si="4"/>
        <v>72.78</v>
      </c>
      <c r="W5" s="243" t="s">
        <v>177</v>
      </c>
      <c r="X5" s="241" t="s">
        <v>176</v>
      </c>
    </row>
    <row r="6" spans="1:28" ht="12.75">
      <c r="A6" s="288">
        <v>4036</v>
      </c>
      <c r="B6" s="288" t="s">
        <v>22</v>
      </c>
      <c r="C6" s="288" t="s">
        <v>24</v>
      </c>
      <c r="D6" s="288" t="s">
        <v>9</v>
      </c>
      <c r="E6" s="290">
        <v>44529</v>
      </c>
      <c r="F6" s="288"/>
      <c r="G6" s="447"/>
      <c r="H6" s="448">
        <f>SUMIFS('Employee Leaves'!$G:$G,'Employee Leaves'!$A:$A,A6,'Employee Leaves'!$E:$E,"Holiday")</f>
        <v>14</v>
      </c>
      <c r="I6" s="448">
        <f>COUNTIFS('Employee Leaves'!$A:$A,A6,'Employee Leaves'!$E:$E,$H$1)</f>
        <v>1</v>
      </c>
      <c r="J6" s="442">
        <f t="shared" si="0"/>
        <v>14.247770069375619</v>
      </c>
      <c r="K6" s="488">
        <f>SUMIFS('Employee Leaves'!$G:$G,'Employee Leaves'!$A:$A,A6,'Employee Leaves'!$E:$E,"Maternity Leave")</f>
        <v>0</v>
      </c>
      <c r="L6" s="448">
        <f>SUMIFS('Employee Leaves'!$G:$G,'Employee Leaves'!$A:$A,A6,'Employee Leaves'!$E:$E,"Paternity Leave")</f>
        <v>0</v>
      </c>
      <c r="M6" s="448">
        <f>SUMIFS('Employee Leaves'!$G:$G,'Employee Leaves'!$A:$A,A6,'Employee Leaves'!$E:$E,"Sick")</f>
        <v>0</v>
      </c>
      <c r="N6" s="448">
        <f>COUNTIFS('Employee Leaves'!$A:$A,A6,'Employee Leaves'!$E:$E,$M$1)</f>
        <v>0</v>
      </c>
      <c r="O6" s="442">
        <f t="shared" si="1"/>
        <v>0.24777006937561943</v>
      </c>
      <c r="P6" s="445">
        <f>SUMIFS('Employee Leaves'!$G:$G,'Employee Leaves'!$A:$A,A6,'Employee Leaves'!$E:$E,"Others")</f>
        <v>0</v>
      </c>
      <c r="Q6" s="485">
        <f>SUMIFS('Employee Leaves'!$G:$G,'Employee Leaves'!$A:$A,A6)</f>
        <v>14</v>
      </c>
      <c r="R6" s="451"/>
      <c r="S6" s="439" t="str">
        <f t="shared" si="2"/>
        <v>-</v>
      </c>
      <c r="T6" s="238">
        <v>48.52</v>
      </c>
      <c r="U6" s="239">
        <f t="shared" si="3"/>
        <v>388.16</v>
      </c>
      <c r="V6" s="239">
        <f t="shared" si="4"/>
        <v>72.78</v>
      </c>
      <c r="W6" s="243" t="s">
        <v>177</v>
      </c>
      <c r="X6" s="241" t="s">
        <v>176</v>
      </c>
    </row>
    <row r="7" spans="1:28" ht="12.75">
      <c r="A7" s="288">
        <v>2011</v>
      </c>
      <c r="B7" s="288" t="s">
        <v>15</v>
      </c>
      <c r="C7" s="288" t="s">
        <v>15</v>
      </c>
      <c r="D7" s="288" t="s">
        <v>9</v>
      </c>
      <c r="E7" s="290">
        <v>43927</v>
      </c>
      <c r="F7" s="291"/>
      <c r="G7" s="447"/>
      <c r="H7" s="448">
        <f>SUMIFS('Employee Leaves'!$G:$G,'Employee Leaves'!$A:$A,A7,'Employee Leaves'!$E:$E,"Holiday")</f>
        <v>13</v>
      </c>
      <c r="I7" s="448">
        <f>COUNTIFS('Employee Leaves'!$A:$A,A7,'Employee Leaves'!$E:$E,$H$1)</f>
        <v>2</v>
      </c>
      <c r="J7" s="442">
        <f t="shared" si="0"/>
        <v>13.497265042267529</v>
      </c>
      <c r="K7" s="488">
        <f>SUMIFS('Employee Leaves'!$G:$G,'Employee Leaves'!$A:$A,A7,'Employee Leaves'!$E:$E,"Maternity Leave")</f>
        <v>0</v>
      </c>
      <c r="L7" s="448">
        <f>SUMIFS('Employee Leaves'!$G:$G,'Employee Leaves'!$A:$A,A7,'Employee Leaves'!$E:$E,"Paternity Leave")</f>
        <v>0</v>
      </c>
      <c r="M7" s="448">
        <f>SUMIFS('Employee Leaves'!$G:$G,'Employee Leaves'!$A:$A,A7,'Employee Leaves'!$E:$E,"Sick")</f>
        <v>0</v>
      </c>
      <c r="N7" s="448">
        <f>COUNTIFS('Employee Leaves'!$A:$A,A7,'Employee Leaves'!$E:$E,$M$1)</f>
        <v>0</v>
      </c>
      <c r="O7" s="442">
        <f t="shared" si="1"/>
        <v>0.4972650422675286</v>
      </c>
      <c r="P7" s="445">
        <f>SUMIFS('Employee Leaves'!$G:$G,'Employee Leaves'!$A:$A,A7,'Employee Leaves'!$E:$E,"Others")</f>
        <v>0</v>
      </c>
      <c r="Q7" s="485">
        <f>SUMIFS('Employee Leaves'!$G:$G,'Employee Leaves'!$A:$A,A7)</f>
        <v>13</v>
      </c>
      <c r="R7" s="451"/>
      <c r="S7" s="439" t="str">
        <f t="shared" si="2"/>
        <v>-</v>
      </c>
      <c r="T7" s="238">
        <v>14.22</v>
      </c>
      <c r="U7" s="239">
        <f t="shared" si="3"/>
        <v>113.76</v>
      </c>
      <c r="V7" s="239">
        <f t="shared" si="4"/>
        <v>21.330000000000002</v>
      </c>
      <c r="W7" s="243" t="s">
        <v>183</v>
      </c>
      <c r="X7" s="241" t="s">
        <v>182</v>
      </c>
    </row>
    <row r="8" spans="1:28" ht="12.75">
      <c r="A8" s="288">
        <v>4005</v>
      </c>
      <c r="B8" s="288" t="s">
        <v>22</v>
      </c>
      <c r="C8" s="288" t="s">
        <v>24</v>
      </c>
      <c r="D8" s="288" t="s">
        <v>9</v>
      </c>
      <c r="E8" s="290">
        <v>44501</v>
      </c>
      <c r="F8" s="288"/>
      <c r="G8" s="447"/>
      <c r="H8" s="448">
        <f>SUMIFS('Employee Leaves'!$G:$G,'Employee Leaves'!$A:$A,A8,'Employee Leaves'!$E:$E,"Holiday")</f>
        <v>13</v>
      </c>
      <c r="I8" s="448">
        <f>COUNTIFS('Employee Leaves'!$A:$A,A8,'Employee Leaves'!$E:$E,$H$1)</f>
        <v>2</v>
      </c>
      <c r="J8" s="442">
        <f t="shared" si="0"/>
        <v>13.249687890137329</v>
      </c>
      <c r="K8" s="488">
        <f>SUMIFS('Employee Leaves'!$G:$G,'Employee Leaves'!$A:$A,A8,'Employee Leaves'!$E:$E,"Maternity Leave")</f>
        <v>0</v>
      </c>
      <c r="L8" s="448">
        <f>SUMIFS('Employee Leaves'!$G:$G,'Employee Leaves'!$A:$A,A8,'Employee Leaves'!$E:$E,"Paternity Leave")</f>
        <v>0</v>
      </c>
      <c r="M8" s="448">
        <f>SUMIFS('Employee Leaves'!$G:$G,'Employee Leaves'!$A:$A,A8,'Employee Leaves'!$E:$E,"Sick")</f>
        <v>0</v>
      </c>
      <c r="N8" s="448">
        <f>COUNTIFS('Employee Leaves'!$A:$A,A8,'Employee Leaves'!$E:$E,$M$1)</f>
        <v>0</v>
      </c>
      <c r="O8" s="442">
        <f t="shared" si="1"/>
        <v>0.24968789013732834</v>
      </c>
      <c r="P8" s="445">
        <f>SUMIFS('Employee Leaves'!$G:$G,'Employee Leaves'!$A:$A,A8,'Employee Leaves'!$E:$E,"Others")</f>
        <v>0</v>
      </c>
      <c r="Q8" s="485">
        <f>SUMIFS('Employee Leaves'!$G:$G,'Employee Leaves'!$A:$A,A8)</f>
        <v>13</v>
      </c>
      <c r="R8" s="451"/>
      <c r="S8" s="439" t="str">
        <f t="shared" si="2"/>
        <v>-</v>
      </c>
      <c r="T8" s="238">
        <v>48.52</v>
      </c>
      <c r="U8" s="239">
        <f t="shared" si="3"/>
        <v>388.16</v>
      </c>
      <c r="V8" s="239">
        <f t="shared" si="4"/>
        <v>72.78</v>
      </c>
      <c r="W8" s="243" t="s">
        <v>177</v>
      </c>
      <c r="X8" s="241" t="s">
        <v>176</v>
      </c>
    </row>
    <row r="9" spans="1:28" ht="12.75">
      <c r="A9" s="288">
        <v>4106</v>
      </c>
      <c r="B9" s="288" t="s">
        <v>22</v>
      </c>
      <c r="C9" s="288" t="s">
        <v>24</v>
      </c>
      <c r="D9" s="288" t="s">
        <v>36</v>
      </c>
      <c r="E9" s="289">
        <v>44307</v>
      </c>
      <c r="F9" s="290"/>
      <c r="G9" s="447"/>
      <c r="H9" s="448">
        <f>SUMIFS('Employee Leaves'!$G:$G,'Employee Leaves'!$A:$A,A9,'Employee Leaves'!$E:$E,"Holiday")</f>
        <v>12</v>
      </c>
      <c r="I9" s="448">
        <f>COUNTIFS('Employee Leaves'!$A:$A,A9,'Employee Leaves'!$E:$E,$H$1)</f>
        <v>1</v>
      </c>
      <c r="J9" s="442">
        <f t="shared" si="0"/>
        <v>12.243546030199708</v>
      </c>
      <c r="K9" s="488">
        <f>SUMIFS('Employee Leaves'!$G:$G,'Employee Leaves'!$A:$A,A9,'Employee Leaves'!$E:$E,"Maternity Leave")</f>
        <v>0</v>
      </c>
      <c r="L9" s="448">
        <f>SUMIFS('Employee Leaves'!$G:$G,'Employee Leaves'!$A:$A,A9,'Employee Leaves'!$E:$E,"Paternity Leave")</f>
        <v>0</v>
      </c>
      <c r="M9" s="448">
        <f>SUMIFS('Employee Leaves'!$G:$G,'Employee Leaves'!$A:$A,A9,'Employee Leaves'!$E:$E,"Sick")</f>
        <v>0</v>
      </c>
      <c r="N9" s="448">
        <f>COUNTIFS('Employee Leaves'!$A:$A,A9,'Employee Leaves'!$E:$E,$M$1)</f>
        <v>0</v>
      </c>
      <c r="O9" s="442">
        <f t="shared" si="1"/>
        <v>0.24354603019970775</v>
      </c>
      <c r="P9" s="445">
        <f>SUMIFS('Employee Leaves'!$G:$G,'Employee Leaves'!$A:$A,A9,'Employee Leaves'!$E:$E,"Others")</f>
        <v>0</v>
      </c>
      <c r="Q9" s="485">
        <f>SUMIFS('Employee Leaves'!$G:$G,'Employee Leaves'!$A:$A,A9)</f>
        <v>12</v>
      </c>
      <c r="R9" s="451"/>
      <c r="S9" s="439" t="str">
        <f t="shared" si="2"/>
        <v>-</v>
      </c>
      <c r="T9" s="238">
        <v>48.52</v>
      </c>
      <c r="U9" s="239">
        <f t="shared" si="3"/>
        <v>388.16</v>
      </c>
      <c r="V9" s="239">
        <f t="shared" si="4"/>
        <v>72.78</v>
      </c>
      <c r="W9" s="243" t="s">
        <v>177</v>
      </c>
      <c r="X9" s="241" t="s">
        <v>176</v>
      </c>
    </row>
    <row r="10" spans="1:28" ht="12.75">
      <c r="A10" s="288">
        <v>1012</v>
      </c>
      <c r="B10" s="288" t="s">
        <v>7</v>
      </c>
      <c r="C10" s="288" t="s">
        <v>8</v>
      </c>
      <c r="D10" s="288" t="s">
        <v>9</v>
      </c>
      <c r="E10" s="290">
        <v>43927</v>
      </c>
      <c r="F10" s="290">
        <v>44509</v>
      </c>
      <c r="G10" s="447" t="s">
        <v>13</v>
      </c>
      <c r="H10" s="448">
        <f>SUMIFS('Employee Leaves'!$G:$G,'Employee Leaves'!$A:$A,A10,'Employee Leaves'!$E:$E,"Holiday")</f>
        <v>10</v>
      </c>
      <c r="I10" s="448">
        <f>COUNTIFS('Employee Leaves'!$A:$A,A10,'Employee Leaves'!$E:$E,$H$1)</f>
        <v>1</v>
      </c>
      <c r="J10" s="442">
        <f t="shared" si="0"/>
        <v>10.988142292490119</v>
      </c>
      <c r="K10" s="488">
        <f>SUMIFS('Employee Leaves'!$G:$G,'Employee Leaves'!$A:$A,A10,'Employee Leaves'!$E:$E,"Maternity Leave")</f>
        <v>0</v>
      </c>
      <c r="L10" s="448">
        <f>SUMIFS('Employee Leaves'!$G:$G,'Employee Leaves'!$A:$A,A10,'Employee Leaves'!$E:$E,"Paternity Leave")</f>
        <v>0</v>
      </c>
      <c r="M10" s="448">
        <f>SUMIFS('Employee Leaves'!$G:$G,'Employee Leaves'!$A:$A,A10,'Employee Leaves'!$E:$E,"Sick")</f>
        <v>0</v>
      </c>
      <c r="N10" s="448">
        <f>COUNTIFS('Employee Leaves'!$A:$A,A10,'Employee Leaves'!$E:$E,$M$1)</f>
        <v>0</v>
      </c>
      <c r="O10" s="442">
        <f t="shared" si="1"/>
        <v>0.98814229249011853</v>
      </c>
      <c r="P10" s="445">
        <f>SUMIFS('Employee Leaves'!$G:$G,'Employee Leaves'!$A:$A,A10,'Employee Leaves'!$E:$E,"Others")</f>
        <v>0</v>
      </c>
      <c r="Q10" s="485">
        <f>SUMIFS('Employee Leaves'!$G:$G,'Employee Leaves'!$A:$A,A10)</f>
        <v>10</v>
      </c>
      <c r="R10" s="451"/>
      <c r="S10" s="439">
        <f t="shared" si="2"/>
        <v>582</v>
      </c>
      <c r="T10" s="238">
        <v>35.9</v>
      </c>
      <c r="U10" s="239">
        <f t="shared" si="3"/>
        <v>287.2</v>
      </c>
      <c r="V10" s="239">
        <f t="shared" si="4"/>
        <v>53.849999999999994</v>
      </c>
      <c r="W10" s="240" t="s">
        <v>155</v>
      </c>
      <c r="X10" s="241" t="s">
        <v>154</v>
      </c>
      <c r="Z10" s="647"/>
      <c r="AA10" s="647"/>
      <c r="AB10" s="647"/>
    </row>
    <row r="11" spans="1:28" ht="12.75">
      <c r="A11" s="288">
        <v>2017</v>
      </c>
      <c r="B11" s="288" t="s">
        <v>15</v>
      </c>
      <c r="C11" s="288" t="s">
        <v>15</v>
      </c>
      <c r="D11" s="288" t="s">
        <v>9</v>
      </c>
      <c r="E11" s="290">
        <v>44501</v>
      </c>
      <c r="F11" s="290"/>
      <c r="G11" s="447"/>
      <c r="H11" s="448">
        <f>SUMIFS('Employee Leaves'!$G:$G,'Employee Leaves'!$A:$A,A11,'Employee Leaves'!$E:$E,"Holiday")</f>
        <v>10</v>
      </c>
      <c r="I11" s="448">
        <f>COUNTIFS('Employee Leaves'!$A:$A,A11,'Employee Leaves'!$E:$E,$H$1)</f>
        <v>1</v>
      </c>
      <c r="J11" s="442">
        <f t="shared" si="0"/>
        <v>10.495785820525533</v>
      </c>
      <c r="K11" s="488">
        <f>SUMIFS('Employee Leaves'!$G:$G,'Employee Leaves'!$A:$A,A11,'Employee Leaves'!$E:$E,"Maternity Leave")</f>
        <v>0</v>
      </c>
      <c r="L11" s="448">
        <f>SUMIFS('Employee Leaves'!$G:$G,'Employee Leaves'!$A:$A,A11,'Employee Leaves'!$E:$E,"Paternity Leave")</f>
        <v>0</v>
      </c>
      <c r="M11" s="448">
        <f>SUMIFS('Employee Leaves'!$G:$G,'Employee Leaves'!$A:$A,A11,'Employee Leaves'!$E:$E,"Sick")</f>
        <v>0</v>
      </c>
      <c r="N11" s="448">
        <f>COUNTIFS('Employee Leaves'!$A:$A,A11,'Employee Leaves'!$E:$E,$M$1)</f>
        <v>0</v>
      </c>
      <c r="O11" s="442">
        <f t="shared" si="1"/>
        <v>0.49578582052553299</v>
      </c>
      <c r="P11" s="445">
        <f>SUMIFS('Employee Leaves'!$G:$G,'Employee Leaves'!$A:$A,A11,'Employee Leaves'!$E:$E,"Others")</f>
        <v>0</v>
      </c>
      <c r="Q11" s="485">
        <f>SUMIFS('Employee Leaves'!$G:$G,'Employee Leaves'!$A:$A,A11)</f>
        <v>10</v>
      </c>
      <c r="R11" s="451"/>
      <c r="S11" s="439" t="str">
        <f t="shared" si="2"/>
        <v>-</v>
      </c>
      <c r="T11" s="238">
        <v>14.22</v>
      </c>
      <c r="U11" s="239">
        <f t="shared" si="3"/>
        <v>113.76</v>
      </c>
      <c r="V11" s="239">
        <f t="shared" si="4"/>
        <v>21.330000000000002</v>
      </c>
      <c r="W11" s="243" t="s">
        <v>183</v>
      </c>
      <c r="X11" s="241" t="s">
        <v>182</v>
      </c>
      <c r="Z11" s="647"/>
      <c r="AA11" s="647"/>
      <c r="AB11" s="647"/>
    </row>
    <row r="12" spans="1:28" ht="12.75">
      <c r="A12" s="288">
        <v>2021</v>
      </c>
      <c r="B12" s="288" t="s">
        <v>15</v>
      </c>
      <c r="C12" s="288" t="s">
        <v>15</v>
      </c>
      <c r="D12" s="288" t="s">
        <v>9</v>
      </c>
      <c r="E12" s="290">
        <v>44501</v>
      </c>
      <c r="F12" s="288"/>
      <c r="G12" s="447"/>
      <c r="H12" s="448">
        <f>SUMIFS('Employee Leaves'!$G:$G,'Employee Leaves'!$A:$A,A12,'Employee Leaves'!$E:$E,"Holiday")</f>
        <v>10</v>
      </c>
      <c r="I12" s="448">
        <f>COUNTIFS('Employee Leaves'!$A:$A,A12,'Employee Leaves'!$E:$E,$H$1)</f>
        <v>1</v>
      </c>
      <c r="J12" s="442">
        <f t="shared" si="0"/>
        <v>10.494804552201881</v>
      </c>
      <c r="K12" s="488">
        <f>SUMIFS('Employee Leaves'!$G:$G,'Employee Leaves'!$A:$A,A12,'Employee Leaves'!$E:$E,"Maternity Leave")</f>
        <v>0</v>
      </c>
      <c r="L12" s="448">
        <f>SUMIFS('Employee Leaves'!$G:$G,'Employee Leaves'!$A:$A,A12,'Employee Leaves'!$E:$E,"Paternity Leave")</f>
        <v>0</v>
      </c>
      <c r="M12" s="448">
        <f>SUMIFS('Employee Leaves'!$G:$G,'Employee Leaves'!$A:$A,A12,'Employee Leaves'!$E:$E,"Sick")</f>
        <v>0</v>
      </c>
      <c r="N12" s="448">
        <f>COUNTIFS('Employee Leaves'!$A:$A,A12,'Employee Leaves'!$E:$E,$M$1)</f>
        <v>0</v>
      </c>
      <c r="O12" s="442">
        <f t="shared" si="1"/>
        <v>0.49480455220188024</v>
      </c>
      <c r="P12" s="445">
        <f>SUMIFS('Employee Leaves'!$G:$G,'Employee Leaves'!$A:$A,A12,'Employee Leaves'!$E:$E,"Others")</f>
        <v>0</v>
      </c>
      <c r="Q12" s="485">
        <f>SUMIFS('Employee Leaves'!$G:$G,'Employee Leaves'!$A:$A,A12)</f>
        <v>10</v>
      </c>
      <c r="R12" s="451"/>
      <c r="S12" s="439" t="str">
        <f t="shared" si="2"/>
        <v>-</v>
      </c>
      <c r="T12" s="238">
        <v>14.22</v>
      </c>
      <c r="U12" s="239">
        <f t="shared" si="3"/>
        <v>113.76</v>
      </c>
      <c r="V12" s="239">
        <f t="shared" si="4"/>
        <v>21.330000000000002</v>
      </c>
      <c r="W12" s="243" t="s">
        <v>183</v>
      </c>
      <c r="X12" s="241" t="s">
        <v>182</v>
      </c>
      <c r="Z12" s="647"/>
      <c r="AA12" s="647"/>
      <c r="AB12" s="647"/>
    </row>
    <row r="13" spans="1:28" ht="12.75">
      <c r="A13" s="288">
        <v>3009</v>
      </c>
      <c r="B13" s="288" t="s">
        <v>18</v>
      </c>
      <c r="C13" s="288" t="s">
        <v>19</v>
      </c>
      <c r="D13" s="288" t="s">
        <v>9</v>
      </c>
      <c r="E13" s="290">
        <v>44256</v>
      </c>
      <c r="F13" s="288"/>
      <c r="G13" s="447"/>
      <c r="H13" s="448">
        <f>SUMIFS('Employee Leaves'!$G:$G,'Employee Leaves'!$A:$A,A13,'Employee Leaves'!$E:$E,"Holiday")</f>
        <v>10</v>
      </c>
      <c r="I13" s="448">
        <f>COUNTIFS('Employee Leaves'!$A:$A,A13,'Employee Leaves'!$E:$E,$H$1)</f>
        <v>1</v>
      </c>
      <c r="J13" s="442">
        <f t="shared" si="0"/>
        <v>10.332336324360252</v>
      </c>
      <c r="K13" s="488">
        <f>SUMIFS('Employee Leaves'!$G:$G,'Employee Leaves'!$A:$A,A13,'Employee Leaves'!$E:$E,"Maternity Leave")</f>
        <v>0</v>
      </c>
      <c r="L13" s="448">
        <f>SUMIFS('Employee Leaves'!$G:$G,'Employee Leaves'!$A:$A,A13,'Employee Leaves'!$E:$E,"Paternity Leave")</f>
        <v>0</v>
      </c>
      <c r="M13" s="448">
        <f>SUMIFS('Employee Leaves'!$G:$G,'Employee Leaves'!$A:$A,A13,'Employee Leaves'!$E:$E,"Sick")</f>
        <v>0</v>
      </c>
      <c r="N13" s="448">
        <f>COUNTIFS('Employee Leaves'!$A:$A,A13,'Employee Leaves'!$E:$E,$M$1)</f>
        <v>0</v>
      </c>
      <c r="O13" s="442">
        <f t="shared" si="1"/>
        <v>0.33233632436025257</v>
      </c>
      <c r="P13" s="445">
        <f>SUMIFS('Employee Leaves'!$G:$G,'Employee Leaves'!$A:$A,A13,'Employee Leaves'!$E:$E,"Others")</f>
        <v>0</v>
      </c>
      <c r="Q13" s="485">
        <f>SUMIFS('Employee Leaves'!$G:$G,'Employee Leaves'!$A:$A,A13)</f>
        <v>10</v>
      </c>
      <c r="R13" s="451"/>
      <c r="S13" s="439" t="str">
        <f t="shared" si="2"/>
        <v>-</v>
      </c>
      <c r="T13" s="238">
        <v>30.73</v>
      </c>
      <c r="U13" s="239">
        <f t="shared" si="3"/>
        <v>245.84</v>
      </c>
      <c r="V13" s="239">
        <f t="shared" si="4"/>
        <v>46.094999999999999</v>
      </c>
      <c r="W13" s="243" t="s">
        <v>153</v>
      </c>
      <c r="X13" s="242" t="s">
        <v>152</v>
      </c>
      <c r="Z13" s="647"/>
      <c r="AA13" s="647"/>
      <c r="AB13" s="647"/>
    </row>
    <row r="14" spans="1:28" ht="12.75">
      <c r="A14" s="288">
        <v>3015</v>
      </c>
      <c r="B14" s="288" t="s">
        <v>18</v>
      </c>
      <c r="C14" s="288" t="s">
        <v>20</v>
      </c>
      <c r="D14" s="288" t="s">
        <v>9</v>
      </c>
      <c r="E14" s="290">
        <v>44452</v>
      </c>
      <c r="F14" s="291"/>
      <c r="G14" s="447"/>
      <c r="H14" s="448">
        <f>SUMIFS('Employee Leaves'!$G:$G,'Employee Leaves'!$A:$A,A14,'Employee Leaves'!$E:$E,"Holiday")</f>
        <v>10</v>
      </c>
      <c r="I14" s="448">
        <f>COUNTIFS('Employee Leaves'!$A:$A,A14,'Employee Leaves'!$E:$E,$H$1)</f>
        <v>1</v>
      </c>
      <c r="J14" s="442">
        <f t="shared" si="0"/>
        <v>10.33167495854063</v>
      </c>
      <c r="K14" s="488">
        <f>SUMIFS('Employee Leaves'!$G:$G,'Employee Leaves'!$A:$A,A14,'Employee Leaves'!$E:$E,"Maternity Leave")</f>
        <v>0</v>
      </c>
      <c r="L14" s="448">
        <f>SUMIFS('Employee Leaves'!$G:$G,'Employee Leaves'!$A:$A,A14,'Employee Leaves'!$E:$E,"Paternity Leave")</f>
        <v>0</v>
      </c>
      <c r="M14" s="448">
        <f>SUMIFS('Employee Leaves'!$G:$G,'Employee Leaves'!$A:$A,A14,'Employee Leaves'!$E:$E,"Sick")</f>
        <v>10</v>
      </c>
      <c r="N14" s="448">
        <f>COUNTIFS('Employee Leaves'!$A:$A,A14,'Employee Leaves'!$E:$E,$M$1)</f>
        <v>1</v>
      </c>
      <c r="O14" s="442">
        <f t="shared" si="1"/>
        <v>10.33167495854063</v>
      </c>
      <c r="P14" s="445">
        <f>SUMIFS('Employee Leaves'!$G:$G,'Employee Leaves'!$A:$A,A14,'Employee Leaves'!$E:$E,"Others")</f>
        <v>0</v>
      </c>
      <c r="Q14" s="485">
        <f>SUMIFS('Employee Leaves'!$G:$G,'Employee Leaves'!$A:$A,A14)</f>
        <v>20</v>
      </c>
      <c r="R14" s="451"/>
      <c r="S14" s="439" t="str">
        <f t="shared" si="2"/>
        <v>-</v>
      </c>
      <c r="T14" s="238">
        <v>30.73</v>
      </c>
      <c r="U14" s="239">
        <f t="shared" si="3"/>
        <v>245.84</v>
      </c>
      <c r="V14" s="239">
        <f t="shared" si="4"/>
        <v>46.094999999999999</v>
      </c>
      <c r="W14" s="243" t="s">
        <v>153</v>
      </c>
      <c r="X14" s="242" t="s">
        <v>152</v>
      </c>
      <c r="Z14" s="647"/>
      <c r="AA14" s="647"/>
      <c r="AB14" s="647"/>
    </row>
    <row r="15" spans="1:28" ht="12.75">
      <c r="A15" s="288">
        <v>4006</v>
      </c>
      <c r="B15" s="288" t="s">
        <v>22</v>
      </c>
      <c r="C15" s="288" t="s">
        <v>24</v>
      </c>
      <c r="D15" s="288" t="s">
        <v>27</v>
      </c>
      <c r="E15" s="290">
        <v>44495</v>
      </c>
      <c r="F15" s="288"/>
      <c r="G15" s="447"/>
      <c r="H15" s="448">
        <f>SUMIFS('Employee Leaves'!$G:$G,'Employee Leaves'!$A:$A,A15,'Employee Leaves'!$E:$E,"Holiday")</f>
        <v>10</v>
      </c>
      <c r="I15" s="448">
        <f>COUNTIFS('Employee Leaves'!$A:$A,A15,'Employee Leaves'!$E:$E,$H$1)</f>
        <v>1</v>
      </c>
      <c r="J15" s="442">
        <f t="shared" si="0"/>
        <v>10.249625561657513</v>
      </c>
      <c r="K15" s="488">
        <f>SUMIFS('Employee Leaves'!$G:$G,'Employee Leaves'!$A:$A,A15,'Employee Leaves'!$E:$E,"Maternity Leave")</f>
        <v>0</v>
      </c>
      <c r="L15" s="448">
        <f>SUMIFS('Employee Leaves'!$G:$G,'Employee Leaves'!$A:$A,A15,'Employee Leaves'!$E:$E,"Paternity Leave")</f>
        <v>0</v>
      </c>
      <c r="M15" s="448">
        <f>SUMIFS('Employee Leaves'!$G:$G,'Employee Leaves'!$A:$A,A15,'Employee Leaves'!$E:$E,"Sick")</f>
        <v>0</v>
      </c>
      <c r="N15" s="448">
        <f>COUNTIFS('Employee Leaves'!$A:$A,A15,'Employee Leaves'!$E:$E,$M$1)</f>
        <v>0</v>
      </c>
      <c r="O15" s="442">
        <f t="shared" si="1"/>
        <v>0.24962556165751373</v>
      </c>
      <c r="P15" s="445">
        <f>SUMIFS('Employee Leaves'!$G:$G,'Employee Leaves'!$A:$A,A15,'Employee Leaves'!$E:$E,"Others")</f>
        <v>0</v>
      </c>
      <c r="Q15" s="485">
        <f>SUMIFS('Employee Leaves'!$G:$G,'Employee Leaves'!$A:$A,A15)</f>
        <v>10</v>
      </c>
      <c r="R15" s="451"/>
      <c r="S15" s="439" t="str">
        <f t="shared" si="2"/>
        <v>-</v>
      </c>
      <c r="T15" s="238">
        <v>48.52</v>
      </c>
      <c r="U15" s="239">
        <f t="shared" si="3"/>
        <v>388.16</v>
      </c>
      <c r="V15" s="239">
        <f t="shared" si="4"/>
        <v>72.78</v>
      </c>
      <c r="W15" s="243" t="s">
        <v>177</v>
      </c>
      <c r="X15" s="241" t="s">
        <v>176</v>
      </c>
      <c r="Z15" s="647"/>
      <c r="AA15" s="647"/>
      <c r="AB15" s="647"/>
    </row>
    <row r="16" spans="1:28" ht="12.75">
      <c r="A16" s="288">
        <v>4038</v>
      </c>
      <c r="B16" s="288" t="s">
        <v>22</v>
      </c>
      <c r="C16" s="288" t="s">
        <v>23</v>
      </c>
      <c r="D16" s="288" t="s">
        <v>9</v>
      </c>
      <c r="E16" s="290">
        <v>44424</v>
      </c>
      <c r="F16" s="288"/>
      <c r="G16" s="447"/>
      <c r="H16" s="448">
        <f>SUMIFS('Employee Leaves'!$G:$G,'Employee Leaves'!$A:$A,A16,'Employee Leaves'!$E:$E,"Holiday")</f>
        <v>10</v>
      </c>
      <c r="I16" s="448">
        <f>COUNTIFS('Employee Leaves'!$A:$A,A16,'Employee Leaves'!$E:$E,$H$1)</f>
        <v>1</v>
      </c>
      <c r="J16" s="442">
        <f t="shared" si="0"/>
        <v>10.247647350173352</v>
      </c>
      <c r="K16" s="488">
        <f>SUMIFS('Employee Leaves'!$G:$G,'Employee Leaves'!$A:$A,A16,'Employee Leaves'!$E:$E,"Maternity Leave")</f>
        <v>0</v>
      </c>
      <c r="L16" s="448">
        <f>SUMIFS('Employee Leaves'!$G:$G,'Employee Leaves'!$A:$A,A16,'Employee Leaves'!$E:$E,"Paternity Leave")</f>
        <v>0</v>
      </c>
      <c r="M16" s="448">
        <f>SUMIFS('Employee Leaves'!$G:$G,'Employee Leaves'!$A:$A,A16,'Employee Leaves'!$E:$E,"Sick")</f>
        <v>0</v>
      </c>
      <c r="N16" s="448">
        <f>COUNTIFS('Employee Leaves'!$A:$A,A16,'Employee Leaves'!$E:$E,$M$1)</f>
        <v>0</v>
      </c>
      <c r="O16" s="442">
        <f t="shared" si="1"/>
        <v>0.24764735017335315</v>
      </c>
      <c r="P16" s="445">
        <f>SUMIFS('Employee Leaves'!$G:$G,'Employee Leaves'!$A:$A,A16,'Employee Leaves'!$E:$E,"Others")</f>
        <v>0</v>
      </c>
      <c r="Q16" s="485">
        <f>SUMIFS('Employee Leaves'!$G:$G,'Employee Leaves'!$A:$A,A16)</f>
        <v>10</v>
      </c>
      <c r="R16" s="451"/>
      <c r="S16" s="439" t="str">
        <f t="shared" si="2"/>
        <v>-</v>
      </c>
      <c r="T16" s="238">
        <v>45.8</v>
      </c>
      <c r="U16" s="239">
        <f t="shared" si="3"/>
        <v>366.4</v>
      </c>
      <c r="V16" s="239">
        <f t="shared" si="4"/>
        <v>68.699999999999989</v>
      </c>
      <c r="W16" s="243" t="s">
        <v>173</v>
      </c>
      <c r="X16" s="242" t="s">
        <v>172</v>
      </c>
      <c r="Z16" s="647"/>
      <c r="AA16" s="647"/>
      <c r="AB16" s="647"/>
    </row>
    <row r="17" spans="1:28" ht="12.75">
      <c r="A17" s="288">
        <v>4040</v>
      </c>
      <c r="B17" s="288" t="s">
        <v>22</v>
      </c>
      <c r="C17" s="288" t="s">
        <v>28</v>
      </c>
      <c r="D17" s="288" t="s">
        <v>9</v>
      </c>
      <c r="E17" s="290">
        <v>44291</v>
      </c>
      <c r="F17" s="291"/>
      <c r="G17" s="447"/>
      <c r="H17" s="448">
        <f>SUMIFS('Employee Leaves'!$G:$G,'Employee Leaves'!$A:$A,A17,'Employee Leaves'!$E:$E,"Holiday")</f>
        <v>10</v>
      </c>
      <c r="I17" s="448">
        <f>COUNTIFS('Employee Leaves'!$A:$A,A17,'Employee Leaves'!$E:$E,$H$1)</f>
        <v>1</v>
      </c>
      <c r="J17" s="442">
        <f t="shared" si="0"/>
        <v>10.247524752475247</v>
      </c>
      <c r="K17" s="488">
        <f>SUMIFS('Employee Leaves'!$G:$G,'Employee Leaves'!$A:$A,A17,'Employee Leaves'!$E:$E,"Maternity Leave")</f>
        <v>0</v>
      </c>
      <c r="L17" s="448">
        <f>SUMIFS('Employee Leaves'!$G:$G,'Employee Leaves'!$A:$A,A17,'Employee Leaves'!$E:$E,"Paternity Leave")</f>
        <v>0</v>
      </c>
      <c r="M17" s="448">
        <f>SUMIFS('Employee Leaves'!$G:$G,'Employee Leaves'!$A:$A,A17,'Employee Leaves'!$E:$E,"Sick")</f>
        <v>0</v>
      </c>
      <c r="N17" s="448">
        <f>COUNTIFS('Employee Leaves'!$A:$A,A17,'Employee Leaves'!$E:$E,$M$1)</f>
        <v>0</v>
      </c>
      <c r="O17" s="442">
        <f t="shared" si="1"/>
        <v>0.24752475247524752</v>
      </c>
      <c r="P17" s="445">
        <f>SUMIFS('Employee Leaves'!$G:$G,'Employee Leaves'!$A:$A,A17,'Employee Leaves'!$E:$E,"Others")</f>
        <v>0</v>
      </c>
      <c r="Q17" s="485">
        <f>SUMIFS('Employee Leaves'!$G:$G,'Employee Leaves'!$A:$A,A17)</f>
        <v>10</v>
      </c>
      <c r="R17" s="451"/>
      <c r="S17" s="439" t="str">
        <f t="shared" si="2"/>
        <v>-</v>
      </c>
      <c r="T17" s="238">
        <v>45.8</v>
      </c>
      <c r="U17" s="239">
        <f t="shared" si="3"/>
        <v>366.4</v>
      </c>
      <c r="V17" s="239">
        <f t="shared" si="4"/>
        <v>68.699999999999989</v>
      </c>
      <c r="W17" s="243" t="s">
        <v>173</v>
      </c>
      <c r="X17" s="242" t="s">
        <v>172</v>
      </c>
      <c r="Z17" s="226"/>
      <c r="AA17" s="647"/>
      <c r="AB17" s="647"/>
    </row>
    <row r="18" spans="1:28" ht="12.75">
      <c r="A18" s="288">
        <v>4060</v>
      </c>
      <c r="B18" s="288" t="s">
        <v>22</v>
      </c>
      <c r="C18" s="288" t="s">
        <v>26</v>
      </c>
      <c r="D18" s="288" t="s">
        <v>9</v>
      </c>
      <c r="E18" s="289">
        <v>43912</v>
      </c>
      <c r="F18" s="288"/>
      <c r="G18" s="447"/>
      <c r="H18" s="448">
        <f>SUMIFS('Employee Leaves'!$G:$G,'Employee Leaves'!$A:$A,A18,'Employee Leaves'!$E:$E,"Holiday")</f>
        <v>10</v>
      </c>
      <c r="I18" s="448">
        <f>COUNTIFS('Employee Leaves'!$A:$A,A18,'Employee Leaves'!$E:$E,$H$1)</f>
        <v>1</v>
      </c>
      <c r="J18" s="442">
        <f t="shared" si="0"/>
        <v>10.246305418719212</v>
      </c>
      <c r="K18" s="488">
        <f>SUMIFS('Employee Leaves'!$G:$G,'Employee Leaves'!$A:$A,A18,'Employee Leaves'!$E:$E,"Maternity Leave")</f>
        <v>0</v>
      </c>
      <c r="L18" s="448">
        <f>SUMIFS('Employee Leaves'!$G:$G,'Employee Leaves'!$A:$A,A18,'Employee Leaves'!$E:$E,"Paternity Leave")</f>
        <v>0</v>
      </c>
      <c r="M18" s="448">
        <f>SUMIFS('Employee Leaves'!$G:$G,'Employee Leaves'!$A:$A,A18,'Employee Leaves'!$E:$E,"Sick")</f>
        <v>0</v>
      </c>
      <c r="N18" s="448">
        <f>COUNTIFS('Employee Leaves'!$A:$A,A18,'Employee Leaves'!$E:$E,$M$1)</f>
        <v>0</v>
      </c>
      <c r="O18" s="442">
        <f t="shared" si="1"/>
        <v>0.24630541871921183</v>
      </c>
      <c r="P18" s="445">
        <f>SUMIFS('Employee Leaves'!$G:$G,'Employee Leaves'!$A:$A,A18,'Employee Leaves'!$E:$E,"Others")</f>
        <v>0</v>
      </c>
      <c r="Q18" s="485">
        <f>SUMIFS('Employee Leaves'!$G:$G,'Employee Leaves'!$A:$A,A18)</f>
        <v>10</v>
      </c>
      <c r="R18" s="451"/>
      <c r="S18" s="439" t="str">
        <f t="shared" si="2"/>
        <v>-</v>
      </c>
      <c r="T18" s="238">
        <v>37.049999999999997</v>
      </c>
      <c r="U18" s="239">
        <f t="shared" si="3"/>
        <v>296.39999999999998</v>
      </c>
      <c r="V18" s="239">
        <f t="shared" si="4"/>
        <v>55.574999999999996</v>
      </c>
      <c r="W18" s="243" t="s">
        <v>181</v>
      </c>
      <c r="X18" s="241" t="s">
        <v>180</v>
      </c>
      <c r="AA18" s="226"/>
    </row>
    <row r="19" spans="1:28" ht="12.75">
      <c r="A19" s="288">
        <v>4109</v>
      </c>
      <c r="B19" s="288" t="s">
        <v>22</v>
      </c>
      <c r="C19" s="288" t="s">
        <v>32</v>
      </c>
      <c r="D19" s="288" t="s">
        <v>9</v>
      </c>
      <c r="E19" s="289">
        <v>44137</v>
      </c>
      <c r="F19" s="290">
        <v>44713</v>
      </c>
      <c r="G19" s="447" t="s">
        <v>13</v>
      </c>
      <c r="H19" s="448">
        <f>SUMIFS('Employee Leaves'!$G:$G,'Employee Leaves'!$A:$A,A19,'Employee Leaves'!$E:$E,"Holiday")</f>
        <v>10</v>
      </c>
      <c r="I19" s="448">
        <f>COUNTIFS('Employee Leaves'!$A:$A,A19,'Employee Leaves'!$E:$E,$H$1)</f>
        <v>1</v>
      </c>
      <c r="J19" s="442">
        <f t="shared" si="0"/>
        <v>10.243368216110976</v>
      </c>
      <c r="K19" s="488">
        <f>SUMIFS('Employee Leaves'!$G:$G,'Employee Leaves'!$A:$A,A19,'Employee Leaves'!$E:$E,"Maternity Leave")</f>
        <v>0</v>
      </c>
      <c r="L19" s="448">
        <f>SUMIFS('Employee Leaves'!$G:$G,'Employee Leaves'!$A:$A,A19,'Employee Leaves'!$E:$E,"Paternity Leave")</f>
        <v>0</v>
      </c>
      <c r="M19" s="448">
        <f>SUMIFS('Employee Leaves'!$G:$G,'Employee Leaves'!$A:$A,A19,'Employee Leaves'!$E:$E,"Sick")</f>
        <v>0</v>
      </c>
      <c r="N19" s="448">
        <f>COUNTIFS('Employee Leaves'!$A:$A,A19,'Employee Leaves'!$E:$E,$M$1)</f>
        <v>0</v>
      </c>
      <c r="O19" s="442">
        <f t="shared" si="1"/>
        <v>0.24336821611097589</v>
      </c>
      <c r="P19" s="445">
        <f>SUMIFS('Employee Leaves'!$G:$G,'Employee Leaves'!$A:$A,A19,'Employee Leaves'!$E:$E,"Others")</f>
        <v>0</v>
      </c>
      <c r="Q19" s="485">
        <f>SUMIFS('Employee Leaves'!$G:$G,'Employee Leaves'!$A:$A,A19)</f>
        <v>10</v>
      </c>
      <c r="R19" s="451"/>
      <c r="S19" s="439">
        <f t="shared" si="2"/>
        <v>576</v>
      </c>
      <c r="T19" s="238">
        <v>48.52</v>
      </c>
      <c r="U19" s="239">
        <f t="shared" si="3"/>
        <v>388.16</v>
      </c>
      <c r="V19" s="239">
        <f t="shared" si="4"/>
        <v>72.78</v>
      </c>
      <c r="W19" s="243" t="s">
        <v>177</v>
      </c>
      <c r="X19" s="241" t="s">
        <v>176</v>
      </c>
    </row>
    <row r="20" spans="1:28" ht="12.75">
      <c r="A20" s="288">
        <v>5005</v>
      </c>
      <c r="B20" s="288" t="s">
        <v>37</v>
      </c>
      <c r="C20" s="288" t="s">
        <v>39</v>
      </c>
      <c r="D20" s="288" t="s">
        <v>16</v>
      </c>
      <c r="E20" s="289">
        <v>43978</v>
      </c>
      <c r="F20" s="288"/>
      <c r="G20" s="447"/>
      <c r="H20" s="448">
        <f>SUMIFS('Employee Leaves'!$G:$G,'Employee Leaves'!$A:$A,A20,'Employee Leaves'!$E:$E,"Holiday")</f>
        <v>10</v>
      </c>
      <c r="I20" s="448">
        <f>COUNTIFS('Employee Leaves'!$A:$A,A20,'Employee Leaves'!$E:$E,$H$1)</f>
        <v>1</v>
      </c>
      <c r="J20" s="442">
        <f t="shared" si="0"/>
        <v>10.199800199800199</v>
      </c>
      <c r="K20" s="488">
        <f>SUMIFS('Employee Leaves'!$G:$G,'Employee Leaves'!$A:$A,A20,'Employee Leaves'!$E:$E,"Maternity Leave")</f>
        <v>0</v>
      </c>
      <c r="L20" s="448">
        <f>SUMIFS('Employee Leaves'!$G:$G,'Employee Leaves'!$A:$A,A20,'Employee Leaves'!$E:$E,"Paternity Leave")</f>
        <v>0</v>
      </c>
      <c r="M20" s="448">
        <f>SUMIFS('Employee Leaves'!$G:$G,'Employee Leaves'!$A:$A,A20,'Employee Leaves'!$E:$E,"Sick")</f>
        <v>8</v>
      </c>
      <c r="N20" s="448">
        <f>COUNTIFS('Employee Leaves'!$A:$A,A20,'Employee Leaves'!$E:$E,$M$1)</f>
        <v>2</v>
      </c>
      <c r="O20" s="442">
        <f t="shared" si="1"/>
        <v>8.1998001998001993</v>
      </c>
      <c r="P20" s="445">
        <f>SUMIFS('Employee Leaves'!$G:$G,'Employee Leaves'!$A:$A,A20,'Employee Leaves'!$E:$E,"Others")</f>
        <v>0</v>
      </c>
      <c r="Q20" s="485">
        <f>SUMIFS('Employee Leaves'!$G:$G,'Employee Leaves'!$A:$A,A20)</f>
        <v>18</v>
      </c>
      <c r="R20" s="451"/>
      <c r="S20" s="439" t="str">
        <f t="shared" si="2"/>
        <v>-</v>
      </c>
      <c r="T20" s="238">
        <v>17.75</v>
      </c>
      <c r="U20" s="239">
        <f t="shared" si="3"/>
        <v>142</v>
      </c>
      <c r="V20" s="239">
        <f t="shared" si="4"/>
        <v>26.625</v>
      </c>
      <c r="W20" s="240" t="s">
        <v>146</v>
      </c>
      <c r="X20" s="242" t="s">
        <v>151</v>
      </c>
    </row>
    <row r="21" spans="1:28" ht="12.75">
      <c r="A21" s="288">
        <v>5016</v>
      </c>
      <c r="B21" s="288" t="s">
        <v>37</v>
      </c>
      <c r="C21" s="288" t="s">
        <v>38</v>
      </c>
      <c r="D21" s="288" t="s">
        <v>9</v>
      </c>
      <c r="E21" s="289">
        <v>44652</v>
      </c>
      <c r="F21" s="290"/>
      <c r="G21" s="447"/>
      <c r="H21" s="448">
        <f>SUMIFS('Employee Leaves'!$G:$G,'Employee Leaves'!$A:$A,A21,'Employee Leaves'!$E:$E,"Holiday")</f>
        <v>10</v>
      </c>
      <c r="I21" s="448">
        <f>COUNTIFS('Employee Leaves'!$A:$A,A21,'Employee Leaves'!$E:$E,$H$1)</f>
        <v>1</v>
      </c>
      <c r="J21" s="442">
        <f t="shared" si="0"/>
        <v>10.199362041467305</v>
      </c>
      <c r="K21" s="488">
        <f>SUMIFS('Employee Leaves'!$G:$G,'Employee Leaves'!$A:$A,A21,'Employee Leaves'!$E:$E,"Maternity Leave")</f>
        <v>0</v>
      </c>
      <c r="L21" s="448">
        <f>SUMIFS('Employee Leaves'!$G:$G,'Employee Leaves'!$A:$A,A21,'Employee Leaves'!$E:$E,"Paternity Leave")</f>
        <v>0</v>
      </c>
      <c r="M21" s="448">
        <f>SUMIFS('Employee Leaves'!$G:$G,'Employee Leaves'!$A:$A,A21,'Employee Leaves'!$E:$E,"Sick")</f>
        <v>0</v>
      </c>
      <c r="N21" s="448">
        <f>COUNTIFS('Employee Leaves'!$A:$A,A21,'Employee Leaves'!$E:$E,$M$1)</f>
        <v>0</v>
      </c>
      <c r="O21" s="442">
        <f t="shared" si="1"/>
        <v>0.19936204146730463</v>
      </c>
      <c r="P21" s="445">
        <f>SUMIFS('Employee Leaves'!$G:$G,'Employee Leaves'!$A:$A,A21,'Employee Leaves'!$E:$E,"Others")</f>
        <v>3</v>
      </c>
      <c r="Q21" s="485">
        <f>SUMIFS('Employee Leaves'!$G:$G,'Employee Leaves'!$A:$A,A21)</f>
        <v>13</v>
      </c>
      <c r="R21" s="451"/>
      <c r="S21" s="439" t="str">
        <f t="shared" si="2"/>
        <v>-</v>
      </c>
      <c r="T21" s="238">
        <v>17.75</v>
      </c>
      <c r="U21" s="239">
        <f t="shared" si="3"/>
        <v>142</v>
      </c>
      <c r="V21" s="239">
        <f t="shared" si="4"/>
        <v>26.625</v>
      </c>
      <c r="W21" s="240" t="s">
        <v>146</v>
      </c>
      <c r="X21" s="241" t="s">
        <v>151</v>
      </c>
    </row>
    <row r="22" spans="1:28" ht="12.75">
      <c r="A22" s="288">
        <v>4049</v>
      </c>
      <c r="B22" s="288" t="s">
        <v>22</v>
      </c>
      <c r="C22" s="288" t="s">
        <v>29</v>
      </c>
      <c r="D22" s="288" t="s">
        <v>9</v>
      </c>
      <c r="E22" s="290">
        <v>44256</v>
      </c>
      <c r="F22" s="291"/>
      <c r="G22" s="447"/>
      <c r="H22" s="448">
        <f>SUMIFS('Employee Leaves'!$G:$G,'Employee Leaves'!$A:$A,A22,'Employee Leaves'!$E:$E,"Holiday")</f>
        <v>9</v>
      </c>
      <c r="I22" s="448">
        <f>COUNTIFS('Employee Leaves'!$A:$A,A22,'Employee Leaves'!$E:$E,$H$1)</f>
        <v>1</v>
      </c>
      <c r="J22" s="442">
        <f t="shared" si="0"/>
        <v>9.2469745616201529</v>
      </c>
      <c r="K22" s="488">
        <f>SUMIFS('Employee Leaves'!$G:$G,'Employee Leaves'!$A:$A,A22,'Employee Leaves'!$E:$E,"Maternity Leave")</f>
        <v>0</v>
      </c>
      <c r="L22" s="448">
        <f>SUMIFS('Employee Leaves'!$G:$G,'Employee Leaves'!$A:$A,A22,'Employee Leaves'!$E:$E,"Paternity Leave")</f>
        <v>0</v>
      </c>
      <c r="M22" s="448">
        <f>SUMIFS('Employee Leaves'!$G:$G,'Employee Leaves'!$A:$A,A22,'Employee Leaves'!$E:$E,"Sick")</f>
        <v>0</v>
      </c>
      <c r="N22" s="448">
        <f>COUNTIFS('Employee Leaves'!$A:$A,A22,'Employee Leaves'!$E:$E,$M$1)</f>
        <v>0</v>
      </c>
      <c r="O22" s="442">
        <f t="shared" si="1"/>
        <v>0.24697456162015313</v>
      </c>
      <c r="P22" s="445">
        <f>SUMIFS('Employee Leaves'!$G:$G,'Employee Leaves'!$A:$A,A22,'Employee Leaves'!$E:$E,"Others")</f>
        <v>0</v>
      </c>
      <c r="Q22" s="485">
        <f>SUMIFS('Employee Leaves'!$G:$G,'Employee Leaves'!$A:$A,A22)</f>
        <v>9</v>
      </c>
      <c r="R22" s="451"/>
      <c r="S22" s="439" t="str">
        <f t="shared" si="2"/>
        <v>-</v>
      </c>
      <c r="T22" s="238">
        <v>45.8</v>
      </c>
      <c r="U22" s="239">
        <f t="shared" si="3"/>
        <v>366.4</v>
      </c>
      <c r="V22" s="239">
        <f t="shared" si="4"/>
        <v>68.699999999999989</v>
      </c>
      <c r="W22" s="243" t="s">
        <v>173</v>
      </c>
      <c r="X22" s="242" t="s">
        <v>172</v>
      </c>
    </row>
    <row r="23" spans="1:28" ht="12.75">
      <c r="A23" s="288">
        <v>4086</v>
      </c>
      <c r="B23" s="288" t="s">
        <v>22</v>
      </c>
      <c r="C23" s="288" t="s">
        <v>32</v>
      </c>
      <c r="D23" s="288" t="s">
        <v>9</v>
      </c>
      <c r="E23" s="289">
        <v>44459</v>
      </c>
      <c r="F23" s="290"/>
      <c r="G23" s="447"/>
      <c r="H23" s="448">
        <f>SUMIFS('Employee Leaves'!$G:$G,'Employee Leaves'!$A:$A,A23,'Employee Leaves'!$E:$E,"Holiday")</f>
        <v>9</v>
      </c>
      <c r="I23" s="448">
        <f>COUNTIFS('Employee Leaves'!$A:$A,A23,'Employee Leaves'!$E:$E,$H$1)</f>
        <v>1</v>
      </c>
      <c r="J23" s="442">
        <f t="shared" si="0"/>
        <v>9.2447381302006857</v>
      </c>
      <c r="K23" s="488">
        <f>SUMIFS('Employee Leaves'!$G:$G,'Employee Leaves'!$A:$A,A23,'Employee Leaves'!$E:$E,"Maternity Leave")</f>
        <v>0</v>
      </c>
      <c r="L23" s="448">
        <f>SUMIFS('Employee Leaves'!$G:$G,'Employee Leaves'!$A:$A,A23,'Employee Leaves'!$E:$E,"Paternity Leave")</f>
        <v>0</v>
      </c>
      <c r="M23" s="448">
        <f>SUMIFS('Employee Leaves'!$G:$G,'Employee Leaves'!$A:$A,A23,'Employee Leaves'!$E:$E,"Sick")</f>
        <v>0</v>
      </c>
      <c r="N23" s="448">
        <f>COUNTIFS('Employee Leaves'!$A:$A,A23,'Employee Leaves'!$E:$E,$M$1)</f>
        <v>0</v>
      </c>
      <c r="O23" s="442">
        <f t="shared" si="1"/>
        <v>0.24473813020068527</v>
      </c>
      <c r="P23" s="445">
        <f>SUMIFS('Employee Leaves'!$G:$G,'Employee Leaves'!$A:$A,A23,'Employee Leaves'!$E:$E,"Others")</f>
        <v>0</v>
      </c>
      <c r="Q23" s="485">
        <f>SUMIFS('Employee Leaves'!$G:$G,'Employee Leaves'!$A:$A,A23)</f>
        <v>9</v>
      </c>
      <c r="R23" s="451"/>
      <c r="S23" s="439" t="str">
        <f t="shared" si="2"/>
        <v>-</v>
      </c>
      <c r="T23" s="238">
        <v>48.52</v>
      </c>
      <c r="U23" s="239">
        <f t="shared" si="3"/>
        <v>388.16</v>
      </c>
      <c r="V23" s="239">
        <f t="shared" si="4"/>
        <v>72.78</v>
      </c>
      <c r="W23" s="243" t="s">
        <v>177</v>
      </c>
      <c r="X23" s="241" t="s">
        <v>176</v>
      </c>
    </row>
    <row r="24" spans="1:28" ht="12.75">
      <c r="A24" s="288">
        <v>5001</v>
      </c>
      <c r="B24" s="288" t="s">
        <v>37</v>
      </c>
      <c r="C24" s="288" t="s">
        <v>38</v>
      </c>
      <c r="D24" s="288" t="s">
        <v>16</v>
      </c>
      <c r="E24" s="289">
        <v>44246</v>
      </c>
      <c r="F24" s="290"/>
      <c r="G24" s="447"/>
      <c r="H24" s="448">
        <f>SUMIFS('Employee Leaves'!$G:$G,'Employee Leaves'!$A:$A,A24,'Employee Leaves'!$E:$E,"Holiday")</f>
        <v>9</v>
      </c>
      <c r="I24" s="448">
        <f>COUNTIFS('Employee Leaves'!$A:$A,A24,'Employee Leaves'!$E:$E,$H$1)</f>
        <v>1</v>
      </c>
      <c r="J24" s="442">
        <f t="shared" si="0"/>
        <v>9.199960007998401</v>
      </c>
      <c r="K24" s="488">
        <f>SUMIFS('Employee Leaves'!$G:$G,'Employee Leaves'!$A:$A,A24,'Employee Leaves'!$E:$E,"Maternity Leave")</f>
        <v>0</v>
      </c>
      <c r="L24" s="448">
        <f>SUMIFS('Employee Leaves'!$G:$G,'Employee Leaves'!$A:$A,A24,'Employee Leaves'!$E:$E,"Paternity Leave")</f>
        <v>0</v>
      </c>
      <c r="M24" s="448">
        <f>SUMIFS('Employee Leaves'!$G:$G,'Employee Leaves'!$A:$A,A24,'Employee Leaves'!$E:$E,"Sick")</f>
        <v>0</v>
      </c>
      <c r="N24" s="448">
        <f>COUNTIFS('Employee Leaves'!$A:$A,A24,'Employee Leaves'!$E:$E,$M$1)</f>
        <v>0</v>
      </c>
      <c r="O24" s="442">
        <f t="shared" si="1"/>
        <v>0.19996000799840033</v>
      </c>
      <c r="P24" s="445">
        <f>SUMIFS('Employee Leaves'!$G:$G,'Employee Leaves'!$A:$A,A24,'Employee Leaves'!$E:$E,"Others")</f>
        <v>0</v>
      </c>
      <c r="Q24" s="485">
        <f>SUMIFS('Employee Leaves'!$G:$G,'Employee Leaves'!$A:$A,A24)</f>
        <v>9</v>
      </c>
      <c r="R24" s="451"/>
      <c r="S24" s="439" t="str">
        <f t="shared" si="2"/>
        <v>-</v>
      </c>
      <c r="T24" s="238">
        <v>17.75</v>
      </c>
      <c r="U24" s="239">
        <f t="shared" si="3"/>
        <v>142</v>
      </c>
      <c r="V24" s="239">
        <f t="shared" si="4"/>
        <v>26.625</v>
      </c>
      <c r="W24" s="240" t="s">
        <v>146</v>
      </c>
      <c r="X24" s="241" t="s">
        <v>151</v>
      </c>
    </row>
    <row r="25" spans="1:28" ht="12.75">
      <c r="A25" s="288">
        <v>2015</v>
      </c>
      <c r="B25" s="288" t="s">
        <v>15</v>
      </c>
      <c r="C25" s="288" t="s">
        <v>15</v>
      </c>
      <c r="D25" s="288" t="s">
        <v>17</v>
      </c>
      <c r="E25" s="290">
        <v>44501</v>
      </c>
      <c r="F25" s="288"/>
      <c r="G25" s="447"/>
      <c r="H25" s="448">
        <f>SUMIFS('Employee Leaves'!$G:$G,'Employee Leaves'!$A:$A,A25,'Employee Leaves'!$E:$E,"Holiday")</f>
        <v>8</v>
      </c>
      <c r="I25" s="448">
        <f>COUNTIFS('Employee Leaves'!$A:$A,A25,'Employee Leaves'!$E:$E,$H$1)</f>
        <v>1</v>
      </c>
      <c r="J25" s="442">
        <f t="shared" si="0"/>
        <v>8.4962779156327546</v>
      </c>
      <c r="K25" s="488">
        <f>SUMIFS('Employee Leaves'!$G:$G,'Employee Leaves'!$A:$A,A25,'Employee Leaves'!$E:$E,"Maternity Leave")</f>
        <v>0</v>
      </c>
      <c r="L25" s="448">
        <f>SUMIFS('Employee Leaves'!$G:$G,'Employee Leaves'!$A:$A,A25,'Employee Leaves'!$E:$E,"Paternity Leave")</f>
        <v>0</v>
      </c>
      <c r="M25" s="448">
        <f>SUMIFS('Employee Leaves'!$G:$G,'Employee Leaves'!$A:$A,A25,'Employee Leaves'!$E:$E,"Sick")</f>
        <v>0</v>
      </c>
      <c r="N25" s="448">
        <f>COUNTIFS('Employee Leaves'!$A:$A,A25,'Employee Leaves'!$E:$E,$M$1)</f>
        <v>0</v>
      </c>
      <c r="O25" s="442">
        <f t="shared" si="1"/>
        <v>0.49627791563275436</v>
      </c>
      <c r="P25" s="445">
        <f>SUMIFS('Employee Leaves'!$G:$G,'Employee Leaves'!$A:$A,A25,'Employee Leaves'!$E:$E,"Others")</f>
        <v>0</v>
      </c>
      <c r="Q25" s="485">
        <f>SUMIFS('Employee Leaves'!$G:$G,'Employee Leaves'!$A:$A,A25)</f>
        <v>8</v>
      </c>
      <c r="R25" s="451"/>
      <c r="S25" s="439" t="str">
        <f t="shared" si="2"/>
        <v>-</v>
      </c>
      <c r="T25" s="238">
        <v>14.22</v>
      </c>
      <c r="U25" s="239">
        <f t="shared" si="3"/>
        <v>113.76</v>
      </c>
      <c r="V25" s="239">
        <f t="shared" si="4"/>
        <v>21.330000000000002</v>
      </c>
      <c r="W25" s="243" t="s">
        <v>183</v>
      </c>
      <c r="X25" s="241" t="s">
        <v>182</v>
      </c>
    </row>
    <row r="26" spans="1:28" ht="12.75">
      <c r="A26" s="288">
        <v>4028</v>
      </c>
      <c r="B26" s="288" t="s">
        <v>22</v>
      </c>
      <c r="C26" s="288" t="s">
        <v>29</v>
      </c>
      <c r="D26" s="288" t="s">
        <v>9</v>
      </c>
      <c r="E26" s="290">
        <v>44424</v>
      </c>
      <c r="F26" s="288"/>
      <c r="G26" s="447"/>
      <c r="H26" s="448">
        <f>SUMIFS('Employee Leaves'!$G:$G,'Employee Leaves'!$A:$A,A26,'Employee Leaves'!$E:$E,"Holiday")</f>
        <v>8</v>
      </c>
      <c r="I26" s="448">
        <f>COUNTIFS('Employee Leaves'!$A:$A,A26,'Employee Leaves'!$E:$E,$H$1)</f>
        <v>1</v>
      </c>
      <c r="J26" s="442">
        <f t="shared" si="0"/>
        <v>8.2482621648460768</v>
      </c>
      <c r="K26" s="488">
        <f>SUMIFS('Employee Leaves'!$G:$G,'Employee Leaves'!$A:$A,A26,'Employee Leaves'!$E:$E,"Maternity Leave")</f>
        <v>0</v>
      </c>
      <c r="L26" s="448">
        <f>SUMIFS('Employee Leaves'!$G:$G,'Employee Leaves'!$A:$A,A26,'Employee Leaves'!$E:$E,"Paternity Leave")</f>
        <v>0</v>
      </c>
      <c r="M26" s="448">
        <f>SUMIFS('Employee Leaves'!$G:$G,'Employee Leaves'!$A:$A,A26,'Employee Leaves'!$E:$E,"Sick")</f>
        <v>0</v>
      </c>
      <c r="N26" s="448">
        <f>COUNTIFS('Employee Leaves'!$A:$A,A26,'Employee Leaves'!$E:$E,$M$1)</f>
        <v>0</v>
      </c>
      <c r="O26" s="442">
        <f t="shared" si="1"/>
        <v>0.24826216484607747</v>
      </c>
      <c r="P26" s="445">
        <f>SUMIFS('Employee Leaves'!$G:$G,'Employee Leaves'!$A:$A,A26,'Employee Leaves'!$E:$E,"Others")</f>
        <v>0</v>
      </c>
      <c r="Q26" s="485">
        <f>SUMIFS('Employee Leaves'!$G:$G,'Employee Leaves'!$A:$A,A26)</f>
        <v>8</v>
      </c>
      <c r="R26" s="451"/>
      <c r="S26" s="439" t="str">
        <f t="shared" si="2"/>
        <v>-</v>
      </c>
      <c r="T26" s="238">
        <v>45.8</v>
      </c>
      <c r="U26" s="239">
        <f t="shared" si="3"/>
        <v>366.4</v>
      </c>
      <c r="V26" s="239">
        <f t="shared" si="4"/>
        <v>68.699999999999989</v>
      </c>
      <c r="W26" s="243" t="s">
        <v>173</v>
      </c>
      <c r="X26" s="242" t="s">
        <v>172</v>
      </c>
    </row>
    <row r="27" spans="1:28" ht="12.75">
      <c r="A27" s="288">
        <v>4035</v>
      </c>
      <c r="B27" s="288" t="s">
        <v>22</v>
      </c>
      <c r="C27" s="288" t="s">
        <v>35</v>
      </c>
      <c r="D27" s="288" t="s">
        <v>9</v>
      </c>
      <c r="E27" s="290">
        <v>44529</v>
      </c>
      <c r="F27" s="288"/>
      <c r="G27" s="447"/>
      <c r="H27" s="448">
        <f>SUMIFS('Employee Leaves'!$G:$G,'Employee Leaves'!$A:$A,A27,'Employee Leaves'!$E:$E,"Holiday")</f>
        <v>8</v>
      </c>
      <c r="I27" s="448">
        <f>COUNTIFS('Employee Leaves'!$A:$A,A27,'Employee Leaves'!$E:$E,$H$1)</f>
        <v>1</v>
      </c>
      <c r="J27" s="442">
        <f t="shared" si="0"/>
        <v>8.2478314745972732</v>
      </c>
      <c r="K27" s="488">
        <f>SUMIFS('Employee Leaves'!$G:$G,'Employee Leaves'!$A:$A,A27,'Employee Leaves'!$E:$E,"Maternity Leave")</f>
        <v>0</v>
      </c>
      <c r="L27" s="448">
        <f>SUMIFS('Employee Leaves'!$G:$G,'Employee Leaves'!$A:$A,A27,'Employee Leaves'!$E:$E,"Paternity Leave")</f>
        <v>0</v>
      </c>
      <c r="M27" s="448">
        <f>SUMIFS('Employee Leaves'!$G:$G,'Employee Leaves'!$A:$A,A27,'Employee Leaves'!$E:$E,"Sick")</f>
        <v>0</v>
      </c>
      <c r="N27" s="448">
        <f>COUNTIFS('Employee Leaves'!$A:$A,A27,'Employee Leaves'!$E:$E,$M$1)</f>
        <v>0</v>
      </c>
      <c r="O27" s="442">
        <f t="shared" si="1"/>
        <v>0.24783147459727387</v>
      </c>
      <c r="P27" s="445">
        <f>SUMIFS('Employee Leaves'!$G:$G,'Employee Leaves'!$A:$A,A27,'Employee Leaves'!$E:$E,"Others")</f>
        <v>0</v>
      </c>
      <c r="Q27" s="485">
        <f>SUMIFS('Employee Leaves'!$G:$G,'Employee Leaves'!$A:$A,A27)</f>
        <v>8</v>
      </c>
      <c r="R27" s="451"/>
      <c r="S27" s="439" t="str">
        <f t="shared" si="2"/>
        <v>-</v>
      </c>
      <c r="T27" s="238">
        <v>38.409999999999997</v>
      </c>
      <c r="U27" s="239">
        <f t="shared" si="3"/>
        <v>307.27999999999997</v>
      </c>
      <c r="V27" s="239">
        <f t="shared" si="4"/>
        <v>57.614999999999995</v>
      </c>
      <c r="W27" s="243" t="s">
        <v>175</v>
      </c>
      <c r="X27" s="241" t="s">
        <v>174</v>
      </c>
    </row>
    <row r="28" spans="1:28" ht="12.75">
      <c r="A28" s="288">
        <v>4042</v>
      </c>
      <c r="B28" s="288" t="s">
        <v>22</v>
      </c>
      <c r="C28" s="288" t="s">
        <v>35</v>
      </c>
      <c r="D28" s="288" t="s">
        <v>9</v>
      </c>
      <c r="E28" s="290">
        <v>44571</v>
      </c>
      <c r="F28" s="288"/>
      <c r="G28" s="447"/>
      <c r="H28" s="448">
        <f>SUMIFS('Employee Leaves'!$G:$G,'Employee Leaves'!$A:$A,A28,'Employee Leaves'!$E:$E,"Holiday")</f>
        <v>8</v>
      </c>
      <c r="I28" s="448">
        <f>COUNTIFS('Employee Leaves'!$A:$A,A28,'Employee Leaves'!$E:$E,$H$1)</f>
        <v>1</v>
      </c>
      <c r="J28" s="442">
        <f t="shared" si="0"/>
        <v>8.2474022761009405</v>
      </c>
      <c r="K28" s="488">
        <f>SUMIFS('Employee Leaves'!$G:$G,'Employee Leaves'!$A:$A,A28,'Employee Leaves'!$E:$E,"Maternity Leave")</f>
        <v>0</v>
      </c>
      <c r="L28" s="448">
        <f>SUMIFS('Employee Leaves'!$G:$G,'Employee Leaves'!$A:$A,A28,'Employee Leaves'!$E:$E,"Paternity Leave")</f>
        <v>0</v>
      </c>
      <c r="M28" s="448">
        <f>SUMIFS('Employee Leaves'!$G:$G,'Employee Leaves'!$A:$A,A28,'Employee Leaves'!$E:$E,"Sick")</f>
        <v>0</v>
      </c>
      <c r="N28" s="448">
        <f>COUNTIFS('Employee Leaves'!$A:$A,A28,'Employee Leaves'!$E:$E,$M$1)</f>
        <v>0</v>
      </c>
      <c r="O28" s="442">
        <f t="shared" si="1"/>
        <v>0.24740227610094012</v>
      </c>
      <c r="P28" s="445">
        <f>SUMIFS('Employee Leaves'!$G:$G,'Employee Leaves'!$A:$A,A28,'Employee Leaves'!$E:$E,"Others")</f>
        <v>0</v>
      </c>
      <c r="Q28" s="485">
        <f>SUMIFS('Employee Leaves'!$G:$G,'Employee Leaves'!$A:$A,A28)</f>
        <v>8</v>
      </c>
      <c r="R28" s="451"/>
      <c r="S28" s="439" t="str">
        <f t="shared" si="2"/>
        <v>-</v>
      </c>
      <c r="T28" s="238">
        <v>38.409999999999997</v>
      </c>
      <c r="U28" s="239">
        <f t="shared" si="3"/>
        <v>307.27999999999997</v>
      </c>
      <c r="V28" s="239">
        <f t="shared" si="4"/>
        <v>57.614999999999995</v>
      </c>
      <c r="W28" s="243" t="s">
        <v>175</v>
      </c>
      <c r="X28" s="241" t="s">
        <v>174</v>
      </c>
    </row>
    <row r="29" spans="1:28" ht="12.75">
      <c r="A29" s="288">
        <v>4059</v>
      </c>
      <c r="B29" s="288" t="s">
        <v>22</v>
      </c>
      <c r="C29" s="288" t="s">
        <v>24</v>
      </c>
      <c r="D29" s="288" t="s">
        <v>9</v>
      </c>
      <c r="E29" s="289">
        <v>44227</v>
      </c>
      <c r="F29" s="288"/>
      <c r="G29" s="447"/>
      <c r="H29" s="448">
        <f>SUMIFS('Employee Leaves'!$G:$G,'Employee Leaves'!$A:$A,A29,'Employee Leaves'!$E:$E,"Holiday")</f>
        <v>8</v>
      </c>
      <c r="I29" s="448">
        <f>COUNTIFS('Employee Leaves'!$A:$A,A29,'Employee Leaves'!$E:$E,$H$1)</f>
        <v>1</v>
      </c>
      <c r="J29" s="442">
        <f t="shared" si="0"/>
        <v>8.2463661000246358</v>
      </c>
      <c r="K29" s="488">
        <f>SUMIFS('Employee Leaves'!$G:$G,'Employee Leaves'!$A:$A,A29,'Employee Leaves'!$E:$E,"Maternity Leave")</f>
        <v>0</v>
      </c>
      <c r="L29" s="448">
        <f>SUMIFS('Employee Leaves'!$G:$G,'Employee Leaves'!$A:$A,A29,'Employee Leaves'!$E:$E,"Paternity Leave")</f>
        <v>0</v>
      </c>
      <c r="M29" s="448">
        <f>SUMIFS('Employee Leaves'!$G:$G,'Employee Leaves'!$A:$A,A29,'Employee Leaves'!$E:$E,"Sick")</f>
        <v>0</v>
      </c>
      <c r="N29" s="448">
        <f>COUNTIFS('Employee Leaves'!$A:$A,A29,'Employee Leaves'!$E:$E,$M$1)</f>
        <v>0</v>
      </c>
      <c r="O29" s="442">
        <f t="shared" si="1"/>
        <v>0.2463661000246366</v>
      </c>
      <c r="P29" s="445">
        <f>SUMIFS('Employee Leaves'!$G:$G,'Employee Leaves'!$A:$A,A29,'Employee Leaves'!$E:$E,"Others")</f>
        <v>0</v>
      </c>
      <c r="Q29" s="485">
        <f>SUMIFS('Employee Leaves'!$G:$G,'Employee Leaves'!$A:$A,A29)</f>
        <v>8</v>
      </c>
      <c r="R29" s="451"/>
      <c r="S29" s="439" t="str">
        <f t="shared" si="2"/>
        <v>-</v>
      </c>
      <c r="T29" s="238">
        <v>48.52</v>
      </c>
      <c r="U29" s="239">
        <f t="shared" si="3"/>
        <v>388.16</v>
      </c>
      <c r="V29" s="239">
        <f t="shared" si="4"/>
        <v>72.78</v>
      </c>
      <c r="W29" s="243" t="s">
        <v>177</v>
      </c>
      <c r="X29" s="241" t="s">
        <v>176</v>
      </c>
    </row>
    <row r="30" spans="1:28" ht="12.75">
      <c r="A30" s="288">
        <v>4073</v>
      </c>
      <c r="B30" s="288" t="s">
        <v>22</v>
      </c>
      <c r="C30" s="288" t="s">
        <v>29</v>
      </c>
      <c r="D30" s="288" t="s">
        <v>9</v>
      </c>
      <c r="E30" s="289">
        <v>44166</v>
      </c>
      <c r="F30" s="290"/>
      <c r="G30" s="447"/>
      <c r="H30" s="448">
        <f>SUMIFS('Employee Leaves'!$G:$G,'Employee Leaves'!$A:$A,A30,'Employee Leaves'!$E:$E,"Holiday")</f>
        <v>8</v>
      </c>
      <c r="I30" s="448">
        <f>COUNTIFS('Employee Leaves'!$A:$A,A30,'Employee Leaves'!$E:$E,$H$1)</f>
        <v>1</v>
      </c>
      <c r="J30" s="442">
        <f t="shared" si="0"/>
        <v>8.2455192732629516</v>
      </c>
      <c r="K30" s="488">
        <f>SUMIFS('Employee Leaves'!$G:$G,'Employee Leaves'!$A:$A,A30,'Employee Leaves'!$E:$E,"Maternity Leave")</f>
        <v>0</v>
      </c>
      <c r="L30" s="448">
        <f>SUMIFS('Employee Leaves'!$G:$G,'Employee Leaves'!$A:$A,A30,'Employee Leaves'!$E:$E,"Paternity Leave")</f>
        <v>0</v>
      </c>
      <c r="M30" s="448">
        <f>SUMIFS('Employee Leaves'!$G:$G,'Employee Leaves'!$A:$A,A30,'Employee Leaves'!$E:$E,"Sick")</f>
        <v>3</v>
      </c>
      <c r="N30" s="448">
        <f>COUNTIFS('Employee Leaves'!$A:$A,A30,'Employee Leaves'!$E:$E,$M$1)</f>
        <v>1</v>
      </c>
      <c r="O30" s="442">
        <f t="shared" si="1"/>
        <v>3.2455192732629512</v>
      </c>
      <c r="P30" s="445">
        <f>SUMIFS('Employee Leaves'!$G:$G,'Employee Leaves'!$A:$A,A30,'Employee Leaves'!$E:$E,"Others")</f>
        <v>0</v>
      </c>
      <c r="Q30" s="485">
        <f>SUMIFS('Employee Leaves'!$G:$G,'Employee Leaves'!$A:$A,A30)</f>
        <v>11</v>
      </c>
      <c r="R30" s="451"/>
      <c r="S30" s="439" t="str">
        <f t="shared" si="2"/>
        <v>-</v>
      </c>
      <c r="T30" s="238">
        <v>45.8</v>
      </c>
      <c r="U30" s="239">
        <f t="shared" si="3"/>
        <v>366.4</v>
      </c>
      <c r="V30" s="239">
        <f t="shared" si="4"/>
        <v>68.699999999999989</v>
      </c>
      <c r="W30" s="243" t="s">
        <v>173</v>
      </c>
      <c r="X30" s="242" t="s">
        <v>172</v>
      </c>
    </row>
    <row r="31" spans="1:28" ht="12.75">
      <c r="A31" s="288">
        <v>4089</v>
      </c>
      <c r="B31" s="288" t="s">
        <v>22</v>
      </c>
      <c r="C31" s="288" t="s">
        <v>30</v>
      </c>
      <c r="D31" s="288" t="s">
        <v>9</v>
      </c>
      <c r="E31" s="289">
        <v>44146</v>
      </c>
      <c r="F31" s="290"/>
      <c r="G31" s="447"/>
      <c r="H31" s="448">
        <f>SUMIFS('Employee Leaves'!$G:$G,'Employee Leaves'!$A:$A,A31,'Employee Leaves'!$E:$E,"Holiday")</f>
        <v>8</v>
      </c>
      <c r="I31" s="448">
        <f>COUNTIFS('Employee Leaves'!$A:$A,A31,'Employee Leaves'!$E:$E,$H$1)</f>
        <v>1</v>
      </c>
      <c r="J31" s="442">
        <f t="shared" si="0"/>
        <v>8.2445585717779402</v>
      </c>
      <c r="K31" s="488">
        <f>SUMIFS('Employee Leaves'!$G:$G,'Employee Leaves'!$A:$A,A31,'Employee Leaves'!$E:$E,"Maternity Leave")</f>
        <v>0</v>
      </c>
      <c r="L31" s="448">
        <f>SUMIFS('Employee Leaves'!$G:$G,'Employee Leaves'!$A:$A,A31,'Employee Leaves'!$E:$E,"Paternity Leave")</f>
        <v>0</v>
      </c>
      <c r="M31" s="448">
        <f>SUMIFS('Employee Leaves'!$G:$G,'Employee Leaves'!$A:$A,A31,'Employee Leaves'!$E:$E,"Sick")</f>
        <v>10</v>
      </c>
      <c r="N31" s="448">
        <f>COUNTIFS('Employee Leaves'!$A:$A,A31,'Employee Leaves'!$E:$E,$M$1)</f>
        <v>1</v>
      </c>
      <c r="O31" s="442">
        <f t="shared" si="1"/>
        <v>10.24455857177794</v>
      </c>
      <c r="P31" s="445">
        <f>SUMIFS('Employee Leaves'!$G:$G,'Employee Leaves'!$A:$A,A31,'Employee Leaves'!$E:$E,"Others")</f>
        <v>0</v>
      </c>
      <c r="Q31" s="485">
        <f>SUMIFS('Employee Leaves'!$G:$G,'Employee Leaves'!$A:$A,A31)</f>
        <v>18</v>
      </c>
      <c r="R31" s="451"/>
      <c r="S31" s="439" t="str">
        <f t="shared" si="2"/>
        <v>-</v>
      </c>
      <c r="T31" s="238">
        <v>23.93</v>
      </c>
      <c r="U31" s="239">
        <f t="shared" si="3"/>
        <v>191.44</v>
      </c>
      <c r="V31" s="239">
        <f t="shared" si="4"/>
        <v>35.894999999999996</v>
      </c>
      <c r="W31" s="243" t="s">
        <v>170</v>
      </c>
      <c r="X31" s="241" t="s">
        <v>169</v>
      </c>
    </row>
    <row r="32" spans="1:28" ht="12.75">
      <c r="A32" s="288">
        <v>5027</v>
      </c>
      <c r="B32" s="288" t="s">
        <v>37</v>
      </c>
      <c r="C32" s="288" t="s">
        <v>39</v>
      </c>
      <c r="D32" s="288" t="s">
        <v>17</v>
      </c>
      <c r="E32" s="289">
        <v>44265</v>
      </c>
      <c r="F32" s="290"/>
      <c r="G32" s="447"/>
      <c r="H32" s="448">
        <f>SUMIFS('Employee Leaves'!$G:$G,'Employee Leaves'!$A:$A,A32,'Employee Leaves'!$E:$E,"Holiday")</f>
        <v>8</v>
      </c>
      <c r="I32" s="448">
        <f>COUNTIFS('Employee Leaves'!$A:$A,A32,'Employee Leaves'!$E:$E,$H$1)</f>
        <v>1</v>
      </c>
      <c r="J32" s="442">
        <f t="shared" si="0"/>
        <v>8.1989258006763475</v>
      </c>
      <c r="K32" s="488">
        <f>SUMIFS('Employee Leaves'!$G:$G,'Employee Leaves'!$A:$A,A32,'Employee Leaves'!$E:$E,"Maternity Leave")</f>
        <v>0</v>
      </c>
      <c r="L32" s="448">
        <f>SUMIFS('Employee Leaves'!$G:$G,'Employee Leaves'!$A:$A,A32,'Employee Leaves'!$E:$E,"Paternity Leave")</f>
        <v>0</v>
      </c>
      <c r="M32" s="448">
        <f>SUMIFS('Employee Leaves'!$G:$G,'Employee Leaves'!$A:$A,A32,'Employee Leaves'!$E:$E,"Sick")</f>
        <v>0</v>
      </c>
      <c r="N32" s="448">
        <f>COUNTIFS('Employee Leaves'!$A:$A,A32,'Employee Leaves'!$E:$E,$M$1)</f>
        <v>0</v>
      </c>
      <c r="O32" s="442">
        <f t="shared" si="1"/>
        <v>0.19892580067634771</v>
      </c>
      <c r="P32" s="445">
        <f>SUMIFS('Employee Leaves'!$G:$G,'Employee Leaves'!$A:$A,A32,'Employee Leaves'!$E:$E,"Others")</f>
        <v>0</v>
      </c>
      <c r="Q32" s="485">
        <f>SUMIFS('Employee Leaves'!$G:$G,'Employee Leaves'!$A:$A,A32)</f>
        <v>8</v>
      </c>
      <c r="R32" s="451"/>
      <c r="S32" s="439" t="str">
        <f t="shared" si="2"/>
        <v>-</v>
      </c>
      <c r="T32" s="238">
        <v>17.75</v>
      </c>
      <c r="U32" s="239">
        <f t="shared" si="3"/>
        <v>142</v>
      </c>
      <c r="V32" s="239">
        <f t="shared" si="4"/>
        <v>26.625</v>
      </c>
      <c r="W32" s="240" t="s">
        <v>146</v>
      </c>
      <c r="X32" s="241" t="s">
        <v>151</v>
      </c>
    </row>
    <row r="33" spans="1:26" ht="12.75">
      <c r="A33" s="288">
        <v>2001</v>
      </c>
      <c r="B33" s="288" t="s">
        <v>15</v>
      </c>
      <c r="C33" s="288" t="s">
        <v>15</v>
      </c>
      <c r="D33" s="288" t="s">
        <v>9</v>
      </c>
      <c r="E33" s="290">
        <v>44501</v>
      </c>
      <c r="F33" s="288"/>
      <c r="G33" s="447"/>
      <c r="H33" s="448">
        <f>SUMIFS('Employee Leaves'!$G:$G,'Employee Leaves'!$A:$A,A33,'Employee Leaves'!$E:$E,"Holiday")</f>
        <v>7</v>
      </c>
      <c r="I33" s="448">
        <f>COUNTIFS('Employee Leaves'!$A:$A,A33,'Employee Leaves'!$E:$E,$H$1)</f>
        <v>1</v>
      </c>
      <c r="J33" s="442">
        <f t="shared" si="0"/>
        <v>7.4997501249375311</v>
      </c>
      <c r="K33" s="488">
        <f>SUMIFS('Employee Leaves'!$G:$G,'Employee Leaves'!$A:$A,A33,'Employee Leaves'!$E:$E,"Maternity Leave")</f>
        <v>0</v>
      </c>
      <c r="L33" s="448">
        <f>SUMIFS('Employee Leaves'!$G:$G,'Employee Leaves'!$A:$A,A33,'Employee Leaves'!$E:$E,"Paternity Leave")</f>
        <v>0</v>
      </c>
      <c r="M33" s="448">
        <f>SUMIFS('Employee Leaves'!$G:$G,'Employee Leaves'!$A:$A,A33,'Employee Leaves'!$E:$E,"Sick")</f>
        <v>0</v>
      </c>
      <c r="N33" s="448">
        <f>COUNTIFS('Employee Leaves'!$A:$A,A33,'Employee Leaves'!$E:$E,$M$1)</f>
        <v>0</v>
      </c>
      <c r="O33" s="442">
        <f t="shared" si="1"/>
        <v>0.49975012493753124</v>
      </c>
      <c r="P33" s="445">
        <f>SUMIFS('Employee Leaves'!$G:$G,'Employee Leaves'!$A:$A,A33,'Employee Leaves'!$E:$E,"Others")</f>
        <v>0</v>
      </c>
      <c r="Q33" s="485">
        <f>SUMIFS('Employee Leaves'!$G:$G,'Employee Leaves'!$A:$A,A33)</f>
        <v>7</v>
      </c>
      <c r="R33" s="451"/>
      <c r="S33" s="439" t="str">
        <f t="shared" si="2"/>
        <v>-</v>
      </c>
      <c r="T33" s="238">
        <v>14.22</v>
      </c>
      <c r="U33" s="239">
        <f t="shared" si="3"/>
        <v>113.76</v>
      </c>
      <c r="V33" s="239">
        <f t="shared" si="4"/>
        <v>21.330000000000002</v>
      </c>
      <c r="W33" s="243" t="s">
        <v>183</v>
      </c>
      <c r="X33" s="241" t="s">
        <v>182</v>
      </c>
    </row>
    <row r="34" spans="1:26" ht="12.75">
      <c r="A34" s="288">
        <v>2022</v>
      </c>
      <c r="B34" s="288" t="s">
        <v>15</v>
      </c>
      <c r="C34" s="288" t="s">
        <v>15</v>
      </c>
      <c r="D34" s="288" t="s">
        <v>9</v>
      </c>
      <c r="E34" s="290">
        <v>44256</v>
      </c>
      <c r="F34" s="291"/>
      <c r="G34" s="447"/>
      <c r="H34" s="448">
        <f>SUMIFS('Employee Leaves'!$G:$G,'Employee Leaves'!$A:$A,A34,'Employee Leaves'!$E:$E,"Holiday")</f>
        <v>7</v>
      </c>
      <c r="I34" s="448">
        <f>COUNTIFS('Employee Leaves'!$A:$A,A34,'Employee Leaves'!$E:$E,$H$1)</f>
        <v>1</v>
      </c>
      <c r="J34" s="442">
        <f t="shared" si="0"/>
        <v>7.494559841740851</v>
      </c>
      <c r="K34" s="488">
        <f>SUMIFS('Employee Leaves'!$G:$G,'Employee Leaves'!$A:$A,A34,'Employee Leaves'!$E:$E,"Maternity Leave")</f>
        <v>0</v>
      </c>
      <c r="L34" s="448">
        <f>SUMIFS('Employee Leaves'!$G:$G,'Employee Leaves'!$A:$A,A34,'Employee Leaves'!$E:$E,"Paternity Leave")</f>
        <v>0</v>
      </c>
      <c r="M34" s="448">
        <f>SUMIFS('Employee Leaves'!$G:$G,'Employee Leaves'!$A:$A,A34,'Employee Leaves'!$E:$E,"Sick")</f>
        <v>0</v>
      </c>
      <c r="N34" s="448">
        <f>COUNTIFS('Employee Leaves'!$A:$A,A34,'Employee Leaves'!$E:$E,$M$1)</f>
        <v>0</v>
      </c>
      <c r="O34" s="442">
        <f t="shared" si="1"/>
        <v>0.49455984174085066</v>
      </c>
      <c r="P34" s="445">
        <f>SUMIFS('Employee Leaves'!$G:$G,'Employee Leaves'!$A:$A,A34,'Employee Leaves'!$E:$E,"Others")</f>
        <v>0</v>
      </c>
      <c r="Q34" s="485">
        <f>SUMIFS('Employee Leaves'!$G:$G,'Employee Leaves'!$A:$A,A34)</f>
        <v>7</v>
      </c>
      <c r="R34" s="451"/>
      <c r="S34" s="439" t="str">
        <f t="shared" si="2"/>
        <v>-</v>
      </c>
      <c r="T34" s="238">
        <v>14.22</v>
      </c>
      <c r="U34" s="239">
        <f t="shared" si="3"/>
        <v>113.76</v>
      </c>
      <c r="V34" s="239">
        <f t="shared" si="4"/>
        <v>21.330000000000002</v>
      </c>
      <c r="W34" s="243" t="s">
        <v>183</v>
      </c>
      <c r="X34" s="241" t="s">
        <v>182</v>
      </c>
    </row>
    <row r="35" spans="1:26" ht="12.75">
      <c r="A35" s="288">
        <v>3012</v>
      </c>
      <c r="B35" s="288" t="s">
        <v>18</v>
      </c>
      <c r="C35" s="288" t="s">
        <v>20</v>
      </c>
      <c r="D35" s="288" t="s">
        <v>9</v>
      </c>
      <c r="E35" s="290">
        <v>44529</v>
      </c>
      <c r="F35" s="288"/>
      <c r="G35" s="447"/>
      <c r="H35" s="448">
        <f>SUMIFS('Employee Leaves'!$G:$G,'Employee Leaves'!$A:$A,A35,'Employee Leaves'!$E:$E,"Holiday")</f>
        <v>7</v>
      </c>
      <c r="I35" s="448">
        <f>COUNTIFS('Employee Leaves'!$A:$A,A35,'Employee Leaves'!$E:$E,$H$1)</f>
        <v>1</v>
      </c>
      <c r="J35" s="442">
        <f t="shared" si="0"/>
        <v>7.3320053120849931</v>
      </c>
      <c r="K35" s="488">
        <f>SUMIFS('Employee Leaves'!$G:$G,'Employee Leaves'!$A:$A,A35,'Employee Leaves'!$E:$E,"Maternity Leave")</f>
        <v>0</v>
      </c>
      <c r="L35" s="448">
        <f>SUMIFS('Employee Leaves'!$G:$G,'Employee Leaves'!$A:$A,A35,'Employee Leaves'!$E:$E,"Paternity Leave")</f>
        <v>0</v>
      </c>
      <c r="M35" s="448">
        <f>SUMIFS('Employee Leaves'!$G:$G,'Employee Leaves'!$A:$A,A35,'Employee Leaves'!$E:$E,"Sick")</f>
        <v>10</v>
      </c>
      <c r="N35" s="448">
        <f>COUNTIFS('Employee Leaves'!$A:$A,A35,'Employee Leaves'!$E:$E,$M$1)</f>
        <v>1</v>
      </c>
      <c r="O35" s="442">
        <f t="shared" si="1"/>
        <v>10.332005312084993</v>
      </c>
      <c r="P35" s="445">
        <f>SUMIFS('Employee Leaves'!$G:$G,'Employee Leaves'!$A:$A,A35,'Employee Leaves'!$E:$E,"Others")</f>
        <v>0</v>
      </c>
      <c r="Q35" s="485">
        <f>SUMIFS('Employee Leaves'!$G:$G,'Employee Leaves'!$A:$A,A35)</f>
        <v>17</v>
      </c>
      <c r="R35" s="451"/>
      <c r="S35" s="439" t="str">
        <f t="shared" si="2"/>
        <v>-</v>
      </c>
      <c r="T35" s="238">
        <v>30.73</v>
      </c>
      <c r="U35" s="239">
        <f t="shared" si="3"/>
        <v>245.84</v>
      </c>
      <c r="V35" s="239">
        <f t="shared" si="4"/>
        <v>46.094999999999999</v>
      </c>
      <c r="W35" s="243" t="s">
        <v>153</v>
      </c>
      <c r="X35" s="242" t="s">
        <v>152</v>
      </c>
    </row>
    <row r="36" spans="1:26" ht="12.75">
      <c r="A36" s="288">
        <v>4025</v>
      </c>
      <c r="B36" s="288" t="s">
        <v>22</v>
      </c>
      <c r="C36" s="288" t="s">
        <v>28</v>
      </c>
      <c r="D36" s="288" t="s">
        <v>9</v>
      </c>
      <c r="E36" s="290">
        <v>44410</v>
      </c>
      <c r="F36" s="288"/>
      <c r="G36" s="447"/>
      <c r="H36" s="448">
        <f>SUMIFS('Employee Leaves'!$G:$G,'Employee Leaves'!$A:$A,A36,'Employee Leaves'!$E:$E,"Holiday")</f>
        <v>7</v>
      </c>
      <c r="I36" s="448">
        <f>COUNTIFS('Employee Leaves'!$A:$A,A36,'Employee Leaves'!$E:$E,$H$1)</f>
        <v>1</v>
      </c>
      <c r="J36" s="442">
        <f t="shared" si="0"/>
        <v>7.2484472049689437</v>
      </c>
      <c r="K36" s="488">
        <f>SUMIFS('Employee Leaves'!$G:$G,'Employee Leaves'!$A:$A,A36,'Employee Leaves'!$E:$E,"Maternity Leave")</f>
        <v>0</v>
      </c>
      <c r="L36" s="448">
        <f>SUMIFS('Employee Leaves'!$G:$G,'Employee Leaves'!$A:$A,A36,'Employee Leaves'!$E:$E,"Paternity Leave")</f>
        <v>0</v>
      </c>
      <c r="M36" s="448">
        <f>SUMIFS('Employee Leaves'!$G:$G,'Employee Leaves'!$A:$A,A36,'Employee Leaves'!$E:$E,"Sick")</f>
        <v>0</v>
      </c>
      <c r="N36" s="448">
        <f>COUNTIFS('Employee Leaves'!$A:$A,A36,'Employee Leaves'!$E:$E,$M$1)</f>
        <v>0</v>
      </c>
      <c r="O36" s="442">
        <f t="shared" si="1"/>
        <v>0.2484472049689441</v>
      </c>
      <c r="P36" s="445">
        <f>SUMIFS('Employee Leaves'!$G:$G,'Employee Leaves'!$A:$A,A36,'Employee Leaves'!$E:$E,"Others")</f>
        <v>0</v>
      </c>
      <c r="Q36" s="485">
        <f>SUMIFS('Employee Leaves'!$G:$G,'Employee Leaves'!$A:$A,A36)</f>
        <v>7</v>
      </c>
      <c r="R36" s="451"/>
      <c r="S36" s="439" t="str">
        <f t="shared" si="2"/>
        <v>-</v>
      </c>
      <c r="T36" s="238">
        <v>45.8</v>
      </c>
      <c r="U36" s="239">
        <f t="shared" si="3"/>
        <v>366.4</v>
      </c>
      <c r="V36" s="239">
        <f t="shared" si="4"/>
        <v>68.699999999999989</v>
      </c>
      <c r="W36" s="243" t="s">
        <v>173</v>
      </c>
      <c r="X36" s="242" t="s">
        <v>172</v>
      </c>
    </row>
    <row r="37" spans="1:26" ht="12.75">
      <c r="A37" s="288">
        <v>4032</v>
      </c>
      <c r="B37" s="288" t="s">
        <v>22</v>
      </c>
      <c r="C37" s="288" t="s">
        <v>31</v>
      </c>
      <c r="D37" s="288" t="s">
        <v>9</v>
      </c>
      <c r="E37" s="290">
        <v>44424</v>
      </c>
      <c r="F37" s="288"/>
      <c r="G37" s="447"/>
      <c r="H37" s="448">
        <f>SUMIFS('Employee Leaves'!$G:$G,'Employee Leaves'!$A:$A,A37,'Employee Leaves'!$E:$E,"Holiday")</f>
        <v>7</v>
      </c>
      <c r="I37" s="448">
        <f>COUNTIFS('Employee Leaves'!$A:$A,A37,'Employee Leaves'!$E:$E,$H$1)</f>
        <v>1</v>
      </c>
      <c r="J37" s="442">
        <f t="shared" si="0"/>
        <v>7.2480158730158735</v>
      </c>
      <c r="K37" s="488">
        <f>SUMIFS('Employee Leaves'!$G:$G,'Employee Leaves'!$A:$A,A37,'Employee Leaves'!$E:$E,"Maternity Leave")</f>
        <v>0</v>
      </c>
      <c r="L37" s="448">
        <f>SUMIFS('Employee Leaves'!$G:$G,'Employee Leaves'!$A:$A,A37,'Employee Leaves'!$E:$E,"Paternity Leave")</f>
        <v>0</v>
      </c>
      <c r="M37" s="448">
        <f>SUMIFS('Employee Leaves'!$G:$G,'Employee Leaves'!$A:$A,A37,'Employee Leaves'!$E:$E,"Sick")</f>
        <v>0</v>
      </c>
      <c r="N37" s="448">
        <f>COUNTIFS('Employee Leaves'!$A:$A,A37,'Employee Leaves'!$E:$E,$M$1)</f>
        <v>0</v>
      </c>
      <c r="O37" s="442">
        <f t="shared" si="1"/>
        <v>0.24801587301587302</v>
      </c>
      <c r="P37" s="445">
        <f>SUMIFS('Employee Leaves'!$G:$G,'Employee Leaves'!$A:$A,A37,'Employee Leaves'!$E:$E,"Others")</f>
        <v>0</v>
      </c>
      <c r="Q37" s="485">
        <f>SUMIFS('Employee Leaves'!$G:$G,'Employee Leaves'!$A:$A,A37)</f>
        <v>7</v>
      </c>
      <c r="R37" s="451"/>
      <c r="S37" s="439" t="str">
        <f t="shared" si="2"/>
        <v>-</v>
      </c>
      <c r="T37" s="238">
        <v>45.8</v>
      </c>
      <c r="U37" s="239">
        <f t="shared" si="3"/>
        <v>366.4</v>
      </c>
      <c r="V37" s="239">
        <f t="shared" si="4"/>
        <v>68.699999999999989</v>
      </c>
      <c r="W37" s="243" t="s">
        <v>173</v>
      </c>
      <c r="X37" s="242" t="s">
        <v>172</v>
      </c>
    </row>
    <row r="38" spans="1:26" ht="12.75">
      <c r="A38" s="288">
        <v>4033</v>
      </c>
      <c r="B38" s="288" t="s">
        <v>22</v>
      </c>
      <c r="C38" s="288" t="s">
        <v>34</v>
      </c>
      <c r="D38" s="288" t="s">
        <v>9</v>
      </c>
      <c r="E38" s="290">
        <v>44529</v>
      </c>
      <c r="F38" s="288"/>
      <c r="G38" s="447"/>
      <c r="H38" s="448">
        <f>SUMIFS('Employee Leaves'!$G:$G,'Employee Leaves'!$A:$A,A38,'Employee Leaves'!$E:$E,"Holiday")</f>
        <v>7</v>
      </c>
      <c r="I38" s="448">
        <f>COUNTIFS('Employee Leaves'!$A:$A,A38,'Employee Leaves'!$E:$E,$H$1)</f>
        <v>1</v>
      </c>
      <c r="J38" s="442">
        <f t="shared" si="0"/>
        <v>7.2479543763947429</v>
      </c>
      <c r="K38" s="488">
        <f>SUMIFS('Employee Leaves'!$G:$G,'Employee Leaves'!$A:$A,A38,'Employee Leaves'!$E:$E,"Maternity Leave")</f>
        <v>0</v>
      </c>
      <c r="L38" s="448">
        <f>SUMIFS('Employee Leaves'!$G:$G,'Employee Leaves'!$A:$A,A38,'Employee Leaves'!$E:$E,"Paternity Leave")</f>
        <v>0</v>
      </c>
      <c r="M38" s="448">
        <f>SUMIFS('Employee Leaves'!$G:$G,'Employee Leaves'!$A:$A,A38,'Employee Leaves'!$E:$E,"Sick")</f>
        <v>0</v>
      </c>
      <c r="N38" s="448">
        <f>COUNTIFS('Employee Leaves'!$A:$A,A38,'Employee Leaves'!$E:$E,$M$1)</f>
        <v>0</v>
      </c>
      <c r="O38" s="442">
        <f t="shared" si="1"/>
        <v>0.24795437639474338</v>
      </c>
      <c r="P38" s="445">
        <f>SUMIFS('Employee Leaves'!$G:$G,'Employee Leaves'!$A:$A,A38,'Employee Leaves'!$E:$E,"Others")</f>
        <v>0</v>
      </c>
      <c r="Q38" s="485">
        <f>SUMIFS('Employee Leaves'!$G:$G,'Employee Leaves'!$A:$A,A38)</f>
        <v>7</v>
      </c>
      <c r="R38" s="451"/>
      <c r="S38" s="439" t="str">
        <f t="shared" si="2"/>
        <v>-</v>
      </c>
      <c r="T38" s="238">
        <v>45.8</v>
      </c>
      <c r="U38" s="239">
        <f t="shared" si="3"/>
        <v>366.4</v>
      </c>
      <c r="V38" s="239">
        <f t="shared" si="4"/>
        <v>68.699999999999989</v>
      </c>
      <c r="W38" s="243" t="s">
        <v>179</v>
      </c>
      <c r="X38" s="241" t="s">
        <v>178</v>
      </c>
    </row>
    <row r="39" spans="1:26" ht="12.75">
      <c r="A39" s="288">
        <v>4039</v>
      </c>
      <c r="B39" s="288" t="s">
        <v>22</v>
      </c>
      <c r="C39" s="288" t="s">
        <v>32</v>
      </c>
      <c r="D39" s="288" t="s">
        <v>27</v>
      </c>
      <c r="E39" s="290">
        <v>44256</v>
      </c>
      <c r="F39" s="291"/>
      <c r="G39" s="447"/>
      <c r="H39" s="448">
        <f>SUMIFS('Employee Leaves'!$G:$G,'Employee Leaves'!$A:$A,A39,'Employee Leaves'!$E:$E,"Holiday")</f>
        <v>7</v>
      </c>
      <c r="I39" s="448">
        <f>COUNTIFS('Employee Leaves'!$A:$A,A39,'Employee Leaves'!$E:$E,$H$1)</f>
        <v>1</v>
      </c>
      <c r="J39" s="442">
        <f t="shared" si="0"/>
        <v>7.2475860361475615</v>
      </c>
      <c r="K39" s="488">
        <f>SUMIFS('Employee Leaves'!$G:$G,'Employee Leaves'!$A:$A,A39,'Employee Leaves'!$E:$E,"Maternity Leave")</f>
        <v>0</v>
      </c>
      <c r="L39" s="448">
        <f>SUMIFS('Employee Leaves'!$G:$G,'Employee Leaves'!$A:$A,A39,'Employee Leaves'!$E:$E,"Paternity Leave")</f>
        <v>0</v>
      </c>
      <c r="M39" s="448">
        <f>SUMIFS('Employee Leaves'!$G:$G,'Employee Leaves'!$A:$A,A39,'Employee Leaves'!$E:$E,"Sick")</f>
        <v>0</v>
      </c>
      <c r="N39" s="448">
        <f>COUNTIFS('Employee Leaves'!$A:$A,A39,'Employee Leaves'!$E:$E,$M$1)</f>
        <v>0</v>
      </c>
      <c r="O39" s="442">
        <f t="shared" si="1"/>
        <v>0.24758603614756128</v>
      </c>
      <c r="P39" s="445">
        <f>SUMIFS('Employee Leaves'!$G:$G,'Employee Leaves'!$A:$A,A39,'Employee Leaves'!$E:$E,"Others")</f>
        <v>0</v>
      </c>
      <c r="Q39" s="485">
        <f>SUMIFS('Employee Leaves'!$G:$G,'Employee Leaves'!$A:$A,A39)</f>
        <v>7</v>
      </c>
      <c r="R39" s="451"/>
      <c r="S39" s="439" t="str">
        <f t="shared" si="2"/>
        <v>-</v>
      </c>
      <c r="T39" s="238">
        <v>48.52</v>
      </c>
      <c r="U39" s="239">
        <f t="shared" si="3"/>
        <v>388.16</v>
      </c>
      <c r="V39" s="239">
        <f t="shared" si="4"/>
        <v>72.78</v>
      </c>
      <c r="W39" s="243" t="s">
        <v>177</v>
      </c>
      <c r="X39" s="241" t="s">
        <v>176</v>
      </c>
    </row>
    <row r="40" spans="1:26" ht="12.75">
      <c r="A40" s="288">
        <v>4050</v>
      </c>
      <c r="B40" s="288" t="s">
        <v>22</v>
      </c>
      <c r="C40" s="288" t="s">
        <v>33</v>
      </c>
      <c r="D40" s="288" t="s">
        <v>9</v>
      </c>
      <c r="E40" s="290">
        <v>44452</v>
      </c>
      <c r="F40" s="290"/>
      <c r="G40" s="447"/>
      <c r="H40" s="448">
        <f>SUMIFS('Employee Leaves'!$G:$G,'Employee Leaves'!$A:$A,A40,'Employee Leaves'!$E:$E,"Holiday")</f>
        <v>7</v>
      </c>
      <c r="I40" s="448">
        <f>COUNTIFS('Employee Leaves'!$A:$A,A40,'Employee Leaves'!$E:$E,$H$1)</f>
        <v>1</v>
      </c>
      <c r="J40" s="442">
        <f t="shared" si="0"/>
        <v>7.2469135802469138</v>
      </c>
      <c r="K40" s="488">
        <f>SUMIFS('Employee Leaves'!$G:$G,'Employee Leaves'!$A:$A,A40,'Employee Leaves'!$E:$E,"Maternity Leave")</f>
        <v>0</v>
      </c>
      <c r="L40" s="448">
        <f>SUMIFS('Employee Leaves'!$G:$G,'Employee Leaves'!$A:$A,A40,'Employee Leaves'!$E:$E,"Paternity Leave")</f>
        <v>0</v>
      </c>
      <c r="M40" s="448">
        <f>SUMIFS('Employee Leaves'!$G:$G,'Employee Leaves'!$A:$A,A40,'Employee Leaves'!$E:$E,"Sick")</f>
        <v>0</v>
      </c>
      <c r="N40" s="448">
        <f>COUNTIFS('Employee Leaves'!$A:$A,A40,'Employee Leaves'!$E:$E,$M$1)</f>
        <v>0</v>
      </c>
      <c r="O40" s="442">
        <f t="shared" si="1"/>
        <v>0.24691358024691357</v>
      </c>
      <c r="P40" s="445">
        <f>SUMIFS('Employee Leaves'!$G:$G,'Employee Leaves'!$A:$A,A40,'Employee Leaves'!$E:$E,"Others")</f>
        <v>0</v>
      </c>
      <c r="Q40" s="485">
        <f>SUMIFS('Employee Leaves'!$G:$G,'Employee Leaves'!$A:$A,A40)</f>
        <v>7</v>
      </c>
      <c r="R40" s="451"/>
      <c r="S40" s="439" t="str">
        <f t="shared" si="2"/>
        <v>-</v>
      </c>
      <c r="T40" s="238">
        <v>45.8</v>
      </c>
      <c r="U40" s="239">
        <f t="shared" si="3"/>
        <v>366.4</v>
      </c>
      <c r="V40" s="239">
        <f t="shared" si="4"/>
        <v>68.699999999999989</v>
      </c>
      <c r="W40" s="243" t="s">
        <v>173</v>
      </c>
      <c r="X40" s="242" t="s">
        <v>172</v>
      </c>
    </row>
    <row r="41" spans="1:26" ht="12.75">
      <c r="A41" s="288">
        <v>4053</v>
      </c>
      <c r="B41" s="288" t="s">
        <v>22</v>
      </c>
      <c r="C41" s="288" t="s">
        <v>32</v>
      </c>
      <c r="D41" s="288" t="s">
        <v>27</v>
      </c>
      <c r="E41" s="289">
        <v>44309</v>
      </c>
      <c r="F41" s="288"/>
      <c r="G41" s="447"/>
      <c r="H41" s="448">
        <f>SUMIFS('Employee Leaves'!$G:$G,'Employee Leaves'!$A:$A,A41,'Employee Leaves'!$E:$E,"Holiday")</f>
        <v>7</v>
      </c>
      <c r="I41" s="448">
        <f>COUNTIFS('Employee Leaves'!$A:$A,A41,'Employee Leaves'!$E:$E,$H$1)</f>
        <v>1</v>
      </c>
      <c r="J41" s="442">
        <f t="shared" si="0"/>
        <v>7.246730816679003</v>
      </c>
      <c r="K41" s="488">
        <f>SUMIFS('Employee Leaves'!$G:$G,'Employee Leaves'!$A:$A,A41,'Employee Leaves'!$E:$E,"Maternity Leave")</f>
        <v>0</v>
      </c>
      <c r="L41" s="448">
        <f>SUMIFS('Employee Leaves'!$G:$G,'Employee Leaves'!$A:$A,A41,'Employee Leaves'!$E:$E,"Paternity Leave")</f>
        <v>0</v>
      </c>
      <c r="M41" s="448">
        <f>SUMIFS('Employee Leaves'!$G:$G,'Employee Leaves'!$A:$A,A41,'Employee Leaves'!$E:$E,"Sick")</f>
        <v>0</v>
      </c>
      <c r="N41" s="448">
        <f>COUNTIFS('Employee Leaves'!$A:$A,A41,'Employee Leaves'!$E:$E,$M$1)</f>
        <v>0</v>
      </c>
      <c r="O41" s="442">
        <f t="shared" si="1"/>
        <v>0.24673081667900321</v>
      </c>
      <c r="P41" s="445">
        <f>SUMIFS('Employee Leaves'!$G:$G,'Employee Leaves'!$A:$A,A41,'Employee Leaves'!$E:$E,"Others")</f>
        <v>0</v>
      </c>
      <c r="Q41" s="485">
        <f>SUMIFS('Employee Leaves'!$G:$G,'Employee Leaves'!$A:$A,A41)</f>
        <v>7</v>
      </c>
      <c r="R41" s="451"/>
      <c r="S41" s="439" t="str">
        <f t="shared" si="2"/>
        <v>-</v>
      </c>
      <c r="T41" s="238">
        <v>48.52</v>
      </c>
      <c r="U41" s="239">
        <f t="shared" si="3"/>
        <v>388.16</v>
      </c>
      <c r="V41" s="239">
        <f t="shared" si="4"/>
        <v>72.78</v>
      </c>
      <c r="W41" s="243" t="s">
        <v>177</v>
      </c>
      <c r="X41" s="241" t="s">
        <v>176</v>
      </c>
    </row>
    <row r="42" spans="1:26" ht="12.75">
      <c r="A42" s="288">
        <v>4054</v>
      </c>
      <c r="B42" s="288" t="s">
        <v>22</v>
      </c>
      <c r="C42" s="288" t="s">
        <v>32</v>
      </c>
      <c r="D42" s="288" t="s">
        <v>27</v>
      </c>
      <c r="E42" s="289">
        <v>44424</v>
      </c>
      <c r="F42" s="288"/>
      <c r="G42" s="447"/>
      <c r="H42" s="448">
        <f>SUMIFS('Employee Leaves'!$G:$G,'Employee Leaves'!$A:$A,A42,'Employee Leaves'!$E:$E,"Holiday")</f>
        <v>7</v>
      </c>
      <c r="I42" s="448">
        <f>COUNTIFS('Employee Leaves'!$A:$A,A42,'Employee Leaves'!$E:$E,$H$1)</f>
        <v>1</v>
      </c>
      <c r="J42" s="442">
        <f t="shared" si="0"/>
        <v>7.2466699555994083</v>
      </c>
      <c r="K42" s="488">
        <f>SUMIFS('Employee Leaves'!$G:$G,'Employee Leaves'!$A:$A,A42,'Employee Leaves'!$E:$E,"Maternity Leave")</f>
        <v>0</v>
      </c>
      <c r="L42" s="448">
        <f>SUMIFS('Employee Leaves'!$G:$G,'Employee Leaves'!$A:$A,A42,'Employee Leaves'!$E:$E,"Paternity Leave")</f>
        <v>0</v>
      </c>
      <c r="M42" s="448">
        <f>SUMIFS('Employee Leaves'!$G:$G,'Employee Leaves'!$A:$A,A42,'Employee Leaves'!$E:$E,"Sick")</f>
        <v>0</v>
      </c>
      <c r="N42" s="448">
        <f>COUNTIFS('Employee Leaves'!$A:$A,A42,'Employee Leaves'!$E:$E,$M$1)</f>
        <v>0</v>
      </c>
      <c r="O42" s="442">
        <f t="shared" si="1"/>
        <v>0.24666995559940799</v>
      </c>
      <c r="P42" s="445">
        <f>SUMIFS('Employee Leaves'!$G:$G,'Employee Leaves'!$A:$A,A42,'Employee Leaves'!$E:$E,"Others")</f>
        <v>0</v>
      </c>
      <c r="Q42" s="485">
        <f>SUMIFS('Employee Leaves'!$G:$G,'Employee Leaves'!$A:$A,A42)</f>
        <v>7</v>
      </c>
      <c r="R42" s="451"/>
      <c r="S42" s="439" t="str">
        <f t="shared" si="2"/>
        <v>-</v>
      </c>
      <c r="T42" s="238">
        <v>48.52</v>
      </c>
      <c r="U42" s="239">
        <f t="shared" si="3"/>
        <v>388.16</v>
      </c>
      <c r="V42" s="239">
        <f t="shared" si="4"/>
        <v>72.78</v>
      </c>
      <c r="W42" s="243" t="s">
        <v>177</v>
      </c>
      <c r="X42" s="241" t="s">
        <v>176</v>
      </c>
    </row>
    <row r="43" spans="1:26" ht="12.75">
      <c r="A43" s="288">
        <v>4074</v>
      </c>
      <c r="B43" s="288" t="s">
        <v>22</v>
      </c>
      <c r="C43" s="288" t="s">
        <v>35</v>
      </c>
      <c r="D43" s="288" t="s">
        <v>9</v>
      </c>
      <c r="E43" s="289">
        <v>44183</v>
      </c>
      <c r="F43" s="290"/>
      <c r="G43" s="447"/>
      <c r="H43" s="448">
        <f>SUMIFS('Employee Leaves'!$G:$G,'Employee Leaves'!$A:$A,A43,'Employee Leaves'!$E:$E,"Holiday")</f>
        <v>7</v>
      </c>
      <c r="I43" s="448">
        <f>COUNTIFS('Employee Leaves'!$A:$A,A43,'Employee Leaves'!$E:$E,$H$1)</f>
        <v>1</v>
      </c>
      <c r="J43" s="442">
        <f t="shared" si="0"/>
        <v>7.2454590083456063</v>
      </c>
      <c r="K43" s="488">
        <f>SUMIFS('Employee Leaves'!$G:$G,'Employee Leaves'!$A:$A,A43,'Employee Leaves'!$E:$E,"Maternity Leave")</f>
        <v>0</v>
      </c>
      <c r="L43" s="448">
        <f>SUMIFS('Employee Leaves'!$G:$G,'Employee Leaves'!$A:$A,A43,'Employee Leaves'!$E:$E,"Paternity Leave")</f>
        <v>0</v>
      </c>
      <c r="M43" s="448">
        <f>SUMIFS('Employee Leaves'!$G:$G,'Employee Leaves'!$A:$A,A43,'Employee Leaves'!$E:$E,"Sick")</f>
        <v>0</v>
      </c>
      <c r="N43" s="448">
        <f>COUNTIFS('Employee Leaves'!$A:$A,A43,'Employee Leaves'!$E:$E,$M$1)</f>
        <v>0</v>
      </c>
      <c r="O43" s="442">
        <f t="shared" si="1"/>
        <v>0.24545900834560627</v>
      </c>
      <c r="P43" s="445">
        <f>SUMIFS('Employee Leaves'!$G:$G,'Employee Leaves'!$A:$A,A43,'Employee Leaves'!$E:$E,"Others")</f>
        <v>0</v>
      </c>
      <c r="Q43" s="485">
        <f>SUMIFS('Employee Leaves'!$G:$G,'Employee Leaves'!$A:$A,A43)</f>
        <v>7</v>
      </c>
      <c r="R43" s="451"/>
      <c r="S43" s="439" t="str">
        <f t="shared" si="2"/>
        <v>-</v>
      </c>
      <c r="T43" s="238">
        <v>38.409999999999997</v>
      </c>
      <c r="U43" s="239">
        <f t="shared" si="3"/>
        <v>307.27999999999997</v>
      </c>
      <c r="V43" s="239">
        <f t="shared" si="4"/>
        <v>57.614999999999995</v>
      </c>
      <c r="W43" s="243" t="s">
        <v>175</v>
      </c>
      <c r="X43" s="241" t="s">
        <v>174</v>
      </c>
    </row>
    <row r="44" spans="1:26" ht="12.75">
      <c r="A44" s="288">
        <v>5017</v>
      </c>
      <c r="B44" s="288" t="s">
        <v>37</v>
      </c>
      <c r="C44" s="288" t="s">
        <v>39</v>
      </c>
      <c r="D44" s="288" t="s">
        <v>9</v>
      </c>
      <c r="E44" s="289">
        <v>44058</v>
      </c>
      <c r="F44" s="290"/>
      <c r="G44" s="447"/>
      <c r="H44" s="448">
        <f>SUMIFS('Employee Leaves'!$G:$G,'Employee Leaves'!$A:$A,A44,'Employee Leaves'!$E:$E,"Holiday")</f>
        <v>7</v>
      </c>
      <c r="I44" s="448">
        <f>COUNTIFS('Employee Leaves'!$A:$A,A44,'Employee Leaves'!$E:$E,$H$1)</f>
        <v>1</v>
      </c>
      <c r="J44" s="442">
        <f t="shared" si="0"/>
        <v>7.1993223041658361</v>
      </c>
      <c r="K44" s="488">
        <f>SUMIFS('Employee Leaves'!$G:$G,'Employee Leaves'!$A:$A,A44,'Employee Leaves'!$E:$E,"Maternity Leave")</f>
        <v>0</v>
      </c>
      <c r="L44" s="448">
        <f>SUMIFS('Employee Leaves'!$G:$G,'Employee Leaves'!$A:$A,A44,'Employee Leaves'!$E:$E,"Paternity Leave")</f>
        <v>0</v>
      </c>
      <c r="M44" s="448">
        <f>SUMIFS('Employee Leaves'!$G:$G,'Employee Leaves'!$A:$A,A44,'Employee Leaves'!$E:$E,"Sick")</f>
        <v>0</v>
      </c>
      <c r="N44" s="448">
        <f>COUNTIFS('Employee Leaves'!$A:$A,A44,'Employee Leaves'!$E:$E,$M$1)</f>
        <v>0</v>
      </c>
      <c r="O44" s="442">
        <f t="shared" si="1"/>
        <v>0.19932230416583616</v>
      </c>
      <c r="P44" s="445">
        <f>SUMIFS('Employee Leaves'!$G:$G,'Employee Leaves'!$A:$A,A44,'Employee Leaves'!$E:$E,"Others")</f>
        <v>0</v>
      </c>
      <c r="Q44" s="485">
        <f>SUMIFS('Employee Leaves'!$G:$G,'Employee Leaves'!$A:$A,A44)</f>
        <v>7</v>
      </c>
      <c r="R44" s="451"/>
      <c r="S44" s="439" t="str">
        <f t="shared" si="2"/>
        <v>-</v>
      </c>
      <c r="T44" s="238">
        <v>17.75</v>
      </c>
      <c r="U44" s="239">
        <f t="shared" si="3"/>
        <v>142</v>
      </c>
      <c r="V44" s="239">
        <f t="shared" si="4"/>
        <v>26.625</v>
      </c>
      <c r="W44" s="240" t="s">
        <v>146</v>
      </c>
      <c r="X44" s="241" t="s">
        <v>151</v>
      </c>
    </row>
    <row r="45" spans="1:26" ht="12.75">
      <c r="A45" s="288">
        <v>4027</v>
      </c>
      <c r="B45" s="288" t="s">
        <v>22</v>
      </c>
      <c r="C45" s="288" t="s">
        <v>26</v>
      </c>
      <c r="D45" s="288" t="s">
        <v>9</v>
      </c>
      <c r="E45" s="290">
        <v>44501</v>
      </c>
      <c r="F45" s="291"/>
      <c r="G45" s="447"/>
      <c r="H45" s="448">
        <f>SUMIFS('Employee Leaves'!$G:$G,'Employee Leaves'!$A:$A,A45,'Employee Leaves'!$E:$E,"Holiday")</f>
        <v>6</v>
      </c>
      <c r="I45" s="448">
        <f>COUNTIFS('Employee Leaves'!$A:$A,A45,'Employee Leaves'!$E:$E,$H$1)</f>
        <v>1</v>
      </c>
      <c r="J45" s="442">
        <f t="shared" si="0"/>
        <v>6.2483238142537871</v>
      </c>
      <c r="K45" s="488">
        <f>SUMIFS('Employee Leaves'!$G:$G,'Employee Leaves'!$A:$A,A45,'Employee Leaves'!$E:$E,"Maternity Leave")</f>
        <v>0</v>
      </c>
      <c r="L45" s="448">
        <f>SUMIFS('Employee Leaves'!$G:$G,'Employee Leaves'!$A:$A,A45,'Employee Leaves'!$E:$E,"Paternity Leave")</f>
        <v>0</v>
      </c>
      <c r="M45" s="448">
        <f>SUMIFS('Employee Leaves'!$G:$G,'Employee Leaves'!$A:$A,A45,'Employee Leaves'!$E:$E,"Sick")</f>
        <v>0</v>
      </c>
      <c r="N45" s="448">
        <f>COUNTIFS('Employee Leaves'!$A:$A,A45,'Employee Leaves'!$E:$E,$M$1)</f>
        <v>0</v>
      </c>
      <c r="O45" s="442">
        <f t="shared" si="1"/>
        <v>0.24832381425378694</v>
      </c>
      <c r="P45" s="445">
        <f>SUMIFS('Employee Leaves'!$G:$G,'Employee Leaves'!$A:$A,A45,'Employee Leaves'!$E:$E,"Others")</f>
        <v>0</v>
      </c>
      <c r="Q45" s="485">
        <f>SUMIFS('Employee Leaves'!$G:$G,'Employee Leaves'!$A:$A,A45)</f>
        <v>6</v>
      </c>
      <c r="R45" s="451"/>
      <c r="S45" s="439" t="str">
        <f t="shared" si="2"/>
        <v>-</v>
      </c>
      <c r="T45" s="238">
        <v>37.049999999999997</v>
      </c>
      <c r="U45" s="239">
        <f t="shared" si="3"/>
        <v>296.39999999999998</v>
      </c>
      <c r="V45" s="239">
        <f t="shared" si="4"/>
        <v>55.574999999999996</v>
      </c>
      <c r="W45" s="243" t="s">
        <v>181</v>
      </c>
      <c r="X45" s="241" t="s">
        <v>180</v>
      </c>
    </row>
    <row r="46" spans="1:26" ht="12.75">
      <c r="A46" s="288">
        <v>5024</v>
      </c>
      <c r="B46" s="288" t="s">
        <v>37</v>
      </c>
      <c r="C46" s="288" t="s">
        <v>38</v>
      </c>
      <c r="D46" s="288" t="s">
        <v>17</v>
      </c>
      <c r="E46" s="289">
        <v>44301</v>
      </c>
      <c r="F46" s="290"/>
      <c r="G46" s="447"/>
      <c r="H46" s="448">
        <f>SUMIFS('Employee Leaves'!$G:$G,'Employee Leaves'!$A:$A,A46,'Employee Leaves'!$E:$E,"Holiday")</f>
        <v>6</v>
      </c>
      <c r="I46" s="448">
        <f>COUNTIFS('Employee Leaves'!$A:$A,A46,'Employee Leaves'!$E:$E,$H$1)</f>
        <v>1</v>
      </c>
      <c r="J46" s="442">
        <f t="shared" si="0"/>
        <v>6.1990445859872612</v>
      </c>
      <c r="K46" s="488">
        <f>SUMIFS('Employee Leaves'!$G:$G,'Employee Leaves'!$A:$A,A46,'Employee Leaves'!$E:$E,"Maternity Leave")</f>
        <v>0</v>
      </c>
      <c r="L46" s="448">
        <f>SUMIFS('Employee Leaves'!$G:$G,'Employee Leaves'!$A:$A,A46,'Employee Leaves'!$E:$E,"Paternity Leave")</f>
        <v>0</v>
      </c>
      <c r="M46" s="448">
        <f>SUMIFS('Employee Leaves'!$G:$G,'Employee Leaves'!$A:$A,A46,'Employee Leaves'!$E:$E,"Sick")</f>
        <v>0</v>
      </c>
      <c r="N46" s="448">
        <f>COUNTIFS('Employee Leaves'!$A:$A,A46,'Employee Leaves'!$E:$E,$M$1)</f>
        <v>0</v>
      </c>
      <c r="O46" s="442">
        <f t="shared" si="1"/>
        <v>0.19904458598726116</v>
      </c>
      <c r="P46" s="445">
        <f>SUMIFS('Employee Leaves'!$G:$G,'Employee Leaves'!$A:$A,A46,'Employee Leaves'!$E:$E,"Others")</f>
        <v>0</v>
      </c>
      <c r="Q46" s="485">
        <f>SUMIFS('Employee Leaves'!$G:$G,'Employee Leaves'!$A:$A,A46)</f>
        <v>6</v>
      </c>
      <c r="R46" s="451"/>
      <c r="S46" s="439" t="str">
        <f t="shared" si="2"/>
        <v>-</v>
      </c>
      <c r="T46" s="238">
        <v>17.75</v>
      </c>
      <c r="U46" s="239">
        <f t="shared" si="3"/>
        <v>142</v>
      </c>
      <c r="V46" s="239">
        <f t="shared" si="4"/>
        <v>26.625</v>
      </c>
      <c r="W46" s="240" t="s">
        <v>146</v>
      </c>
      <c r="X46" s="241" t="s">
        <v>151</v>
      </c>
    </row>
    <row r="47" spans="1:26" ht="12.75">
      <c r="A47" s="288">
        <v>1001</v>
      </c>
      <c r="B47" s="288" t="s">
        <v>7</v>
      </c>
      <c r="C47" s="288" t="s">
        <v>8</v>
      </c>
      <c r="D47" s="288" t="s">
        <v>9</v>
      </c>
      <c r="E47" s="290">
        <v>43497</v>
      </c>
      <c r="F47" s="290"/>
      <c r="G47" s="447"/>
      <c r="H47" s="448">
        <f>SUMIFS('Employee Leaves'!$G:$G,'Employee Leaves'!$A:$A,A47,'Employee Leaves'!$E:$E,"Holiday")</f>
        <v>5</v>
      </c>
      <c r="I47" s="448">
        <f>COUNTIFS('Employee Leaves'!$A:$A,A47,'Employee Leaves'!$E:$E,$H$1)</f>
        <v>1</v>
      </c>
      <c r="J47" s="442">
        <f t="shared" si="0"/>
        <v>5.9990009990009989</v>
      </c>
      <c r="K47" s="488">
        <f>SUMIFS('Employee Leaves'!$G:$G,'Employee Leaves'!$A:$A,A47,'Employee Leaves'!$E:$E,"Maternity Leave")</f>
        <v>0</v>
      </c>
      <c r="L47" s="448">
        <f>SUMIFS('Employee Leaves'!$G:$G,'Employee Leaves'!$A:$A,A47,'Employee Leaves'!$E:$E,"Paternity Leave")</f>
        <v>0</v>
      </c>
      <c r="M47" s="448">
        <f>SUMIFS('Employee Leaves'!$G:$G,'Employee Leaves'!$A:$A,A47,'Employee Leaves'!$E:$E,"Sick")</f>
        <v>0</v>
      </c>
      <c r="N47" s="448">
        <f>COUNTIFS('Employee Leaves'!$A:$A,A47,'Employee Leaves'!$E:$E,$M$1)</f>
        <v>0</v>
      </c>
      <c r="O47" s="442">
        <f t="shared" si="1"/>
        <v>0.99900099900099903</v>
      </c>
      <c r="P47" s="445">
        <f>SUMIFS('Employee Leaves'!$G:$G,'Employee Leaves'!$A:$A,A47,'Employee Leaves'!$E:$E,"Others")</f>
        <v>0</v>
      </c>
      <c r="Q47" s="485">
        <f>SUMIFS('Employee Leaves'!$G:$G,'Employee Leaves'!$A:$A,A47)</f>
        <v>5</v>
      </c>
      <c r="R47" s="451"/>
      <c r="S47" s="439" t="str">
        <f t="shared" si="2"/>
        <v>-</v>
      </c>
      <c r="T47" s="238">
        <v>35.9</v>
      </c>
      <c r="U47" s="239">
        <f t="shared" si="3"/>
        <v>287.2</v>
      </c>
      <c r="V47" s="239">
        <f t="shared" si="4"/>
        <v>53.849999999999994</v>
      </c>
      <c r="W47" s="240" t="s">
        <v>155</v>
      </c>
      <c r="X47" s="241" t="s">
        <v>154</v>
      </c>
      <c r="Y47" s="6"/>
      <c r="Z47" s="6"/>
    </row>
    <row r="48" spans="1:26" ht="12.75">
      <c r="A48" s="288">
        <v>1008</v>
      </c>
      <c r="B48" s="288" t="s">
        <v>7</v>
      </c>
      <c r="C48" s="288" t="s">
        <v>12</v>
      </c>
      <c r="D48" s="288" t="s">
        <v>9</v>
      </c>
      <c r="E48" s="290">
        <v>44571</v>
      </c>
      <c r="F48" s="290"/>
      <c r="G48" s="447"/>
      <c r="H48" s="448">
        <f>SUMIFS('Employee Leaves'!$G:$G,'Employee Leaves'!$A:$A,A48,'Employee Leaves'!$E:$E,"Holiday")</f>
        <v>5</v>
      </c>
      <c r="I48" s="448">
        <f>COUNTIFS('Employee Leaves'!$A:$A,A48,'Employee Leaves'!$E:$E,$H$1)</f>
        <v>1</v>
      </c>
      <c r="J48" s="442">
        <f t="shared" si="0"/>
        <v>5.9920634920634921</v>
      </c>
      <c r="K48" s="488">
        <f>SUMIFS('Employee Leaves'!$G:$G,'Employee Leaves'!$A:$A,A48,'Employee Leaves'!$E:$E,"Maternity Leave")</f>
        <v>0</v>
      </c>
      <c r="L48" s="448">
        <f>SUMIFS('Employee Leaves'!$G:$G,'Employee Leaves'!$A:$A,A48,'Employee Leaves'!$E:$E,"Paternity Leave")</f>
        <v>0</v>
      </c>
      <c r="M48" s="448">
        <f>SUMIFS('Employee Leaves'!$G:$G,'Employee Leaves'!$A:$A,A48,'Employee Leaves'!$E:$E,"Sick")</f>
        <v>0</v>
      </c>
      <c r="N48" s="448">
        <f>COUNTIFS('Employee Leaves'!$A:$A,A48,'Employee Leaves'!$E:$E,$M$1)</f>
        <v>0</v>
      </c>
      <c r="O48" s="442">
        <f t="shared" si="1"/>
        <v>0.99206349206349209</v>
      </c>
      <c r="P48" s="445">
        <f>SUMIFS('Employee Leaves'!$G:$G,'Employee Leaves'!$A:$A,A48,'Employee Leaves'!$E:$E,"Others")</f>
        <v>0</v>
      </c>
      <c r="Q48" s="485">
        <f>SUMIFS('Employee Leaves'!$G:$G,'Employee Leaves'!$A:$A,A48)</f>
        <v>5</v>
      </c>
      <c r="R48" s="451"/>
      <c r="S48" s="439" t="str">
        <f t="shared" si="2"/>
        <v>-</v>
      </c>
      <c r="T48" s="238">
        <v>44.03</v>
      </c>
      <c r="U48" s="239">
        <f t="shared" si="3"/>
        <v>352.24</v>
      </c>
      <c r="V48" s="239">
        <f t="shared" si="4"/>
        <v>66.045000000000002</v>
      </c>
      <c r="W48" s="243" t="s">
        <v>165</v>
      </c>
      <c r="X48" s="241" t="s">
        <v>166</v>
      </c>
    </row>
    <row r="49" spans="1:24" ht="12.75">
      <c r="A49" s="288">
        <v>1016</v>
      </c>
      <c r="B49" s="288" t="s">
        <v>7</v>
      </c>
      <c r="C49" s="288" t="s">
        <v>11</v>
      </c>
      <c r="D49" s="288" t="s">
        <v>9</v>
      </c>
      <c r="E49" s="290">
        <v>43647</v>
      </c>
      <c r="F49" s="288"/>
      <c r="G49" s="447"/>
      <c r="H49" s="448">
        <f>SUMIFS('Employee Leaves'!$G:$G,'Employee Leaves'!$A:$A,A49,'Employee Leaves'!$E:$E,"Holiday")</f>
        <v>5</v>
      </c>
      <c r="I49" s="448">
        <f>COUNTIFS('Employee Leaves'!$A:$A,A49,'Employee Leaves'!$E:$E,$H$1)</f>
        <v>1</v>
      </c>
      <c r="J49" s="442">
        <f t="shared" si="0"/>
        <v>5.984251968503937</v>
      </c>
      <c r="K49" s="488">
        <f>SUMIFS('Employee Leaves'!$G:$G,'Employee Leaves'!$A:$A,A49,'Employee Leaves'!$E:$E,"Maternity Leave")</f>
        <v>0</v>
      </c>
      <c r="L49" s="448">
        <f>SUMIFS('Employee Leaves'!$G:$G,'Employee Leaves'!$A:$A,A49,'Employee Leaves'!$E:$E,"Paternity Leave")</f>
        <v>0</v>
      </c>
      <c r="M49" s="448">
        <f>SUMIFS('Employee Leaves'!$G:$G,'Employee Leaves'!$A:$A,A49,'Employee Leaves'!$E:$E,"Sick")</f>
        <v>0</v>
      </c>
      <c r="N49" s="448">
        <f>COUNTIFS('Employee Leaves'!$A:$A,A49,'Employee Leaves'!$E:$E,$M$1)</f>
        <v>0</v>
      </c>
      <c r="O49" s="442">
        <f t="shared" si="1"/>
        <v>0.98425196850393704</v>
      </c>
      <c r="P49" s="445">
        <f>SUMIFS('Employee Leaves'!$G:$G,'Employee Leaves'!$A:$A,A49,'Employee Leaves'!$E:$E,"Others")</f>
        <v>2</v>
      </c>
      <c r="Q49" s="485">
        <f>SUMIFS('Employee Leaves'!$G:$G,'Employee Leaves'!$A:$A,A49)</f>
        <v>7</v>
      </c>
      <c r="R49" s="451"/>
      <c r="S49" s="439" t="str">
        <f t="shared" si="2"/>
        <v>-</v>
      </c>
      <c r="T49" s="238">
        <v>29.95</v>
      </c>
      <c r="U49" s="239">
        <f t="shared" si="3"/>
        <v>239.6</v>
      </c>
      <c r="V49" s="239">
        <f t="shared" si="4"/>
        <v>44.924999999999997</v>
      </c>
      <c r="W49" s="243" t="s">
        <v>168</v>
      </c>
      <c r="X49" s="241" t="s">
        <v>167</v>
      </c>
    </row>
    <row r="50" spans="1:24" ht="12.75">
      <c r="A50" s="288">
        <v>2010</v>
      </c>
      <c r="B50" s="288" t="s">
        <v>15</v>
      </c>
      <c r="C50" s="288" t="s">
        <v>15</v>
      </c>
      <c r="D50" s="288" t="s">
        <v>9</v>
      </c>
      <c r="E50" s="290">
        <v>44354</v>
      </c>
      <c r="F50" s="288"/>
      <c r="G50" s="447"/>
      <c r="H50" s="448">
        <f>SUMIFS('Employee Leaves'!$G:$G,'Employee Leaves'!$A:$A,A50,'Employee Leaves'!$E:$E,"Holiday")</f>
        <v>5</v>
      </c>
      <c r="I50" s="448">
        <f>COUNTIFS('Employee Leaves'!$A:$A,A50,'Employee Leaves'!$E:$E,$H$1)</f>
        <v>1</v>
      </c>
      <c r="J50" s="442">
        <f t="shared" si="0"/>
        <v>5.4975124378109452</v>
      </c>
      <c r="K50" s="488">
        <f>SUMIFS('Employee Leaves'!$G:$G,'Employee Leaves'!$A:$A,A50,'Employee Leaves'!$E:$E,"Maternity Leave")</f>
        <v>0</v>
      </c>
      <c r="L50" s="448">
        <f>SUMIFS('Employee Leaves'!$G:$G,'Employee Leaves'!$A:$A,A50,'Employee Leaves'!$E:$E,"Paternity Leave")</f>
        <v>0</v>
      </c>
      <c r="M50" s="448">
        <f>SUMIFS('Employee Leaves'!$G:$G,'Employee Leaves'!$A:$A,A50,'Employee Leaves'!$E:$E,"Sick")</f>
        <v>0</v>
      </c>
      <c r="N50" s="448">
        <f>COUNTIFS('Employee Leaves'!$A:$A,A50,'Employee Leaves'!$E:$E,$M$1)</f>
        <v>0</v>
      </c>
      <c r="O50" s="442">
        <f t="shared" si="1"/>
        <v>0.49751243781094528</v>
      </c>
      <c r="P50" s="445">
        <f>SUMIFS('Employee Leaves'!$G:$G,'Employee Leaves'!$A:$A,A50,'Employee Leaves'!$E:$E,"Others")</f>
        <v>0</v>
      </c>
      <c r="Q50" s="485">
        <f>SUMIFS('Employee Leaves'!$G:$G,'Employee Leaves'!$A:$A,A50)</f>
        <v>5</v>
      </c>
      <c r="R50" s="451"/>
      <c r="S50" s="439" t="str">
        <f t="shared" si="2"/>
        <v>-</v>
      </c>
      <c r="T50" s="238">
        <v>14.22</v>
      </c>
      <c r="U50" s="239">
        <f t="shared" si="3"/>
        <v>113.76</v>
      </c>
      <c r="V50" s="239">
        <f t="shared" si="4"/>
        <v>21.330000000000002</v>
      </c>
      <c r="W50" s="243" t="s">
        <v>183</v>
      </c>
      <c r="X50" s="241" t="s">
        <v>182</v>
      </c>
    </row>
    <row r="51" spans="1:24" ht="12.75">
      <c r="A51" s="288">
        <v>2016</v>
      </c>
      <c r="B51" s="288" t="s">
        <v>15</v>
      </c>
      <c r="C51" s="288" t="s">
        <v>15</v>
      </c>
      <c r="D51" s="288" t="s">
        <v>16</v>
      </c>
      <c r="E51" s="290">
        <v>44424</v>
      </c>
      <c r="F51" s="288"/>
      <c r="G51" s="447"/>
      <c r="H51" s="448">
        <f>SUMIFS('Employee Leaves'!$G:$G,'Employee Leaves'!$A:$A,A51,'Employee Leaves'!$E:$E,"Holiday")</f>
        <v>5</v>
      </c>
      <c r="I51" s="448">
        <f>COUNTIFS('Employee Leaves'!$A:$A,A51,'Employee Leaves'!$E:$E,$H$1)</f>
        <v>1</v>
      </c>
      <c r="J51" s="442">
        <f t="shared" si="0"/>
        <v>5.496031746031746</v>
      </c>
      <c r="K51" s="488">
        <f>SUMIFS('Employee Leaves'!$G:$G,'Employee Leaves'!$A:$A,A51,'Employee Leaves'!$E:$E,"Maternity Leave")</f>
        <v>0</v>
      </c>
      <c r="L51" s="448">
        <f>SUMIFS('Employee Leaves'!$G:$G,'Employee Leaves'!$A:$A,A51,'Employee Leaves'!$E:$E,"Paternity Leave")</f>
        <v>0</v>
      </c>
      <c r="M51" s="448">
        <f>SUMIFS('Employee Leaves'!$G:$G,'Employee Leaves'!$A:$A,A51,'Employee Leaves'!$E:$E,"Sick")</f>
        <v>0</v>
      </c>
      <c r="N51" s="448">
        <f>COUNTIFS('Employee Leaves'!$A:$A,A51,'Employee Leaves'!$E:$E,$M$1)</f>
        <v>0</v>
      </c>
      <c r="O51" s="442">
        <f t="shared" si="1"/>
        <v>0.49603174603174605</v>
      </c>
      <c r="P51" s="445">
        <f>SUMIFS('Employee Leaves'!$G:$G,'Employee Leaves'!$A:$A,A51,'Employee Leaves'!$E:$E,"Others")</f>
        <v>0</v>
      </c>
      <c r="Q51" s="485">
        <f>SUMIFS('Employee Leaves'!$G:$G,'Employee Leaves'!$A:$A,A51)</f>
        <v>5</v>
      </c>
      <c r="R51" s="451"/>
      <c r="S51" s="439" t="str">
        <f t="shared" si="2"/>
        <v>-</v>
      </c>
      <c r="T51" s="238">
        <v>14.22</v>
      </c>
      <c r="U51" s="239">
        <f t="shared" si="3"/>
        <v>113.76</v>
      </c>
      <c r="V51" s="239">
        <f t="shared" si="4"/>
        <v>21.330000000000002</v>
      </c>
      <c r="W51" s="243" t="s">
        <v>183</v>
      </c>
      <c r="X51" s="241" t="s">
        <v>182</v>
      </c>
    </row>
    <row r="52" spans="1:24" ht="12.75">
      <c r="A52" s="288">
        <v>2019</v>
      </c>
      <c r="B52" s="288" t="s">
        <v>15</v>
      </c>
      <c r="C52" s="288" t="s">
        <v>15</v>
      </c>
      <c r="D52" s="288" t="s">
        <v>9</v>
      </c>
      <c r="E52" s="290">
        <v>44291</v>
      </c>
      <c r="F52" s="288"/>
      <c r="G52" s="447"/>
      <c r="H52" s="448">
        <f>SUMIFS('Employee Leaves'!$G:$G,'Employee Leaves'!$A:$A,A52,'Employee Leaves'!$E:$E,"Holiday")</f>
        <v>5</v>
      </c>
      <c r="I52" s="448">
        <f>COUNTIFS('Employee Leaves'!$A:$A,A52,'Employee Leaves'!$E:$E,$H$1)</f>
        <v>1</v>
      </c>
      <c r="J52" s="442">
        <f t="shared" si="0"/>
        <v>5.4952947003467063</v>
      </c>
      <c r="K52" s="488">
        <f>SUMIFS('Employee Leaves'!$G:$G,'Employee Leaves'!$A:$A,A52,'Employee Leaves'!$E:$E,"Maternity Leave")</f>
        <v>0</v>
      </c>
      <c r="L52" s="448">
        <f>SUMIFS('Employee Leaves'!$G:$G,'Employee Leaves'!$A:$A,A52,'Employee Leaves'!$E:$E,"Paternity Leave")</f>
        <v>0</v>
      </c>
      <c r="M52" s="448">
        <f>SUMIFS('Employee Leaves'!$G:$G,'Employee Leaves'!$A:$A,A52,'Employee Leaves'!$E:$E,"Sick")</f>
        <v>0</v>
      </c>
      <c r="N52" s="448">
        <f>COUNTIFS('Employee Leaves'!$A:$A,A52,'Employee Leaves'!$E:$E,$M$1)</f>
        <v>0</v>
      </c>
      <c r="O52" s="442">
        <f t="shared" si="1"/>
        <v>0.49529470034670631</v>
      </c>
      <c r="P52" s="445">
        <f>SUMIFS('Employee Leaves'!$G:$G,'Employee Leaves'!$A:$A,A52,'Employee Leaves'!$E:$E,"Others")</f>
        <v>0</v>
      </c>
      <c r="Q52" s="485">
        <f>SUMIFS('Employee Leaves'!$G:$G,'Employee Leaves'!$A:$A,A52)</f>
        <v>5</v>
      </c>
      <c r="R52" s="451"/>
      <c r="S52" s="439" t="str">
        <f t="shared" si="2"/>
        <v>-</v>
      </c>
      <c r="T52" s="238">
        <v>14.22</v>
      </c>
      <c r="U52" s="239">
        <f t="shared" si="3"/>
        <v>113.76</v>
      </c>
      <c r="V52" s="239">
        <f t="shared" si="4"/>
        <v>21.330000000000002</v>
      </c>
      <c r="W52" s="243" t="s">
        <v>183</v>
      </c>
      <c r="X52" s="241" t="s">
        <v>182</v>
      </c>
    </row>
    <row r="53" spans="1:24" ht="12.75">
      <c r="A53" s="288">
        <v>3001</v>
      </c>
      <c r="B53" s="288" t="s">
        <v>18</v>
      </c>
      <c r="C53" s="288" t="s">
        <v>19</v>
      </c>
      <c r="D53" s="288" t="s">
        <v>9</v>
      </c>
      <c r="E53" s="290">
        <v>43847</v>
      </c>
      <c r="F53" s="290">
        <v>44576</v>
      </c>
      <c r="G53" s="447" t="s">
        <v>13</v>
      </c>
      <c r="H53" s="448">
        <f>SUMIFS('Employee Leaves'!$G:$G,'Employee Leaves'!$A:$A,A53,'Employee Leaves'!$E:$E,"Holiday")</f>
        <v>5</v>
      </c>
      <c r="I53" s="448">
        <f>COUNTIFS('Employee Leaves'!$A:$A,A53,'Employee Leaves'!$E:$E,$H$1)</f>
        <v>1</v>
      </c>
      <c r="J53" s="442">
        <f t="shared" si="0"/>
        <v>5.3332222592469174</v>
      </c>
      <c r="K53" s="488">
        <f>SUMIFS('Employee Leaves'!$G:$G,'Employee Leaves'!$A:$A,A53,'Employee Leaves'!$E:$E,"Maternity Leave")</f>
        <v>0</v>
      </c>
      <c r="L53" s="448">
        <f>SUMIFS('Employee Leaves'!$G:$G,'Employee Leaves'!$A:$A,A53,'Employee Leaves'!$E:$E,"Paternity Leave")</f>
        <v>0</v>
      </c>
      <c r="M53" s="448">
        <f>SUMIFS('Employee Leaves'!$G:$G,'Employee Leaves'!$A:$A,A53,'Employee Leaves'!$E:$E,"Sick")</f>
        <v>2</v>
      </c>
      <c r="N53" s="448">
        <f>COUNTIFS('Employee Leaves'!$A:$A,A53,'Employee Leaves'!$E:$E,$M$1)</f>
        <v>1</v>
      </c>
      <c r="O53" s="442">
        <f t="shared" si="1"/>
        <v>2.3332222592469178</v>
      </c>
      <c r="P53" s="445">
        <f>SUMIFS('Employee Leaves'!$G:$G,'Employee Leaves'!$A:$A,A53,'Employee Leaves'!$E:$E,"Others")</f>
        <v>0</v>
      </c>
      <c r="Q53" s="485">
        <f>SUMIFS('Employee Leaves'!$G:$G,'Employee Leaves'!$A:$A,A53)</f>
        <v>7</v>
      </c>
      <c r="R53" s="451"/>
      <c r="S53" s="439">
        <f t="shared" si="2"/>
        <v>729</v>
      </c>
      <c r="T53" s="238">
        <v>30.73</v>
      </c>
      <c r="U53" s="239">
        <f t="shared" si="3"/>
        <v>245.84</v>
      </c>
      <c r="V53" s="239">
        <f t="shared" si="4"/>
        <v>46.094999999999999</v>
      </c>
      <c r="W53" s="243" t="s">
        <v>153</v>
      </c>
      <c r="X53" s="242" t="s">
        <v>152</v>
      </c>
    </row>
    <row r="54" spans="1:24" ht="12.75">
      <c r="A54" s="288">
        <v>3011</v>
      </c>
      <c r="B54" s="288" t="s">
        <v>18</v>
      </c>
      <c r="C54" s="288" t="s">
        <v>21</v>
      </c>
      <c r="D54" s="288" t="s">
        <v>9</v>
      </c>
      <c r="E54" s="290">
        <v>44291</v>
      </c>
      <c r="F54" s="291"/>
      <c r="G54" s="447"/>
      <c r="H54" s="448">
        <f>SUMIFS('Employee Leaves'!$G:$G,'Employee Leaves'!$A:$A,A54,'Employee Leaves'!$E:$E,"Holiday")</f>
        <v>5</v>
      </c>
      <c r="I54" s="448">
        <f>COUNTIFS('Employee Leaves'!$A:$A,A54,'Employee Leaves'!$E:$E,$H$1)</f>
        <v>1</v>
      </c>
      <c r="J54" s="442">
        <f t="shared" si="0"/>
        <v>5.3321155762205246</v>
      </c>
      <c r="K54" s="488">
        <f>SUMIFS('Employee Leaves'!$G:$G,'Employee Leaves'!$A:$A,A54,'Employee Leaves'!$E:$E,"Maternity Leave")</f>
        <v>0</v>
      </c>
      <c r="L54" s="448">
        <f>SUMIFS('Employee Leaves'!$G:$G,'Employee Leaves'!$A:$A,A54,'Employee Leaves'!$E:$E,"Paternity Leave")</f>
        <v>0</v>
      </c>
      <c r="M54" s="448">
        <f>SUMIFS('Employee Leaves'!$G:$G,'Employee Leaves'!$A:$A,A54,'Employee Leaves'!$E:$E,"Sick")</f>
        <v>0</v>
      </c>
      <c r="N54" s="448">
        <f>COUNTIFS('Employee Leaves'!$A:$A,A54,'Employee Leaves'!$E:$E,$M$1)</f>
        <v>0</v>
      </c>
      <c r="O54" s="442">
        <f t="shared" si="1"/>
        <v>0.33211557622052473</v>
      </c>
      <c r="P54" s="445">
        <f>SUMIFS('Employee Leaves'!$G:$G,'Employee Leaves'!$A:$A,A54,'Employee Leaves'!$E:$E,"Others")</f>
        <v>0</v>
      </c>
      <c r="Q54" s="485">
        <f>SUMIFS('Employee Leaves'!$G:$G,'Employee Leaves'!$A:$A,A54)</f>
        <v>5</v>
      </c>
      <c r="R54" s="451"/>
      <c r="S54" s="439" t="str">
        <f t="shared" si="2"/>
        <v>-</v>
      </c>
      <c r="T54" s="238">
        <v>30.73</v>
      </c>
      <c r="U54" s="239">
        <f t="shared" si="3"/>
        <v>245.84</v>
      </c>
      <c r="V54" s="239">
        <f t="shared" si="4"/>
        <v>46.094999999999999</v>
      </c>
      <c r="W54" s="243" t="s">
        <v>153</v>
      </c>
      <c r="X54" s="242" t="s">
        <v>152</v>
      </c>
    </row>
    <row r="55" spans="1:24" ht="12.75">
      <c r="A55" s="288">
        <v>4015</v>
      </c>
      <c r="B55" s="288" t="s">
        <v>22</v>
      </c>
      <c r="C55" s="288" t="s">
        <v>32</v>
      </c>
      <c r="D55" s="288" t="s">
        <v>27</v>
      </c>
      <c r="E55" s="290">
        <v>44571</v>
      </c>
      <c r="F55" s="288"/>
      <c r="G55" s="447"/>
      <c r="H55" s="448">
        <f>SUMIFS('Employee Leaves'!$G:$G,'Employee Leaves'!$A:$A,A55,'Employee Leaves'!$E:$E,"Holiday")</f>
        <v>5</v>
      </c>
      <c r="I55" s="448">
        <f>COUNTIFS('Employee Leaves'!$A:$A,A55,'Employee Leaves'!$E:$E,$H$1)</f>
        <v>1</v>
      </c>
      <c r="J55" s="442">
        <f t="shared" si="0"/>
        <v>5.2490660024906601</v>
      </c>
      <c r="K55" s="488">
        <f>SUMIFS('Employee Leaves'!$G:$G,'Employee Leaves'!$A:$A,A55,'Employee Leaves'!$E:$E,"Maternity Leave")</f>
        <v>0</v>
      </c>
      <c r="L55" s="448">
        <f>SUMIFS('Employee Leaves'!$G:$G,'Employee Leaves'!$A:$A,A55,'Employee Leaves'!$E:$E,"Paternity Leave")</f>
        <v>0</v>
      </c>
      <c r="M55" s="448">
        <f>SUMIFS('Employee Leaves'!$G:$G,'Employee Leaves'!$A:$A,A55,'Employee Leaves'!$E:$E,"Sick")</f>
        <v>0</v>
      </c>
      <c r="N55" s="448">
        <f>COUNTIFS('Employee Leaves'!$A:$A,A55,'Employee Leaves'!$E:$E,$M$1)</f>
        <v>0</v>
      </c>
      <c r="O55" s="442">
        <f t="shared" si="1"/>
        <v>0.24906600249066002</v>
      </c>
      <c r="P55" s="445">
        <f>SUMIFS('Employee Leaves'!$G:$G,'Employee Leaves'!$A:$A,A55,'Employee Leaves'!$E:$E,"Others")</f>
        <v>0</v>
      </c>
      <c r="Q55" s="485">
        <f>SUMIFS('Employee Leaves'!$G:$G,'Employee Leaves'!$A:$A,A55)</f>
        <v>5</v>
      </c>
      <c r="R55" s="451"/>
      <c r="S55" s="439" t="str">
        <f t="shared" si="2"/>
        <v>-</v>
      </c>
      <c r="T55" s="238">
        <v>48.52</v>
      </c>
      <c r="U55" s="239">
        <f t="shared" si="3"/>
        <v>388.16</v>
      </c>
      <c r="V55" s="239">
        <f t="shared" si="4"/>
        <v>72.78</v>
      </c>
      <c r="W55" s="243" t="s">
        <v>177</v>
      </c>
      <c r="X55" s="241" t="s">
        <v>176</v>
      </c>
    </row>
    <row r="56" spans="1:24" ht="12.75">
      <c r="A56" s="288">
        <v>4022</v>
      </c>
      <c r="B56" s="288" t="s">
        <v>22</v>
      </c>
      <c r="C56" s="288" t="s">
        <v>32</v>
      </c>
      <c r="D56" s="288" t="s">
        <v>9</v>
      </c>
      <c r="E56" s="290">
        <v>44291</v>
      </c>
      <c r="F56" s="291"/>
      <c r="G56" s="447"/>
      <c r="H56" s="448">
        <f>SUMIFS('Employee Leaves'!$G:$G,'Employee Leaves'!$A:$A,A56,'Employee Leaves'!$E:$E,"Holiday")</f>
        <v>5</v>
      </c>
      <c r="I56" s="448">
        <f>COUNTIFS('Employee Leaves'!$A:$A,A56,'Employee Leaves'!$E:$E,$H$1)</f>
        <v>1</v>
      </c>
      <c r="J56" s="442">
        <f t="shared" si="0"/>
        <v>5.2486325211337643</v>
      </c>
      <c r="K56" s="488">
        <f>SUMIFS('Employee Leaves'!$G:$G,'Employee Leaves'!$A:$A,A56,'Employee Leaves'!$E:$E,"Maternity Leave")</f>
        <v>0</v>
      </c>
      <c r="L56" s="448">
        <f>SUMIFS('Employee Leaves'!$G:$G,'Employee Leaves'!$A:$A,A56,'Employee Leaves'!$E:$E,"Paternity Leave")</f>
        <v>0</v>
      </c>
      <c r="M56" s="448">
        <f>SUMIFS('Employee Leaves'!$G:$G,'Employee Leaves'!$A:$A,A56,'Employee Leaves'!$E:$E,"Sick")</f>
        <v>0</v>
      </c>
      <c r="N56" s="448">
        <f>COUNTIFS('Employee Leaves'!$A:$A,A56,'Employee Leaves'!$E:$E,$M$1)</f>
        <v>0</v>
      </c>
      <c r="O56" s="442">
        <f t="shared" si="1"/>
        <v>0.2486325211337643</v>
      </c>
      <c r="P56" s="445">
        <f>SUMIFS('Employee Leaves'!$G:$G,'Employee Leaves'!$A:$A,A56,'Employee Leaves'!$E:$E,"Others")</f>
        <v>0</v>
      </c>
      <c r="Q56" s="485">
        <f>SUMIFS('Employee Leaves'!$G:$G,'Employee Leaves'!$A:$A,A56)</f>
        <v>5</v>
      </c>
      <c r="R56" s="451"/>
      <c r="S56" s="439" t="str">
        <f t="shared" si="2"/>
        <v>-</v>
      </c>
      <c r="T56" s="238">
        <v>48.52</v>
      </c>
      <c r="U56" s="239">
        <f t="shared" si="3"/>
        <v>388.16</v>
      </c>
      <c r="V56" s="239">
        <f t="shared" si="4"/>
        <v>72.78</v>
      </c>
      <c r="W56" s="243" t="s">
        <v>177</v>
      </c>
      <c r="X56" s="241" t="s">
        <v>176</v>
      </c>
    </row>
    <row r="57" spans="1:24" ht="12.75">
      <c r="A57" s="288">
        <v>4024</v>
      </c>
      <c r="B57" s="288" t="s">
        <v>22</v>
      </c>
      <c r="C57" s="288" t="s">
        <v>28</v>
      </c>
      <c r="D57" s="288" t="s">
        <v>9</v>
      </c>
      <c r="E57" s="290">
        <v>44501</v>
      </c>
      <c r="F57" s="288"/>
      <c r="G57" s="447"/>
      <c r="H57" s="448">
        <f>SUMIFS('Employee Leaves'!$G:$G,'Employee Leaves'!$A:$A,A57,'Employee Leaves'!$E:$E,"Holiday")</f>
        <v>5</v>
      </c>
      <c r="I57" s="448">
        <f>COUNTIFS('Employee Leaves'!$A:$A,A57,'Employee Leaves'!$E:$E,$H$1)</f>
        <v>1</v>
      </c>
      <c r="J57" s="442">
        <f t="shared" si="0"/>
        <v>5.248508946322068</v>
      </c>
      <c r="K57" s="488">
        <f>SUMIFS('Employee Leaves'!$G:$G,'Employee Leaves'!$A:$A,A57,'Employee Leaves'!$E:$E,"Maternity Leave")</f>
        <v>0</v>
      </c>
      <c r="L57" s="448">
        <f>SUMIFS('Employee Leaves'!$G:$G,'Employee Leaves'!$A:$A,A57,'Employee Leaves'!$E:$E,"Paternity Leave")</f>
        <v>0</v>
      </c>
      <c r="M57" s="448">
        <f>SUMIFS('Employee Leaves'!$G:$G,'Employee Leaves'!$A:$A,A57,'Employee Leaves'!$E:$E,"Sick")</f>
        <v>0</v>
      </c>
      <c r="N57" s="448">
        <f>COUNTIFS('Employee Leaves'!$A:$A,A57,'Employee Leaves'!$E:$E,$M$1)</f>
        <v>0</v>
      </c>
      <c r="O57" s="442">
        <f t="shared" si="1"/>
        <v>0.2485089463220676</v>
      </c>
      <c r="P57" s="445">
        <f>SUMIFS('Employee Leaves'!$G:$G,'Employee Leaves'!$A:$A,A57,'Employee Leaves'!$E:$E,"Others")</f>
        <v>0</v>
      </c>
      <c r="Q57" s="485">
        <f>SUMIFS('Employee Leaves'!$G:$G,'Employee Leaves'!$A:$A,A57)</f>
        <v>5</v>
      </c>
      <c r="R57" s="451"/>
      <c r="S57" s="439" t="str">
        <f t="shared" si="2"/>
        <v>-</v>
      </c>
      <c r="T57" s="238">
        <v>45.8</v>
      </c>
      <c r="U57" s="239">
        <f t="shared" si="3"/>
        <v>366.4</v>
      </c>
      <c r="V57" s="239">
        <f t="shared" si="4"/>
        <v>68.699999999999989</v>
      </c>
      <c r="W57" s="243" t="s">
        <v>173</v>
      </c>
      <c r="X57" s="242" t="s">
        <v>172</v>
      </c>
    </row>
    <row r="58" spans="1:24" ht="12.75">
      <c r="A58" s="288">
        <v>4045</v>
      </c>
      <c r="B58" s="288" t="s">
        <v>22</v>
      </c>
      <c r="C58" s="288" t="s">
        <v>29</v>
      </c>
      <c r="D58" s="288" t="s">
        <v>9</v>
      </c>
      <c r="E58" s="290">
        <v>44354</v>
      </c>
      <c r="F58" s="291"/>
      <c r="G58" s="447"/>
      <c r="H58" s="448">
        <f>SUMIFS('Employee Leaves'!$G:$G,'Employee Leaves'!$A:$A,A58,'Employee Leaves'!$E:$E,"Holiday")</f>
        <v>5</v>
      </c>
      <c r="I58" s="448">
        <f>COUNTIFS('Employee Leaves'!$A:$A,A58,'Employee Leaves'!$E:$E,$H$1)</f>
        <v>1</v>
      </c>
      <c r="J58" s="442">
        <f t="shared" si="0"/>
        <v>5.2472187886279356</v>
      </c>
      <c r="K58" s="488">
        <f>SUMIFS('Employee Leaves'!$G:$G,'Employee Leaves'!$A:$A,A58,'Employee Leaves'!$E:$E,"Maternity Leave")</f>
        <v>0</v>
      </c>
      <c r="L58" s="448">
        <f>SUMIFS('Employee Leaves'!$G:$G,'Employee Leaves'!$A:$A,A58,'Employee Leaves'!$E:$E,"Paternity Leave")</f>
        <v>0</v>
      </c>
      <c r="M58" s="448">
        <f>SUMIFS('Employee Leaves'!$G:$G,'Employee Leaves'!$A:$A,A58,'Employee Leaves'!$E:$E,"Sick")</f>
        <v>0</v>
      </c>
      <c r="N58" s="448">
        <f>COUNTIFS('Employee Leaves'!$A:$A,A58,'Employee Leaves'!$E:$E,$M$1)</f>
        <v>0</v>
      </c>
      <c r="O58" s="442">
        <f t="shared" si="1"/>
        <v>0.24721878862793573</v>
      </c>
      <c r="P58" s="445">
        <f>SUMIFS('Employee Leaves'!$G:$G,'Employee Leaves'!$A:$A,A58,'Employee Leaves'!$E:$E,"Others")</f>
        <v>0</v>
      </c>
      <c r="Q58" s="485">
        <f>SUMIFS('Employee Leaves'!$G:$G,'Employee Leaves'!$A:$A,A58)</f>
        <v>5</v>
      </c>
      <c r="R58" s="451"/>
      <c r="S58" s="439" t="str">
        <f t="shared" si="2"/>
        <v>-</v>
      </c>
      <c r="T58" s="238">
        <v>45.8</v>
      </c>
      <c r="U58" s="239">
        <f t="shared" si="3"/>
        <v>366.4</v>
      </c>
      <c r="V58" s="239">
        <f t="shared" si="4"/>
        <v>68.699999999999989</v>
      </c>
      <c r="W58" s="243" t="s">
        <v>173</v>
      </c>
      <c r="X58" s="242" t="s">
        <v>172</v>
      </c>
    </row>
    <row r="59" spans="1:24" ht="12.75">
      <c r="A59" s="288">
        <v>4046</v>
      </c>
      <c r="B59" s="288" t="s">
        <v>22</v>
      </c>
      <c r="C59" s="288" t="s">
        <v>30</v>
      </c>
      <c r="D59" s="288" t="s">
        <v>9</v>
      </c>
      <c r="E59" s="290">
        <v>44256</v>
      </c>
      <c r="F59" s="288"/>
      <c r="G59" s="447"/>
      <c r="H59" s="448">
        <f>SUMIFS('Employee Leaves'!$G:$G,'Employee Leaves'!$A:$A,A59,'Employee Leaves'!$E:$E,"Holiday")</f>
        <v>5</v>
      </c>
      <c r="I59" s="448">
        <f>COUNTIFS('Employee Leaves'!$A:$A,A59,'Employee Leaves'!$E:$E,$H$1)</f>
        <v>1</v>
      </c>
      <c r="J59" s="442">
        <f t="shared" si="0"/>
        <v>5.2471576866040532</v>
      </c>
      <c r="K59" s="488">
        <f>SUMIFS('Employee Leaves'!$G:$G,'Employee Leaves'!$A:$A,A59,'Employee Leaves'!$E:$E,"Maternity Leave")</f>
        <v>0</v>
      </c>
      <c r="L59" s="448">
        <f>SUMIFS('Employee Leaves'!$G:$G,'Employee Leaves'!$A:$A,A59,'Employee Leaves'!$E:$E,"Paternity Leave")</f>
        <v>0</v>
      </c>
      <c r="M59" s="448">
        <f>SUMIFS('Employee Leaves'!$G:$G,'Employee Leaves'!$A:$A,A59,'Employee Leaves'!$E:$E,"Sick")</f>
        <v>0</v>
      </c>
      <c r="N59" s="448">
        <f>COUNTIFS('Employee Leaves'!$A:$A,A59,'Employee Leaves'!$E:$E,$M$1)</f>
        <v>0</v>
      </c>
      <c r="O59" s="442">
        <f t="shared" si="1"/>
        <v>0.24715768660405338</v>
      </c>
      <c r="P59" s="445">
        <f>SUMIFS('Employee Leaves'!$G:$G,'Employee Leaves'!$A:$A,A59,'Employee Leaves'!$E:$E,"Others")</f>
        <v>0</v>
      </c>
      <c r="Q59" s="485">
        <f>SUMIFS('Employee Leaves'!$G:$G,'Employee Leaves'!$A:$A,A59)</f>
        <v>5</v>
      </c>
      <c r="R59" s="451"/>
      <c r="S59" s="439" t="str">
        <f t="shared" si="2"/>
        <v>-</v>
      </c>
      <c r="T59" s="238">
        <v>23.93</v>
      </c>
      <c r="U59" s="239">
        <f t="shared" si="3"/>
        <v>191.44</v>
      </c>
      <c r="V59" s="239">
        <f t="shared" si="4"/>
        <v>35.894999999999996</v>
      </c>
      <c r="W59" s="243" t="s">
        <v>170</v>
      </c>
      <c r="X59" s="241" t="s">
        <v>169</v>
      </c>
    </row>
    <row r="60" spans="1:24" ht="12.75">
      <c r="A60" s="288">
        <v>4055</v>
      </c>
      <c r="B60" s="288" t="s">
        <v>22</v>
      </c>
      <c r="C60" s="288" t="s">
        <v>28</v>
      </c>
      <c r="D60" s="288" t="s">
        <v>9</v>
      </c>
      <c r="E60" s="289">
        <v>44418</v>
      </c>
      <c r="F60" s="288"/>
      <c r="G60" s="447"/>
      <c r="H60" s="448">
        <f>SUMIFS('Employee Leaves'!$G:$G,'Employee Leaves'!$A:$A,A60,'Employee Leaves'!$E:$E,"Holiday")</f>
        <v>5</v>
      </c>
      <c r="I60" s="448">
        <f>COUNTIFS('Employee Leaves'!$A:$A,A60,'Employee Leaves'!$E:$E,$H$1)</f>
        <v>1</v>
      </c>
      <c r="J60" s="442">
        <f t="shared" si="0"/>
        <v>5.2466091245376081</v>
      </c>
      <c r="K60" s="488">
        <f>SUMIFS('Employee Leaves'!$G:$G,'Employee Leaves'!$A:$A,A60,'Employee Leaves'!$E:$E,"Maternity Leave")</f>
        <v>0</v>
      </c>
      <c r="L60" s="448">
        <f>SUMIFS('Employee Leaves'!$G:$G,'Employee Leaves'!$A:$A,A60,'Employee Leaves'!$E:$E,"Paternity Leave")</f>
        <v>0</v>
      </c>
      <c r="M60" s="448">
        <f>SUMIFS('Employee Leaves'!$G:$G,'Employee Leaves'!$A:$A,A60,'Employee Leaves'!$E:$E,"Sick")</f>
        <v>0</v>
      </c>
      <c r="N60" s="448">
        <f>COUNTIFS('Employee Leaves'!$A:$A,A60,'Employee Leaves'!$E:$E,$M$1)</f>
        <v>0</v>
      </c>
      <c r="O60" s="442">
        <f t="shared" si="1"/>
        <v>0.24660912453760789</v>
      </c>
      <c r="P60" s="445">
        <f>SUMIFS('Employee Leaves'!$G:$G,'Employee Leaves'!$A:$A,A60,'Employee Leaves'!$E:$E,"Others")</f>
        <v>0</v>
      </c>
      <c r="Q60" s="485">
        <f>SUMIFS('Employee Leaves'!$G:$G,'Employee Leaves'!$A:$A,A60)</f>
        <v>5</v>
      </c>
      <c r="R60" s="451"/>
      <c r="S60" s="439" t="str">
        <f t="shared" si="2"/>
        <v>-</v>
      </c>
      <c r="T60" s="238">
        <v>45.8</v>
      </c>
      <c r="U60" s="239">
        <f t="shared" si="3"/>
        <v>366.4</v>
      </c>
      <c r="V60" s="239">
        <f t="shared" si="4"/>
        <v>68.699999999999989</v>
      </c>
      <c r="W60" s="243" t="s">
        <v>173</v>
      </c>
      <c r="X60" s="242" t="s">
        <v>172</v>
      </c>
    </row>
    <row r="61" spans="1:24" ht="12.75">
      <c r="A61" s="288">
        <v>4057</v>
      </c>
      <c r="B61" s="288" t="s">
        <v>22</v>
      </c>
      <c r="C61" s="288" t="s">
        <v>29</v>
      </c>
      <c r="D61" s="288" t="s">
        <v>9</v>
      </c>
      <c r="E61" s="289">
        <v>44110</v>
      </c>
      <c r="F61" s="288"/>
      <c r="G61" s="447"/>
      <c r="H61" s="448">
        <f>SUMIFS('Employee Leaves'!$G:$G,'Employee Leaves'!$A:$A,A61,'Employee Leaves'!$E:$E,"Holiday")</f>
        <v>5</v>
      </c>
      <c r="I61" s="448">
        <f>COUNTIFS('Employee Leaves'!$A:$A,A61,'Employee Leaves'!$E:$E,$H$1)</f>
        <v>1</v>
      </c>
      <c r="J61" s="442">
        <f t="shared" si="0"/>
        <v>5.2464875523786052</v>
      </c>
      <c r="K61" s="488">
        <f>SUMIFS('Employee Leaves'!$G:$G,'Employee Leaves'!$A:$A,A61,'Employee Leaves'!$E:$E,"Maternity Leave")</f>
        <v>0</v>
      </c>
      <c r="L61" s="448">
        <f>SUMIFS('Employee Leaves'!$G:$G,'Employee Leaves'!$A:$A,A61,'Employee Leaves'!$E:$E,"Paternity Leave")</f>
        <v>0</v>
      </c>
      <c r="M61" s="448">
        <f>SUMIFS('Employee Leaves'!$G:$G,'Employee Leaves'!$A:$A,A61,'Employee Leaves'!$E:$E,"Sick")</f>
        <v>6</v>
      </c>
      <c r="N61" s="448">
        <f>COUNTIFS('Employee Leaves'!$A:$A,A61,'Employee Leaves'!$E:$E,$M$1)</f>
        <v>1</v>
      </c>
      <c r="O61" s="442">
        <f t="shared" si="1"/>
        <v>6.2464875523786052</v>
      </c>
      <c r="P61" s="445">
        <f>SUMIFS('Employee Leaves'!$G:$G,'Employee Leaves'!$A:$A,A61,'Employee Leaves'!$E:$E,"Others")</f>
        <v>3</v>
      </c>
      <c r="Q61" s="485">
        <f>SUMIFS('Employee Leaves'!$G:$G,'Employee Leaves'!$A:$A,A61)</f>
        <v>14</v>
      </c>
      <c r="R61" s="451"/>
      <c r="S61" s="439" t="str">
        <f t="shared" si="2"/>
        <v>-</v>
      </c>
      <c r="T61" s="238">
        <v>45.8</v>
      </c>
      <c r="U61" s="239">
        <f t="shared" si="3"/>
        <v>366.4</v>
      </c>
      <c r="V61" s="239">
        <f t="shared" si="4"/>
        <v>68.699999999999989</v>
      </c>
      <c r="W61" s="243" t="s">
        <v>173</v>
      </c>
      <c r="X61" s="242" t="s">
        <v>172</v>
      </c>
    </row>
    <row r="62" spans="1:24" ht="12.75">
      <c r="A62" s="288">
        <v>4072</v>
      </c>
      <c r="B62" s="288" t="s">
        <v>22</v>
      </c>
      <c r="C62" s="288" t="s">
        <v>23</v>
      </c>
      <c r="D62" s="288" t="s">
        <v>9</v>
      </c>
      <c r="E62" s="289">
        <v>44095</v>
      </c>
      <c r="F62" s="290"/>
      <c r="G62" s="447"/>
      <c r="H62" s="448">
        <f>SUMIFS('Employee Leaves'!$G:$G,'Employee Leaves'!$A:$A,A62,'Employee Leaves'!$E:$E,"Holiday")</f>
        <v>5</v>
      </c>
      <c r="I62" s="448">
        <f>COUNTIFS('Employee Leaves'!$A:$A,A62,'Employee Leaves'!$E:$E,$H$1)</f>
        <v>1</v>
      </c>
      <c r="J62" s="442">
        <f t="shared" si="0"/>
        <v>5.245579567779961</v>
      </c>
      <c r="K62" s="488">
        <f>SUMIFS('Employee Leaves'!$G:$G,'Employee Leaves'!$A:$A,A62,'Employee Leaves'!$E:$E,"Maternity Leave")</f>
        <v>0</v>
      </c>
      <c r="L62" s="448">
        <f>SUMIFS('Employee Leaves'!$G:$G,'Employee Leaves'!$A:$A,A62,'Employee Leaves'!$E:$E,"Paternity Leave")</f>
        <v>0</v>
      </c>
      <c r="M62" s="448">
        <f>SUMIFS('Employee Leaves'!$G:$G,'Employee Leaves'!$A:$A,A62,'Employee Leaves'!$E:$E,"Sick")</f>
        <v>0</v>
      </c>
      <c r="N62" s="448">
        <f>COUNTIFS('Employee Leaves'!$A:$A,A62,'Employee Leaves'!$E:$E,$M$1)</f>
        <v>0</v>
      </c>
      <c r="O62" s="442">
        <f t="shared" si="1"/>
        <v>0.24557956777996071</v>
      </c>
      <c r="P62" s="445">
        <f>SUMIFS('Employee Leaves'!$G:$G,'Employee Leaves'!$A:$A,A62,'Employee Leaves'!$E:$E,"Others")</f>
        <v>0</v>
      </c>
      <c r="Q62" s="485">
        <f>SUMIFS('Employee Leaves'!$G:$G,'Employee Leaves'!$A:$A,A62)</f>
        <v>5</v>
      </c>
      <c r="R62" s="451"/>
      <c r="S62" s="439" t="str">
        <f t="shared" si="2"/>
        <v>-</v>
      </c>
      <c r="T62" s="238">
        <v>45.8</v>
      </c>
      <c r="U62" s="239">
        <f t="shared" si="3"/>
        <v>366.4</v>
      </c>
      <c r="V62" s="239">
        <f t="shared" si="4"/>
        <v>68.699999999999989</v>
      </c>
      <c r="W62" s="243" t="s">
        <v>173</v>
      </c>
      <c r="X62" s="242" t="s">
        <v>172</v>
      </c>
    </row>
    <row r="63" spans="1:24" ht="12.75">
      <c r="A63" s="288">
        <v>4081</v>
      </c>
      <c r="B63" s="288" t="s">
        <v>22</v>
      </c>
      <c r="C63" s="288" t="s">
        <v>24</v>
      </c>
      <c r="D63" s="288" t="s">
        <v>36</v>
      </c>
      <c r="E63" s="289">
        <v>44399</v>
      </c>
      <c r="F63" s="290"/>
      <c r="G63" s="447"/>
      <c r="H63" s="448">
        <f>SUMIFS('Employee Leaves'!$G:$G,'Employee Leaves'!$A:$A,A63,'Employee Leaves'!$E:$E,"Holiday")</f>
        <v>5</v>
      </c>
      <c r="I63" s="448">
        <f>COUNTIFS('Employee Leaves'!$A:$A,A63,'Employee Leaves'!$E:$E,$H$1)</f>
        <v>1</v>
      </c>
      <c r="J63" s="442">
        <f t="shared" si="0"/>
        <v>5.2450379808870373</v>
      </c>
      <c r="K63" s="488">
        <f>SUMIFS('Employee Leaves'!$G:$G,'Employee Leaves'!$A:$A,A63,'Employee Leaves'!$E:$E,"Maternity Leave")</f>
        <v>0</v>
      </c>
      <c r="L63" s="448">
        <f>SUMIFS('Employee Leaves'!$G:$G,'Employee Leaves'!$A:$A,A63,'Employee Leaves'!$E:$E,"Paternity Leave")</f>
        <v>0</v>
      </c>
      <c r="M63" s="448">
        <f>SUMIFS('Employee Leaves'!$G:$G,'Employee Leaves'!$A:$A,A63,'Employee Leaves'!$E:$E,"Sick")</f>
        <v>0</v>
      </c>
      <c r="N63" s="448">
        <f>COUNTIFS('Employee Leaves'!$A:$A,A63,'Employee Leaves'!$E:$E,$M$1)</f>
        <v>0</v>
      </c>
      <c r="O63" s="442">
        <f t="shared" si="1"/>
        <v>0.24503798088703749</v>
      </c>
      <c r="P63" s="445">
        <f>SUMIFS('Employee Leaves'!$G:$G,'Employee Leaves'!$A:$A,A63,'Employee Leaves'!$E:$E,"Others")</f>
        <v>0</v>
      </c>
      <c r="Q63" s="485">
        <f>SUMIFS('Employee Leaves'!$G:$G,'Employee Leaves'!$A:$A,A63)</f>
        <v>5</v>
      </c>
      <c r="R63" s="451"/>
      <c r="S63" s="439" t="str">
        <f t="shared" si="2"/>
        <v>-</v>
      </c>
      <c r="T63" s="238">
        <v>48.52</v>
      </c>
      <c r="U63" s="239">
        <f t="shared" si="3"/>
        <v>388.16</v>
      </c>
      <c r="V63" s="239">
        <f t="shared" si="4"/>
        <v>72.78</v>
      </c>
      <c r="W63" s="243" t="s">
        <v>177</v>
      </c>
      <c r="X63" s="241" t="s">
        <v>176</v>
      </c>
    </row>
    <row r="64" spans="1:24" ht="12.75">
      <c r="A64" s="288">
        <v>4094</v>
      </c>
      <c r="B64" s="288" t="s">
        <v>22</v>
      </c>
      <c r="C64" s="288" t="s">
        <v>32</v>
      </c>
      <c r="D64" s="288" t="s">
        <v>36</v>
      </c>
      <c r="E64" s="289">
        <v>44611</v>
      </c>
      <c r="F64" s="290"/>
      <c r="G64" s="447"/>
      <c r="H64" s="448">
        <f>SUMIFS('Employee Leaves'!$G:$G,'Employee Leaves'!$A:$A,A64,'Employee Leaves'!$E:$E,"Holiday")</f>
        <v>5</v>
      </c>
      <c r="I64" s="448">
        <f>COUNTIFS('Employee Leaves'!$A:$A,A64,'Employee Leaves'!$E:$E,$H$1)</f>
        <v>1</v>
      </c>
      <c r="J64" s="442">
        <f t="shared" si="0"/>
        <v>5.2442598925256476</v>
      </c>
      <c r="K64" s="488">
        <f>SUMIFS('Employee Leaves'!$G:$G,'Employee Leaves'!$A:$A,A64,'Employee Leaves'!$E:$E,"Maternity Leave")</f>
        <v>0</v>
      </c>
      <c r="L64" s="448">
        <f>SUMIFS('Employee Leaves'!$G:$G,'Employee Leaves'!$A:$A,A64,'Employee Leaves'!$E:$E,"Paternity Leave")</f>
        <v>0</v>
      </c>
      <c r="M64" s="448">
        <f>SUMIFS('Employee Leaves'!$G:$G,'Employee Leaves'!$A:$A,A64,'Employee Leaves'!$E:$E,"Sick")</f>
        <v>0</v>
      </c>
      <c r="N64" s="448">
        <f>COUNTIFS('Employee Leaves'!$A:$A,A64,'Employee Leaves'!$E:$E,$M$1)</f>
        <v>0</v>
      </c>
      <c r="O64" s="442">
        <f t="shared" si="1"/>
        <v>0.24425989252564728</v>
      </c>
      <c r="P64" s="445">
        <f>SUMIFS('Employee Leaves'!$G:$G,'Employee Leaves'!$A:$A,A64,'Employee Leaves'!$E:$E,"Others")</f>
        <v>0</v>
      </c>
      <c r="Q64" s="485">
        <f>SUMIFS('Employee Leaves'!$G:$G,'Employee Leaves'!$A:$A,A64)</f>
        <v>5</v>
      </c>
      <c r="R64" s="451"/>
      <c r="S64" s="439" t="str">
        <f t="shared" si="2"/>
        <v>-</v>
      </c>
      <c r="T64" s="238">
        <v>48.52</v>
      </c>
      <c r="U64" s="239">
        <f t="shared" si="3"/>
        <v>388.16</v>
      </c>
      <c r="V64" s="239">
        <f t="shared" si="4"/>
        <v>72.78</v>
      </c>
      <c r="W64" s="243" t="s">
        <v>177</v>
      </c>
      <c r="X64" s="241" t="s">
        <v>176</v>
      </c>
    </row>
    <row r="65" spans="1:24" ht="12.75">
      <c r="A65" s="288">
        <v>4118</v>
      </c>
      <c r="B65" s="288" t="s">
        <v>22</v>
      </c>
      <c r="C65" s="288" t="s">
        <v>29</v>
      </c>
      <c r="D65" s="288" t="s">
        <v>9</v>
      </c>
      <c r="E65" s="289">
        <v>43905</v>
      </c>
      <c r="F65" s="290"/>
      <c r="G65" s="447"/>
      <c r="H65" s="448">
        <f>SUMIFS('Employee Leaves'!$G:$G,'Employee Leaves'!$A:$A,A65,'Employee Leaves'!$E:$E,"Holiday")</f>
        <v>5</v>
      </c>
      <c r="I65" s="448">
        <f>COUNTIFS('Employee Leaves'!$A:$A,A65,'Employee Leaves'!$E:$E,$H$1)</f>
        <v>1</v>
      </c>
      <c r="J65" s="442">
        <f t="shared" si="0"/>
        <v>5.2428363283147155</v>
      </c>
      <c r="K65" s="488">
        <f>SUMIFS('Employee Leaves'!$G:$G,'Employee Leaves'!$A:$A,A65,'Employee Leaves'!$E:$E,"Maternity Leave")</f>
        <v>0</v>
      </c>
      <c r="L65" s="448">
        <f>SUMIFS('Employee Leaves'!$G:$G,'Employee Leaves'!$A:$A,A65,'Employee Leaves'!$E:$E,"Paternity Leave")</f>
        <v>0</v>
      </c>
      <c r="M65" s="448">
        <f>SUMIFS('Employee Leaves'!$G:$G,'Employee Leaves'!$A:$A,A65,'Employee Leaves'!$E:$E,"Sick")</f>
        <v>0</v>
      </c>
      <c r="N65" s="448">
        <f>COUNTIFS('Employee Leaves'!$A:$A,A65,'Employee Leaves'!$E:$E,$M$1)</f>
        <v>0</v>
      </c>
      <c r="O65" s="442">
        <f t="shared" si="1"/>
        <v>0.24283632831471588</v>
      </c>
      <c r="P65" s="445">
        <f>SUMIFS('Employee Leaves'!$G:$G,'Employee Leaves'!$A:$A,A65,'Employee Leaves'!$E:$E,"Others")</f>
        <v>0</v>
      </c>
      <c r="Q65" s="485">
        <f>SUMIFS('Employee Leaves'!$G:$G,'Employee Leaves'!$A:$A,A65)</f>
        <v>5</v>
      </c>
      <c r="R65" s="451"/>
      <c r="S65" s="439" t="str">
        <f t="shared" si="2"/>
        <v>-</v>
      </c>
      <c r="T65" s="238">
        <v>45.8</v>
      </c>
      <c r="U65" s="239">
        <f t="shared" si="3"/>
        <v>366.4</v>
      </c>
      <c r="V65" s="239">
        <f t="shared" si="4"/>
        <v>68.699999999999989</v>
      </c>
      <c r="W65" s="243" t="s">
        <v>173</v>
      </c>
      <c r="X65" s="242" t="s">
        <v>172</v>
      </c>
    </row>
    <row r="66" spans="1:24" ht="12.75">
      <c r="A66" s="288">
        <v>5008</v>
      </c>
      <c r="B66" s="288" t="s">
        <v>37</v>
      </c>
      <c r="C66" s="288" t="s">
        <v>39</v>
      </c>
      <c r="D66" s="288" t="s">
        <v>9</v>
      </c>
      <c r="E66" s="289">
        <v>44214</v>
      </c>
      <c r="F66" s="288"/>
      <c r="G66" s="447"/>
      <c r="H66" s="448">
        <f>SUMIFS('Employee Leaves'!$G:$G,'Employee Leaves'!$A:$A,A66,'Employee Leaves'!$E:$E,"Holiday")</f>
        <v>5</v>
      </c>
      <c r="I66" s="448">
        <f>COUNTIFS('Employee Leaves'!$A:$A,A66,'Employee Leaves'!$E:$E,$H$1)</f>
        <v>1</v>
      </c>
      <c r="J66" s="442">
        <f t="shared" ref="J66:J129" si="5">H66+(1000/A66)</f>
        <v>5.1996805111821089</v>
      </c>
      <c r="K66" s="488">
        <f>SUMIFS('Employee Leaves'!$G:$G,'Employee Leaves'!$A:$A,A66,'Employee Leaves'!$E:$E,"Maternity Leave")</f>
        <v>0</v>
      </c>
      <c r="L66" s="448">
        <f>SUMIFS('Employee Leaves'!$G:$G,'Employee Leaves'!$A:$A,A66,'Employee Leaves'!$E:$E,"Paternity Leave")</f>
        <v>0</v>
      </c>
      <c r="M66" s="448">
        <f>SUMIFS('Employee Leaves'!$G:$G,'Employee Leaves'!$A:$A,A66,'Employee Leaves'!$E:$E,"Sick")</f>
        <v>0</v>
      </c>
      <c r="N66" s="448">
        <f>COUNTIFS('Employee Leaves'!$A:$A,A66,'Employee Leaves'!$E:$E,$M$1)</f>
        <v>0</v>
      </c>
      <c r="O66" s="442">
        <f t="shared" ref="O66:O129" si="6">M66+(1000/A66)</f>
        <v>0.19968051118210864</v>
      </c>
      <c r="P66" s="445">
        <f>SUMIFS('Employee Leaves'!$G:$G,'Employee Leaves'!$A:$A,A66,'Employee Leaves'!$E:$E,"Others")</f>
        <v>0</v>
      </c>
      <c r="Q66" s="485">
        <f>SUMIFS('Employee Leaves'!$G:$G,'Employee Leaves'!$A:$A,A66)</f>
        <v>5</v>
      </c>
      <c r="R66" s="451"/>
      <c r="S66" s="439" t="str">
        <f t="shared" ref="S66:S129" si="7">IF(F66-E66&lt;0,"-",F66-E66)</f>
        <v>-</v>
      </c>
      <c r="T66" s="238">
        <v>17.75</v>
      </c>
      <c r="U66" s="239">
        <f t="shared" ref="U66:U129" si="8">T66*8</f>
        <v>142</v>
      </c>
      <c r="V66" s="239">
        <f t="shared" ref="V66:V129" si="9">T66*1.5</f>
        <v>26.625</v>
      </c>
      <c r="W66" s="240" t="s">
        <v>146</v>
      </c>
      <c r="X66" s="241" t="s">
        <v>151</v>
      </c>
    </row>
    <row r="67" spans="1:24" ht="12.75">
      <c r="A67" s="288">
        <v>2006</v>
      </c>
      <c r="B67" s="288" t="s">
        <v>15</v>
      </c>
      <c r="C67" s="288" t="s">
        <v>15</v>
      </c>
      <c r="D67" s="288" t="s">
        <v>16</v>
      </c>
      <c r="E67" s="290">
        <v>44655</v>
      </c>
      <c r="F67" s="288"/>
      <c r="G67" s="447"/>
      <c r="H67" s="448">
        <f>SUMIFS('Employee Leaves'!$G:$G,'Employee Leaves'!$A:$A,A67,'Employee Leaves'!$E:$E,"Holiday")</f>
        <v>4</v>
      </c>
      <c r="I67" s="448">
        <f>COUNTIFS('Employee Leaves'!$A:$A,A67,'Employee Leaves'!$E:$E,$H$1)</f>
        <v>1</v>
      </c>
      <c r="J67" s="442">
        <f t="shared" si="5"/>
        <v>4.4985044865403792</v>
      </c>
      <c r="K67" s="488">
        <f>SUMIFS('Employee Leaves'!$G:$G,'Employee Leaves'!$A:$A,A67,'Employee Leaves'!$E:$E,"Maternity Leave")</f>
        <v>0</v>
      </c>
      <c r="L67" s="448">
        <f>SUMIFS('Employee Leaves'!$G:$G,'Employee Leaves'!$A:$A,A67,'Employee Leaves'!$E:$E,"Paternity Leave")</f>
        <v>0</v>
      </c>
      <c r="M67" s="448">
        <f>SUMIFS('Employee Leaves'!$G:$G,'Employee Leaves'!$A:$A,A67,'Employee Leaves'!$E:$E,"Sick")</f>
        <v>0</v>
      </c>
      <c r="N67" s="448">
        <f>COUNTIFS('Employee Leaves'!$A:$A,A67,'Employee Leaves'!$E:$E,$M$1)</f>
        <v>0</v>
      </c>
      <c r="O67" s="442">
        <f t="shared" si="6"/>
        <v>0.49850448654037888</v>
      </c>
      <c r="P67" s="445">
        <f>SUMIFS('Employee Leaves'!$G:$G,'Employee Leaves'!$A:$A,A67,'Employee Leaves'!$E:$E,"Others")</f>
        <v>0</v>
      </c>
      <c r="Q67" s="485">
        <f>SUMIFS('Employee Leaves'!$G:$G,'Employee Leaves'!$A:$A,A67)</f>
        <v>4</v>
      </c>
      <c r="R67" s="451"/>
      <c r="S67" s="439" t="str">
        <f t="shared" si="7"/>
        <v>-</v>
      </c>
      <c r="T67" s="238">
        <v>14.22</v>
      </c>
      <c r="U67" s="239">
        <f t="shared" si="8"/>
        <v>113.76</v>
      </c>
      <c r="V67" s="239">
        <f t="shared" si="9"/>
        <v>21.330000000000002</v>
      </c>
      <c r="W67" s="243" t="s">
        <v>183</v>
      </c>
      <c r="X67" s="241" t="s">
        <v>182</v>
      </c>
    </row>
    <row r="68" spans="1:24" ht="12.75">
      <c r="A68" s="288">
        <v>4017</v>
      </c>
      <c r="B68" s="288" t="s">
        <v>22</v>
      </c>
      <c r="C68" s="288" t="s">
        <v>29</v>
      </c>
      <c r="D68" s="288" t="s">
        <v>9</v>
      </c>
      <c r="E68" s="290">
        <v>44354</v>
      </c>
      <c r="F68" s="290"/>
      <c r="G68" s="447"/>
      <c r="H68" s="448">
        <f>SUMIFS('Employee Leaves'!$G:$G,'Employee Leaves'!$A:$A,A68,'Employee Leaves'!$E:$E,"Holiday")</f>
        <v>4</v>
      </c>
      <c r="I68" s="448">
        <f>COUNTIFS('Employee Leaves'!$A:$A,A68,'Employee Leaves'!$E:$E,$H$1)</f>
        <v>1</v>
      </c>
      <c r="J68" s="442">
        <f t="shared" si="5"/>
        <v>4.2489419965148123</v>
      </c>
      <c r="K68" s="488">
        <f>SUMIFS('Employee Leaves'!$G:$G,'Employee Leaves'!$A:$A,A68,'Employee Leaves'!$E:$E,"Maternity Leave")</f>
        <v>0</v>
      </c>
      <c r="L68" s="448">
        <f>SUMIFS('Employee Leaves'!$G:$G,'Employee Leaves'!$A:$A,A68,'Employee Leaves'!$E:$E,"Paternity Leave")</f>
        <v>0</v>
      </c>
      <c r="M68" s="448">
        <f>SUMIFS('Employee Leaves'!$G:$G,'Employee Leaves'!$A:$A,A68,'Employee Leaves'!$E:$E,"Sick")</f>
        <v>0</v>
      </c>
      <c r="N68" s="448">
        <f>COUNTIFS('Employee Leaves'!$A:$A,A68,'Employee Leaves'!$E:$E,$M$1)</f>
        <v>0</v>
      </c>
      <c r="O68" s="442">
        <f t="shared" si="6"/>
        <v>0.24894199651481205</v>
      </c>
      <c r="P68" s="445">
        <f>SUMIFS('Employee Leaves'!$G:$G,'Employee Leaves'!$A:$A,A68,'Employee Leaves'!$E:$E,"Others")</f>
        <v>0</v>
      </c>
      <c r="Q68" s="485">
        <f>SUMIFS('Employee Leaves'!$G:$G,'Employee Leaves'!$A:$A,A68)</f>
        <v>4</v>
      </c>
      <c r="R68" s="451"/>
      <c r="S68" s="439" t="str">
        <f t="shared" si="7"/>
        <v>-</v>
      </c>
      <c r="T68" s="238">
        <v>45.8</v>
      </c>
      <c r="U68" s="239">
        <f t="shared" si="8"/>
        <v>366.4</v>
      </c>
      <c r="V68" s="239">
        <f t="shared" si="9"/>
        <v>68.699999999999989</v>
      </c>
      <c r="W68" s="243" t="s">
        <v>173</v>
      </c>
      <c r="X68" s="242" t="s">
        <v>172</v>
      </c>
    </row>
    <row r="69" spans="1:24" ht="12.75">
      <c r="A69" s="288">
        <v>4029</v>
      </c>
      <c r="B69" s="288" t="s">
        <v>22</v>
      </c>
      <c r="C69" s="288" t="s">
        <v>32</v>
      </c>
      <c r="D69" s="288" t="s">
        <v>9</v>
      </c>
      <c r="E69" s="290">
        <v>44291</v>
      </c>
      <c r="F69" s="290"/>
      <c r="G69" s="447"/>
      <c r="H69" s="448">
        <f>SUMIFS('Employee Leaves'!$G:$G,'Employee Leaves'!$A:$A,A69,'Employee Leaves'!$E:$E,"Holiday")</f>
        <v>4</v>
      </c>
      <c r="I69" s="448">
        <f>COUNTIFS('Employee Leaves'!$A:$A,A69,'Employee Leaves'!$E:$E,$H$1)</f>
        <v>1</v>
      </c>
      <c r="J69" s="442">
        <f t="shared" si="5"/>
        <v>4.2482005460412013</v>
      </c>
      <c r="K69" s="488">
        <f>SUMIFS('Employee Leaves'!$G:$G,'Employee Leaves'!$A:$A,A69,'Employee Leaves'!$E:$E,"Maternity Leave")</f>
        <v>0</v>
      </c>
      <c r="L69" s="448">
        <f>SUMIFS('Employee Leaves'!$G:$G,'Employee Leaves'!$A:$A,A69,'Employee Leaves'!$E:$E,"Paternity Leave")</f>
        <v>0</v>
      </c>
      <c r="M69" s="448">
        <f>SUMIFS('Employee Leaves'!$G:$G,'Employee Leaves'!$A:$A,A69,'Employee Leaves'!$E:$E,"Sick")</f>
        <v>0</v>
      </c>
      <c r="N69" s="448">
        <f>COUNTIFS('Employee Leaves'!$A:$A,A69,'Employee Leaves'!$E:$E,$M$1)</f>
        <v>0</v>
      </c>
      <c r="O69" s="442">
        <f t="shared" si="6"/>
        <v>0.24820054604120129</v>
      </c>
      <c r="P69" s="445">
        <f>SUMIFS('Employee Leaves'!$G:$G,'Employee Leaves'!$A:$A,A69,'Employee Leaves'!$E:$E,"Others")</f>
        <v>0</v>
      </c>
      <c r="Q69" s="485">
        <f>SUMIFS('Employee Leaves'!$G:$G,'Employee Leaves'!$A:$A,A69)</f>
        <v>4</v>
      </c>
      <c r="R69" s="451"/>
      <c r="S69" s="439" t="str">
        <f t="shared" si="7"/>
        <v>-</v>
      </c>
      <c r="T69" s="238">
        <v>48.52</v>
      </c>
      <c r="U69" s="239">
        <f t="shared" si="8"/>
        <v>388.16</v>
      </c>
      <c r="V69" s="239">
        <f t="shared" si="9"/>
        <v>72.78</v>
      </c>
      <c r="W69" s="243" t="s">
        <v>177</v>
      </c>
      <c r="X69" s="241" t="s">
        <v>176</v>
      </c>
    </row>
    <row r="70" spans="1:24" ht="12.75">
      <c r="A70" s="288">
        <v>4044</v>
      </c>
      <c r="B70" s="288" t="s">
        <v>22</v>
      </c>
      <c r="C70" s="288" t="s">
        <v>28</v>
      </c>
      <c r="D70" s="288" t="s">
        <v>9</v>
      </c>
      <c r="E70" s="290">
        <v>44256</v>
      </c>
      <c r="F70" s="291"/>
      <c r="G70" s="447"/>
      <c r="H70" s="448">
        <f>SUMIFS('Employee Leaves'!$G:$G,'Employee Leaves'!$A:$A,A70,'Employee Leaves'!$E:$E,"Holiday")</f>
        <v>4</v>
      </c>
      <c r="I70" s="448">
        <f>COUNTIFS('Employee Leaves'!$A:$A,A70,'Employee Leaves'!$E:$E,$H$1)</f>
        <v>1</v>
      </c>
      <c r="J70" s="442">
        <f t="shared" si="5"/>
        <v>4.2472799208704251</v>
      </c>
      <c r="K70" s="488">
        <f>SUMIFS('Employee Leaves'!$G:$G,'Employee Leaves'!$A:$A,A70,'Employee Leaves'!$E:$E,"Maternity Leave")</f>
        <v>0</v>
      </c>
      <c r="L70" s="448">
        <f>SUMIFS('Employee Leaves'!$G:$G,'Employee Leaves'!$A:$A,A70,'Employee Leaves'!$E:$E,"Paternity Leave")</f>
        <v>0</v>
      </c>
      <c r="M70" s="448">
        <f>SUMIFS('Employee Leaves'!$G:$G,'Employee Leaves'!$A:$A,A70,'Employee Leaves'!$E:$E,"Sick")</f>
        <v>0</v>
      </c>
      <c r="N70" s="448">
        <f>COUNTIFS('Employee Leaves'!$A:$A,A70,'Employee Leaves'!$E:$E,$M$1)</f>
        <v>0</v>
      </c>
      <c r="O70" s="442">
        <f t="shared" si="6"/>
        <v>0.24727992087042533</v>
      </c>
      <c r="P70" s="445">
        <f>SUMIFS('Employee Leaves'!$G:$G,'Employee Leaves'!$A:$A,A70,'Employee Leaves'!$E:$E,"Others")</f>
        <v>0</v>
      </c>
      <c r="Q70" s="485">
        <f>SUMIFS('Employee Leaves'!$G:$G,'Employee Leaves'!$A:$A,A70)</f>
        <v>4</v>
      </c>
      <c r="R70" s="451"/>
      <c r="S70" s="439" t="str">
        <f t="shared" si="7"/>
        <v>-</v>
      </c>
      <c r="T70" s="238">
        <v>45.8</v>
      </c>
      <c r="U70" s="239">
        <f t="shared" si="8"/>
        <v>366.4</v>
      </c>
      <c r="V70" s="239">
        <f t="shared" si="9"/>
        <v>68.699999999999989</v>
      </c>
      <c r="W70" s="243" t="s">
        <v>173</v>
      </c>
      <c r="X70" s="242" t="s">
        <v>172</v>
      </c>
    </row>
    <row r="71" spans="1:24" ht="12.75">
      <c r="A71" s="288">
        <v>4056</v>
      </c>
      <c r="B71" s="288" t="s">
        <v>22</v>
      </c>
      <c r="C71" s="288" t="s">
        <v>33</v>
      </c>
      <c r="D71" s="288" t="s">
        <v>9</v>
      </c>
      <c r="E71" s="289">
        <v>44627</v>
      </c>
      <c r="F71" s="288"/>
      <c r="G71" s="447"/>
      <c r="H71" s="448">
        <f>SUMIFS('Employee Leaves'!$G:$G,'Employee Leaves'!$A:$A,A71,'Employee Leaves'!$E:$E,"Holiday")</f>
        <v>4</v>
      </c>
      <c r="I71" s="448">
        <f>COUNTIFS('Employee Leaves'!$A:$A,A71,'Employee Leaves'!$E:$E,$H$1)</f>
        <v>1</v>
      </c>
      <c r="J71" s="442">
        <f t="shared" si="5"/>
        <v>4.2465483234714005</v>
      </c>
      <c r="K71" s="488">
        <f>SUMIFS('Employee Leaves'!$G:$G,'Employee Leaves'!$A:$A,A71,'Employee Leaves'!$E:$E,"Maternity Leave")</f>
        <v>0</v>
      </c>
      <c r="L71" s="448">
        <f>SUMIFS('Employee Leaves'!$G:$G,'Employee Leaves'!$A:$A,A71,'Employee Leaves'!$E:$E,"Paternity Leave")</f>
        <v>0</v>
      </c>
      <c r="M71" s="448">
        <f>SUMIFS('Employee Leaves'!$G:$G,'Employee Leaves'!$A:$A,A71,'Employee Leaves'!$E:$E,"Sick")</f>
        <v>0</v>
      </c>
      <c r="N71" s="448">
        <f>COUNTIFS('Employee Leaves'!$A:$A,A71,'Employee Leaves'!$E:$E,$M$1)</f>
        <v>0</v>
      </c>
      <c r="O71" s="442">
        <f t="shared" si="6"/>
        <v>0.2465483234714004</v>
      </c>
      <c r="P71" s="445">
        <f>SUMIFS('Employee Leaves'!$G:$G,'Employee Leaves'!$A:$A,A71,'Employee Leaves'!$E:$E,"Others")</f>
        <v>0</v>
      </c>
      <c r="Q71" s="485">
        <f>SUMIFS('Employee Leaves'!$G:$G,'Employee Leaves'!$A:$A,A71)</f>
        <v>4</v>
      </c>
      <c r="R71" s="451"/>
      <c r="S71" s="439" t="str">
        <f t="shared" si="7"/>
        <v>-</v>
      </c>
      <c r="T71" s="238">
        <v>45.8</v>
      </c>
      <c r="U71" s="239">
        <f t="shared" si="8"/>
        <v>366.4</v>
      </c>
      <c r="V71" s="239">
        <f t="shared" si="9"/>
        <v>68.699999999999989</v>
      </c>
      <c r="W71" s="243" t="s">
        <v>173</v>
      </c>
      <c r="X71" s="242" t="s">
        <v>172</v>
      </c>
    </row>
    <row r="72" spans="1:24" ht="12.75">
      <c r="A72" s="288">
        <v>4069</v>
      </c>
      <c r="B72" s="288" t="s">
        <v>22</v>
      </c>
      <c r="C72" s="288" t="s">
        <v>31</v>
      </c>
      <c r="D72" s="288" t="s">
        <v>9</v>
      </c>
      <c r="E72" s="289">
        <v>44265</v>
      </c>
      <c r="F72" s="290"/>
      <c r="G72" s="447"/>
      <c r="H72" s="448">
        <f>SUMIFS('Employee Leaves'!$G:$G,'Employee Leaves'!$A:$A,A72,'Employee Leaves'!$E:$E,"Holiday")</f>
        <v>4</v>
      </c>
      <c r="I72" s="448">
        <f>COUNTIFS('Employee Leaves'!$A:$A,A72,'Employee Leaves'!$E:$E,$H$1)</f>
        <v>1</v>
      </c>
      <c r="J72" s="442">
        <f t="shared" si="5"/>
        <v>4.2457606291472105</v>
      </c>
      <c r="K72" s="488">
        <f>SUMIFS('Employee Leaves'!$G:$G,'Employee Leaves'!$A:$A,A72,'Employee Leaves'!$E:$E,"Maternity Leave")</f>
        <v>0</v>
      </c>
      <c r="L72" s="448">
        <f>SUMIFS('Employee Leaves'!$G:$G,'Employee Leaves'!$A:$A,A72,'Employee Leaves'!$E:$E,"Paternity Leave")</f>
        <v>0</v>
      </c>
      <c r="M72" s="448">
        <f>SUMIFS('Employee Leaves'!$G:$G,'Employee Leaves'!$A:$A,A72,'Employee Leaves'!$E:$E,"Sick")</f>
        <v>0</v>
      </c>
      <c r="N72" s="448">
        <f>COUNTIFS('Employee Leaves'!$A:$A,A72,'Employee Leaves'!$E:$E,$M$1)</f>
        <v>0</v>
      </c>
      <c r="O72" s="442">
        <f t="shared" si="6"/>
        <v>0.24576062914721061</v>
      </c>
      <c r="P72" s="445">
        <f>SUMIFS('Employee Leaves'!$G:$G,'Employee Leaves'!$A:$A,A72,'Employee Leaves'!$E:$E,"Others")</f>
        <v>0</v>
      </c>
      <c r="Q72" s="485">
        <f>SUMIFS('Employee Leaves'!$G:$G,'Employee Leaves'!$A:$A,A72)</f>
        <v>4</v>
      </c>
      <c r="R72" s="451"/>
      <c r="S72" s="439" t="str">
        <f t="shared" si="7"/>
        <v>-</v>
      </c>
      <c r="T72" s="238">
        <v>45.8</v>
      </c>
      <c r="U72" s="239">
        <f t="shared" si="8"/>
        <v>366.4</v>
      </c>
      <c r="V72" s="239">
        <f t="shared" si="9"/>
        <v>68.699999999999989</v>
      </c>
      <c r="W72" s="243" t="s">
        <v>173</v>
      </c>
      <c r="X72" s="242" t="s">
        <v>172</v>
      </c>
    </row>
    <row r="73" spans="1:24" ht="12.75">
      <c r="A73" s="288">
        <v>4030</v>
      </c>
      <c r="B73" s="288" t="s">
        <v>22</v>
      </c>
      <c r="C73" s="288" t="s">
        <v>30</v>
      </c>
      <c r="D73" s="288" t="s">
        <v>9</v>
      </c>
      <c r="E73" s="290">
        <v>44495</v>
      </c>
      <c r="F73" s="288"/>
      <c r="G73" s="447"/>
      <c r="H73" s="448">
        <f>SUMIFS('Employee Leaves'!$G:$G,'Employee Leaves'!$A:$A,A73,'Employee Leaves'!$E:$E,"Holiday")</f>
        <v>3</v>
      </c>
      <c r="I73" s="448">
        <f>COUNTIFS('Employee Leaves'!$A:$A,A73,'Employee Leaves'!$E:$E,$H$1)</f>
        <v>1</v>
      </c>
      <c r="J73" s="442">
        <f t="shared" si="5"/>
        <v>3.2481389578163773</v>
      </c>
      <c r="K73" s="488">
        <f>SUMIFS('Employee Leaves'!$G:$G,'Employee Leaves'!$A:$A,A73,'Employee Leaves'!$E:$E,"Maternity Leave")</f>
        <v>0</v>
      </c>
      <c r="L73" s="448">
        <f>SUMIFS('Employee Leaves'!$G:$G,'Employee Leaves'!$A:$A,A73,'Employee Leaves'!$E:$E,"Paternity Leave")</f>
        <v>0</v>
      </c>
      <c r="M73" s="448">
        <f>SUMIFS('Employee Leaves'!$G:$G,'Employee Leaves'!$A:$A,A73,'Employee Leaves'!$E:$E,"Sick")</f>
        <v>0</v>
      </c>
      <c r="N73" s="448">
        <f>COUNTIFS('Employee Leaves'!$A:$A,A73,'Employee Leaves'!$E:$E,$M$1)</f>
        <v>0</v>
      </c>
      <c r="O73" s="442">
        <f t="shared" si="6"/>
        <v>0.24813895781637718</v>
      </c>
      <c r="P73" s="445">
        <f>SUMIFS('Employee Leaves'!$G:$G,'Employee Leaves'!$A:$A,A73,'Employee Leaves'!$E:$E,"Others")</f>
        <v>0</v>
      </c>
      <c r="Q73" s="485">
        <f>SUMIFS('Employee Leaves'!$G:$G,'Employee Leaves'!$A:$A,A73)</f>
        <v>3</v>
      </c>
      <c r="R73" s="451"/>
      <c r="S73" s="439" t="str">
        <f t="shared" si="7"/>
        <v>-</v>
      </c>
      <c r="T73" s="238">
        <v>23.93</v>
      </c>
      <c r="U73" s="239">
        <f t="shared" si="8"/>
        <v>191.44</v>
      </c>
      <c r="V73" s="239">
        <f t="shared" si="9"/>
        <v>35.894999999999996</v>
      </c>
      <c r="W73" s="243" t="s">
        <v>170</v>
      </c>
      <c r="X73" s="241" t="s">
        <v>169</v>
      </c>
    </row>
    <row r="74" spans="1:24" ht="12.75">
      <c r="A74" s="288">
        <v>4077</v>
      </c>
      <c r="B74" s="288" t="s">
        <v>22</v>
      </c>
      <c r="C74" s="288" t="s">
        <v>34</v>
      </c>
      <c r="D74" s="288" t="s">
        <v>9</v>
      </c>
      <c r="E74" s="289">
        <v>43999</v>
      </c>
      <c r="F74" s="290"/>
      <c r="G74" s="447"/>
      <c r="H74" s="448">
        <f>SUMIFS('Employee Leaves'!$G:$G,'Employee Leaves'!$A:$A,A74,'Employee Leaves'!$E:$E,"Holiday")</f>
        <v>3</v>
      </c>
      <c r="I74" s="448">
        <f>COUNTIFS('Employee Leaves'!$A:$A,A74,'Employee Leaves'!$E:$E,$H$1)</f>
        <v>1</v>
      </c>
      <c r="J74" s="442">
        <f t="shared" si="5"/>
        <v>3.245278390973755</v>
      </c>
      <c r="K74" s="488">
        <f>SUMIFS('Employee Leaves'!$G:$G,'Employee Leaves'!$A:$A,A74,'Employee Leaves'!$E:$E,"Maternity Leave")</f>
        <v>0</v>
      </c>
      <c r="L74" s="448">
        <f>SUMIFS('Employee Leaves'!$G:$G,'Employee Leaves'!$A:$A,A74,'Employee Leaves'!$E:$E,"Paternity Leave")</f>
        <v>0</v>
      </c>
      <c r="M74" s="448">
        <f>SUMIFS('Employee Leaves'!$G:$G,'Employee Leaves'!$A:$A,A74,'Employee Leaves'!$E:$E,"Sick")</f>
        <v>0</v>
      </c>
      <c r="N74" s="448">
        <f>COUNTIFS('Employee Leaves'!$A:$A,A74,'Employee Leaves'!$E:$E,$M$1)</f>
        <v>0</v>
      </c>
      <c r="O74" s="442">
        <f t="shared" si="6"/>
        <v>0.2452783909737552</v>
      </c>
      <c r="P74" s="445">
        <f>SUMIFS('Employee Leaves'!$G:$G,'Employee Leaves'!$A:$A,A74,'Employee Leaves'!$E:$E,"Others")</f>
        <v>5</v>
      </c>
      <c r="Q74" s="485">
        <f>SUMIFS('Employee Leaves'!$G:$G,'Employee Leaves'!$A:$A,A74)</f>
        <v>8</v>
      </c>
      <c r="R74" s="451"/>
      <c r="S74" s="439" t="str">
        <f t="shared" si="7"/>
        <v>-</v>
      </c>
      <c r="T74" s="238">
        <v>45.8</v>
      </c>
      <c r="U74" s="239">
        <f t="shared" si="8"/>
        <v>366.4</v>
      </c>
      <c r="V74" s="239">
        <f t="shared" si="9"/>
        <v>68.699999999999989</v>
      </c>
      <c r="W74" s="243" t="s">
        <v>179</v>
      </c>
      <c r="X74" s="241" t="s">
        <v>178</v>
      </c>
    </row>
    <row r="75" spans="1:24" ht="12.75">
      <c r="A75" s="288">
        <v>1002</v>
      </c>
      <c r="B75" s="288" t="s">
        <v>7</v>
      </c>
      <c r="C75" s="288" t="s">
        <v>8</v>
      </c>
      <c r="D75" s="288" t="s">
        <v>9</v>
      </c>
      <c r="E75" s="290">
        <v>43511</v>
      </c>
      <c r="F75" s="290"/>
      <c r="G75" s="447"/>
      <c r="H75" s="448">
        <f>SUMIFS('Employee Leaves'!$G:$G,'Employee Leaves'!$A:$A,A75,'Employee Leaves'!$E:$E,"Holiday")</f>
        <v>0</v>
      </c>
      <c r="I75" s="448">
        <f>COUNTIFS('Employee Leaves'!$A:$A,A75,'Employee Leaves'!$E:$E,$H$1)</f>
        <v>0</v>
      </c>
      <c r="J75" s="442">
        <f t="shared" si="5"/>
        <v>0.99800399201596801</v>
      </c>
      <c r="K75" s="488">
        <f>SUMIFS('Employee Leaves'!$G:$G,'Employee Leaves'!$A:$A,A75,'Employee Leaves'!$E:$E,"Maternity Leave")</f>
        <v>0</v>
      </c>
      <c r="L75" s="448">
        <f>SUMIFS('Employee Leaves'!$G:$G,'Employee Leaves'!$A:$A,A75,'Employee Leaves'!$E:$E,"Paternity Leave")</f>
        <v>0</v>
      </c>
      <c r="M75" s="448">
        <f>SUMIFS('Employee Leaves'!$G:$G,'Employee Leaves'!$A:$A,A75,'Employee Leaves'!$E:$E,"Sick")</f>
        <v>0</v>
      </c>
      <c r="N75" s="448">
        <f>COUNTIFS('Employee Leaves'!$A:$A,A75,'Employee Leaves'!$E:$E,$M$1)</f>
        <v>0</v>
      </c>
      <c r="O75" s="442">
        <f t="shared" si="6"/>
        <v>0.99800399201596801</v>
      </c>
      <c r="P75" s="445">
        <f>SUMIFS('Employee Leaves'!$G:$G,'Employee Leaves'!$A:$A,A75,'Employee Leaves'!$E:$E,"Others")</f>
        <v>0</v>
      </c>
      <c r="Q75" s="485">
        <f>SUMIFS('Employee Leaves'!$G:$G,'Employee Leaves'!$A:$A,A75)</f>
        <v>0</v>
      </c>
      <c r="R75" s="451"/>
      <c r="S75" s="439" t="str">
        <f t="shared" si="7"/>
        <v>-</v>
      </c>
      <c r="T75" s="238">
        <v>35.9</v>
      </c>
      <c r="U75" s="239">
        <f t="shared" si="8"/>
        <v>287.2</v>
      </c>
      <c r="V75" s="239">
        <f t="shared" si="9"/>
        <v>53.849999999999994</v>
      </c>
      <c r="W75" s="240" t="s">
        <v>155</v>
      </c>
      <c r="X75" s="241" t="s">
        <v>154</v>
      </c>
    </row>
    <row r="76" spans="1:24" ht="12.75">
      <c r="A76" s="288">
        <v>1003</v>
      </c>
      <c r="B76" s="288" t="s">
        <v>7</v>
      </c>
      <c r="C76" s="288" t="s">
        <v>10</v>
      </c>
      <c r="D76" s="288" t="s">
        <v>9</v>
      </c>
      <c r="E76" s="290">
        <v>43511</v>
      </c>
      <c r="F76" s="290"/>
      <c r="G76" s="447"/>
      <c r="H76" s="448">
        <f>SUMIFS('Employee Leaves'!$G:$G,'Employee Leaves'!$A:$A,A76,'Employee Leaves'!$E:$E,"Holiday")</f>
        <v>0</v>
      </c>
      <c r="I76" s="448">
        <f>COUNTIFS('Employee Leaves'!$A:$A,A76,'Employee Leaves'!$E:$E,$H$1)</f>
        <v>0</v>
      </c>
      <c r="J76" s="442">
        <f t="shared" si="5"/>
        <v>0.99700897308075775</v>
      </c>
      <c r="K76" s="488">
        <f>SUMIFS('Employee Leaves'!$G:$G,'Employee Leaves'!$A:$A,A76,'Employee Leaves'!$E:$E,"Maternity Leave")</f>
        <v>0</v>
      </c>
      <c r="L76" s="448">
        <f>SUMIFS('Employee Leaves'!$G:$G,'Employee Leaves'!$A:$A,A76,'Employee Leaves'!$E:$E,"Paternity Leave")</f>
        <v>0</v>
      </c>
      <c r="M76" s="448">
        <f>SUMIFS('Employee Leaves'!$G:$G,'Employee Leaves'!$A:$A,A76,'Employee Leaves'!$E:$E,"Sick")</f>
        <v>4</v>
      </c>
      <c r="N76" s="448">
        <f>COUNTIFS('Employee Leaves'!$A:$A,A76,'Employee Leaves'!$E:$E,$M$1)</f>
        <v>1</v>
      </c>
      <c r="O76" s="442">
        <f t="shared" si="6"/>
        <v>4.9970089730807574</v>
      </c>
      <c r="P76" s="445">
        <f>SUMIFS('Employee Leaves'!$G:$G,'Employee Leaves'!$A:$A,A76,'Employee Leaves'!$E:$E,"Others")</f>
        <v>0</v>
      </c>
      <c r="Q76" s="485">
        <f>SUMIFS('Employee Leaves'!$G:$G,'Employee Leaves'!$A:$A,A76)</f>
        <v>4</v>
      </c>
      <c r="R76" s="451"/>
      <c r="S76" s="439" t="str">
        <f t="shared" si="7"/>
        <v>-</v>
      </c>
      <c r="T76" s="238">
        <v>34.35</v>
      </c>
      <c r="U76" s="239">
        <f t="shared" si="8"/>
        <v>274.8</v>
      </c>
      <c r="V76" s="239">
        <f t="shared" si="9"/>
        <v>51.525000000000006</v>
      </c>
      <c r="W76" s="240" t="s">
        <v>158</v>
      </c>
      <c r="X76" s="242" t="s">
        <v>156</v>
      </c>
    </row>
    <row r="77" spans="1:24" ht="12.75">
      <c r="A77" s="288">
        <v>1004</v>
      </c>
      <c r="B77" s="288" t="s">
        <v>7</v>
      </c>
      <c r="C77" s="288" t="s">
        <v>10</v>
      </c>
      <c r="D77" s="288" t="s">
        <v>9</v>
      </c>
      <c r="E77" s="290">
        <v>43587</v>
      </c>
      <c r="F77" s="290"/>
      <c r="G77" s="447"/>
      <c r="H77" s="448">
        <f>SUMIFS('Employee Leaves'!$G:$G,'Employee Leaves'!$A:$A,A77,'Employee Leaves'!$E:$E,"Holiday")</f>
        <v>0</v>
      </c>
      <c r="I77" s="448">
        <f>COUNTIFS('Employee Leaves'!$A:$A,A77,'Employee Leaves'!$E:$E,$H$1)</f>
        <v>0</v>
      </c>
      <c r="J77" s="442">
        <f t="shared" si="5"/>
        <v>0.99601593625498008</v>
      </c>
      <c r="K77" s="488">
        <f>SUMIFS('Employee Leaves'!$G:$G,'Employee Leaves'!$A:$A,A77,'Employee Leaves'!$E:$E,"Maternity Leave")</f>
        <v>0</v>
      </c>
      <c r="L77" s="448">
        <f>SUMIFS('Employee Leaves'!$G:$G,'Employee Leaves'!$A:$A,A77,'Employee Leaves'!$E:$E,"Paternity Leave")</f>
        <v>0</v>
      </c>
      <c r="M77" s="448">
        <f>SUMIFS('Employee Leaves'!$G:$G,'Employee Leaves'!$A:$A,A77,'Employee Leaves'!$E:$E,"Sick")</f>
        <v>0</v>
      </c>
      <c r="N77" s="448">
        <f>COUNTIFS('Employee Leaves'!$A:$A,A77,'Employee Leaves'!$E:$E,$M$1)</f>
        <v>0</v>
      </c>
      <c r="O77" s="442">
        <f t="shared" si="6"/>
        <v>0.99601593625498008</v>
      </c>
      <c r="P77" s="445">
        <f>SUMIFS('Employee Leaves'!$G:$G,'Employee Leaves'!$A:$A,A77,'Employee Leaves'!$E:$E,"Others")</f>
        <v>0</v>
      </c>
      <c r="Q77" s="485">
        <f>SUMIFS('Employee Leaves'!$G:$G,'Employee Leaves'!$A:$A,A77)</f>
        <v>0</v>
      </c>
      <c r="R77" s="451"/>
      <c r="S77" s="439" t="str">
        <f t="shared" si="7"/>
        <v>-</v>
      </c>
      <c r="T77" s="238">
        <v>34.35</v>
      </c>
      <c r="U77" s="239">
        <f t="shared" si="8"/>
        <v>274.8</v>
      </c>
      <c r="V77" s="239">
        <f t="shared" si="9"/>
        <v>51.525000000000006</v>
      </c>
      <c r="W77" s="240" t="s">
        <v>159</v>
      </c>
      <c r="X77" s="242" t="s">
        <v>156</v>
      </c>
    </row>
    <row r="78" spans="1:24" ht="12.75">
      <c r="A78" s="288">
        <v>1005</v>
      </c>
      <c r="B78" s="288" t="s">
        <v>7</v>
      </c>
      <c r="C78" s="288" t="s">
        <v>11</v>
      </c>
      <c r="D78" s="288" t="s">
        <v>9</v>
      </c>
      <c r="E78" s="290">
        <v>43542</v>
      </c>
      <c r="F78" s="290"/>
      <c r="G78" s="447"/>
      <c r="H78" s="448">
        <f>SUMIFS('Employee Leaves'!$G:$G,'Employee Leaves'!$A:$A,A78,'Employee Leaves'!$E:$E,"Holiday")</f>
        <v>0</v>
      </c>
      <c r="I78" s="448">
        <f>COUNTIFS('Employee Leaves'!$A:$A,A78,'Employee Leaves'!$E:$E,$H$1)</f>
        <v>0</v>
      </c>
      <c r="J78" s="442">
        <f t="shared" si="5"/>
        <v>0.99502487562189057</v>
      </c>
      <c r="K78" s="488">
        <f>SUMIFS('Employee Leaves'!$G:$G,'Employee Leaves'!$A:$A,A78,'Employee Leaves'!$E:$E,"Maternity Leave")</f>
        <v>0</v>
      </c>
      <c r="L78" s="448">
        <f>SUMIFS('Employee Leaves'!$G:$G,'Employee Leaves'!$A:$A,A78,'Employee Leaves'!$E:$E,"Paternity Leave")</f>
        <v>0</v>
      </c>
      <c r="M78" s="448">
        <f>SUMIFS('Employee Leaves'!$G:$G,'Employee Leaves'!$A:$A,A78,'Employee Leaves'!$E:$E,"Sick")</f>
        <v>6</v>
      </c>
      <c r="N78" s="448">
        <f>COUNTIFS('Employee Leaves'!$A:$A,A78,'Employee Leaves'!$E:$E,$M$1)</f>
        <v>1</v>
      </c>
      <c r="O78" s="442">
        <f t="shared" si="6"/>
        <v>6.9950248756218905</v>
      </c>
      <c r="P78" s="445">
        <f>SUMIFS('Employee Leaves'!$G:$G,'Employee Leaves'!$A:$A,A78,'Employee Leaves'!$E:$E,"Others")</f>
        <v>0</v>
      </c>
      <c r="Q78" s="485">
        <f>SUMIFS('Employee Leaves'!$G:$G,'Employee Leaves'!$A:$A,A78)</f>
        <v>6</v>
      </c>
      <c r="R78" s="451"/>
      <c r="S78" s="439" t="str">
        <f t="shared" si="7"/>
        <v>-</v>
      </c>
      <c r="T78" s="238">
        <v>29.95</v>
      </c>
      <c r="U78" s="239">
        <f t="shared" si="8"/>
        <v>239.6</v>
      </c>
      <c r="V78" s="239">
        <f t="shared" si="9"/>
        <v>44.924999999999997</v>
      </c>
      <c r="W78" s="243" t="s">
        <v>168</v>
      </c>
      <c r="X78" s="241" t="s">
        <v>167</v>
      </c>
    </row>
    <row r="79" spans="1:24" ht="12.75">
      <c r="A79" s="288">
        <v>1006</v>
      </c>
      <c r="B79" s="288" t="s">
        <v>7</v>
      </c>
      <c r="C79" s="288" t="s">
        <v>12</v>
      </c>
      <c r="D79" s="288" t="s">
        <v>9</v>
      </c>
      <c r="E79" s="290">
        <v>43569</v>
      </c>
      <c r="F79" s="290">
        <v>43784</v>
      </c>
      <c r="G79" s="447" t="s">
        <v>13</v>
      </c>
      <c r="H79" s="448">
        <f>SUMIFS('Employee Leaves'!$G:$G,'Employee Leaves'!$A:$A,A79,'Employee Leaves'!$E:$E,"Holiday")</f>
        <v>0</v>
      </c>
      <c r="I79" s="448">
        <f>COUNTIFS('Employee Leaves'!$A:$A,A79,'Employee Leaves'!$E:$E,$H$1)</f>
        <v>0</v>
      </c>
      <c r="J79" s="442">
        <f t="shared" si="5"/>
        <v>0.99403578528827041</v>
      </c>
      <c r="K79" s="488">
        <f>SUMIFS('Employee Leaves'!$G:$G,'Employee Leaves'!$A:$A,A79,'Employee Leaves'!$E:$E,"Maternity Leave")</f>
        <v>0</v>
      </c>
      <c r="L79" s="448">
        <f>SUMIFS('Employee Leaves'!$G:$G,'Employee Leaves'!$A:$A,A79,'Employee Leaves'!$E:$E,"Paternity Leave")</f>
        <v>0</v>
      </c>
      <c r="M79" s="448">
        <f>SUMIFS('Employee Leaves'!$G:$G,'Employee Leaves'!$A:$A,A79,'Employee Leaves'!$E:$E,"Sick")</f>
        <v>0</v>
      </c>
      <c r="N79" s="448">
        <f>COUNTIFS('Employee Leaves'!$A:$A,A79,'Employee Leaves'!$E:$E,$M$1)</f>
        <v>0</v>
      </c>
      <c r="O79" s="442">
        <f t="shared" si="6"/>
        <v>0.99403578528827041</v>
      </c>
      <c r="P79" s="445">
        <f>SUMIFS('Employee Leaves'!$G:$G,'Employee Leaves'!$A:$A,A79,'Employee Leaves'!$E:$E,"Others")</f>
        <v>0</v>
      </c>
      <c r="Q79" s="485">
        <f>SUMIFS('Employee Leaves'!$G:$G,'Employee Leaves'!$A:$A,A79)</f>
        <v>0</v>
      </c>
      <c r="R79" s="451"/>
      <c r="S79" s="439">
        <f t="shared" si="7"/>
        <v>215</v>
      </c>
      <c r="T79" s="238">
        <v>44.03</v>
      </c>
      <c r="U79" s="239">
        <f t="shared" si="8"/>
        <v>352.24</v>
      </c>
      <c r="V79" s="239">
        <f t="shared" si="9"/>
        <v>66.045000000000002</v>
      </c>
      <c r="W79" s="243" t="s">
        <v>165</v>
      </c>
      <c r="X79" s="241" t="s">
        <v>166</v>
      </c>
    </row>
    <row r="80" spans="1:24" ht="12.75">
      <c r="A80" s="288">
        <v>1007</v>
      </c>
      <c r="B80" s="288" t="s">
        <v>7</v>
      </c>
      <c r="C80" s="288" t="s">
        <v>12</v>
      </c>
      <c r="D80" s="288" t="s">
        <v>9</v>
      </c>
      <c r="E80" s="290">
        <v>44655</v>
      </c>
      <c r="F80" s="290"/>
      <c r="G80" s="447"/>
      <c r="H80" s="448">
        <f>SUMIFS('Employee Leaves'!$G:$G,'Employee Leaves'!$A:$A,A80,'Employee Leaves'!$E:$E,"Holiday")</f>
        <v>0</v>
      </c>
      <c r="I80" s="448">
        <f>COUNTIFS('Employee Leaves'!$A:$A,A80,'Employee Leaves'!$E:$E,$H$1)</f>
        <v>0</v>
      </c>
      <c r="J80" s="442">
        <f t="shared" si="5"/>
        <v>0.99304865938430986</v>
      </c>
      <c r="K80" s="488">
        <f>SUMIFS('Employee Leaves'!$G:$G,'Employee Leaves'!$A:$A,A80,'Employee Leaves'!$E:$E,"Maternity Leave")</f>
        <v>0</v>
      </c>
      <c r="L80" s="448">
        <f>SUMIFS('Employee Leaves'!$G:$G,'Employee Leaves'!$A:$A,A80,'Employee Leaves'!$E:$E,"Paternity Leave")</f>
        <v>0</v>
      </c>
      <c r="M80" s="448">
        <f>SUMIFS('Employee Leaves'!$G:$G,'Employee Leaves'!$A:$A,A80,'Employee Leaves'!$E:$E,"Sick")</f>
        <v>0</v>
      </c>
      <c r="N80" s="448">
        <f>COUNTIFS('Employee Leaves'!$A:$A,A80,'Employee Leaves'!$E:$E,$M$1)</f>
        <v>0</v>
      </c>
      <c r="O80" s="442">
        <f t="shared" si="6"/>
        <v>0.99304865938430986</v>
      </c>
      <c r="P80" s="445">
        <f>SUMIFS('Employee Leaves'!$G:$G,'Employee Leaves'!$A:$A,A80,'Employee Leaves'!$E:$E,"Others")</f>
        <v>0</v>
      </c>
      <c r="Q80" s="485">
        <f>SUMIFS('Employee Leaves'!$G:$G,'Employee Leaves'!$A:$A,A80)</f>
        <v>0</v>
      </c>
      <c r="R80" s="451"/>
      <c r="S80" s="439" t="str">
        <f t="shared" si="7"/>
        <v>-</v>
      </c>
      <c r="T80" s="238">
        <v>44.03</v>
      </c>
      <c r="U80" s="239">
        <f t="shared" si="8"/>
        <v>352.24</v>
      </c>
      <c r="V80" s="239">
        <f t="shared" si="9"/>
        <v>66.045000000000002</v>
      </c>
      <c r="W80" s="243" t="s">
        <v>165</v>
      </c>
      <c r="X80" s="241" t="s">
        <v>166</v>
      </c>
    </row>
    <row r="81" spans="1:24" ht="12.75">
      <c r="A81" s="288">
        <v>1009</v>
      </c>
      <c r="B81" s="288" t="s">
        <v>7</v>
      </c>
      <c r="C81" s="288" t="s">
        <v>10</v>
      </c>
      <c r="D81" s="288" t="s">
        <v>9</v>
      </c>
      <c r="E81" s="290">
        <v>44501</v>
      </c>
      <c r="F81" s="290"/>
      <c r="G81" s="447"/>
      <c r="H81" s="448">
        <f>SUMIFS('Employee Leaves'!$G:$G,'Employee Leaves'!$A:$A,A81,'Employee Leaves'!$E:$E,"Holiday")</f>
        <v>0</v>
      </c>
      <c r="I81" s="448">
        <f>COUNTIFS('Employee Leaves'!$A:$A,A81,'Employee Leaves'!$E:$E,$H$1)</f>
        <v>0</v>
      </c>
      <c r="J81" s="442">
        <f t="shared" si="5"/>
        <v>0.99108027750247774</v>
      </c>
      <c r="K81" s="488">
        <f>SUMIFS('Employee Leaves'!$G:$G,'Employee Leaves'!$A:$A,A81,'Employee Leaves'!$E:$E,"Maternity Leave")</f>
        <v>0</v>
      </c>
      <c r="L81" s="448">
        <f>SUMIFS('Employee Leaves'!$G:$G,'Employee Leaves'!$A:$A,A81,'Employee Leaves'!$E:$E,"Paternity Leave")</f>
        <v>0</v>
      </c>
      <c r="M81" s="448">
        <f>SUMIFS('Employee Leaves'!$G:$G,'Employee Leaves'!$A:$A,A81,'Employee Leaves'!$E:$E,"Sick")</f>
        <v>0</v>
      </c>
      <c r="N81" s="448">
        <f>COUNTIFS('Employee Leaves'!$A:$A,A81,'Employee Leaves'!$E:$E,$M$1)</f>
        <v>0</v>
      </c>
      <c r="O81" s="442">
        <f t="shared" si="6"/>
        <v>0.99108027750247774</v>
      </c>
      <c r="P81" s="445">
        <f>SUMIFS('Employee Leaves'!$G:$G,'Employee Leaves'!$A:$A,A81,'Employee Leaves'!$E:$E,"Others")</f>
        <v>0</v>
      </c>
      <c r="Q81" s="485">
        <f>SUMIFS('Employee Leaves'!$G:$G,'Employee Leaves'!$A:$A,A81)</f>
        <v>0</v>
      </c>
      <c r="R81" s="451"/>
      <c r="S81" s="439" t="str">
        <f t="shared" si="7"/>
        <v>-</v>
      </c>
      <c r="T81" s="238">
        <v>34.35</v>
      </c>
      <c r="U81" s="239">
        <f t="shared" si="8"/>
        <v>274.8</v>
      </c>
      <c r="V81" s="239">
        <f t="shared" si="9"/>
        <v>51.525000000000006</v>
      </c>
      <c r="W81" s="240" t="s">
        <v>160</v>
      </c>
      <c r="X81" s="242" t="s">
        <v>156</v>
      </c>
    </row>
    <row r="82" spans="1:24" ht="12.75">
      <c r="A82" s="288">
        <v>1010</v>
      </c>
      <c r="B82" s="288" t="s">
        <v>7</v>
      </c>
      <c r="C82" s="288" t="s">
        <v>11</v>
      </c>
      <c r="D82" s="288" t="s">
        <v>9</v>
      </c>
      <c r="E82" s="290">
        <v>44291</v>
      </c>
      <c r="F82" s="290"/>
      <c r="G82" s="447"/>
      <c r="H82" s="448">
        <f>SUMIFS('Employee Leaves'!$G:$G,'Employee Leaves'!$A:$A,A82,'Employee Leaves'!$E:$E,"Holiday")</f>
        <v>0</v>
      </c>
      <c r="I82" s="448">
        <f>COUNTIFS('Employee Leaves'!$A:$A,A82,'Employee Leaves'!$E:$E,$H$1)</f>
        <v>0</v>
      </c>
      <c r="J82" s="442">
        <f t="shared" si="5"/>
        <v>0.99009900990099009</v>
      </c>
      <c r="K82" s="488">
        <f>SUMIFS('Employee Leaves'!$G:$G,'Employee Leaves'!$A:$A,A82,'Employee Leaves'!$E:$E,"Maternity Leave")</f>
        <v>0</v>
      </c>
      <c r="L82" s="448">
        <f>SUMIFS('Employee Leaves'!$G:$G,'Employee Leaves'!$A:$A,A82,'Employee Leaves'!$E:$E,"Paternity Leave")</f>
        <v>0</v>
      </c>
      <c r="M82" s="448">
        <f>SUMIFS('Employee Leaves'!$G:$G,'Employee Leaves'!$A:$A,A82,'Employee Leaves'!$E:$E,"Sick")</f>
        <v>0</v>
      </c>
      <c r="N82" s="448">
        <f>COUNTIFS('Employee Leaves'!$A:$A,A82,'Employee Leaves'!$E:$E,$M$1)</f>
        <v>0</v>
      </c>
      <c r="O82" s="442">
        <f t="shared" si="6"/>
        <v>0.99009900990099009</v>
      </c>
      <c r="P82" s="445">
        <f>SUMIFS('Employee Leaves'!$G:$G,'Employee Leaves'!$A:$A,A82,'Employee Leaves'!$E:$E,"Others")</f>
        <v>0</v>
      </c>
      <c r="Q82" s="485">
        <f>SUMIFS('Employee Leaves'!$G:$G,'Employee Leaves'!$A:$A,A82)</f>
        <v>0</v>
      </c>
      <c r="R82" s="451"/>
      <c r="S82" s="439" t="str">
        <f t="shared" si="7"/>
        <v>-</v>
      </c>
      <c r="T82" s="238">
        <v>29.95</v>
      </c>
      <c r="U82" s="239">
        <f t="shared" si="8"/>
        <v>239.6</v>
      </c>
      <c r="V82" s="239">
        <f t="shared" si="9"/>
        <v>44.924999999999997</v>
      </c>
      <c r="W82" s="243" t="s">
        <v>168</v>
      </c>
      <c r="X82" s="241" t="s">
        <v>167</v>
      </c>
    </row>
    <row r="83" spans="1:24" ht="12.75">
      <c r="A83" s="288">
        <v>1011</v>
      </c>
      <c r="B83" s="288" t="s">
        <v>7</v>
      </c>
      <c r="C83" s="288" t="s">
        <v>10</v>
      </c>
      <c r="D83" s="288" t="s">
        <v>9</v>
      </c>
      <c r="E83" s="290">
        <v>44354</v>
      </c>
      <c r="F83" s="290">
        <v>44441</v>
      </c>
      <c r="G83" s="447" t="s">
        <v>14</v>
      </c>
      <c r="H83" s="448">
        <f>SUMIFS('Employee Leaves'!$G:$G,'Employee Leaves'!$A:$A,A83,'Employee Leaves'!$E:$E,"Holiday")</f>
        <v>0</v>
      </c>
      <c r="I83" s="448">
        <f>COUNTIFS('Employee Leaves'!$A:$A,A83,'Employee Leaves'!$E:$E,$H$1)</f>
        <v>0</v>
      </c>
      <c r="J83" s="442">
        <f t="shared" si="5"/>
        <v>0.98911968348170132</v>
      </c>
      <c r="K83" s="488">
        <f>SUMIFS('Employee Leaves'!$G:$G,'Employee Leaves'!$A:$A,A83,'Employee Leaves'!$E:$E,"Maternity Leave")</f>
        <v>0</v>
      </c>
      <c r="L83" s="448">
        <f>SUMIFS('Employee Leaves'!$G:$G,'Employee Leaves'!$A:$A,A83,'Employee Leaves'!$E:$E,"Paternity Leave")</f>
        <v>0</v>
      </c>
      <c r="M83" s="448">
        <f>SUMIFS('Employee Leaves'!$G:$G,'Employee Leaves'!$A:$A,A83,'Employee Leaves'!$E:$E,"Sick")</f>
        <v>6</v>
      </c>
      <c r="N83" s="448">
        <f>COUNTIFS('Employee Leaves'!$A:$A,A83,'Employee Leaves'!$E:$E,$M$1)</f>
        <v>1</v>
      </c>
      <c r="O83" s="442">
        <f t="shared" si="6"/>
        <v>6.9891196834817011</v>
      </c>
      <c r="P83" s="445">
        <f>SUMIFS('Employee Leaves'!$G:$G,'Employee Leaves'!$A:$A,A83,'Employee Leaves'!$E:$E,"Others")</f>
        <v>0</v>
      </c>
      <c r="Q83" s="485">
        <f>SUMIFS('Employee Leaves'!$G:$G,'Employee Leaves'!$A:$A,A83)</f>
        <v>6</v>
      </c>
      <c r="R83" s="451"/>
      <c r="S83" s="439">
        <f t="shared" si="7"/>
        <v>87</v>
      </c>
      <c r="T83" s="238">
        <v>34.35</v>
      </c>
      <c r="U83" s="239">
        <f t="shared" si="8"/>
        <v>274.8</v>
      </c>
      <c r="V83" s="239">
        <f t="shared" si="9"/>
        <v>51.525000000000006</v>
      </c>
      <c r="W83" s="240" t="s">
        <v>157</v>
      </c>
      <c r="X83" s="242" t="s">
        <v>156</v>
      </c>
    </row>
    <row r="84" spans="1:24" ht="12.75">
      <c r="A84" s="288">
        <v>1013</v>
      </c>
      <c r="B84" s="288" t="s">
        <v>7</v>
      </c>
      <c r="C84" s="288" t="s">
        <v>11</v>
      </c>
      <c r="D84" s="288" t="s">
        <v>9</v>
      </c>
      <c r="E84" s="290">
        <v>44529</v>
      </c>
      <c r="F84" s="288"/>
      <c r="G84" s="447"/>
      <c r="H84" s="448">
        <f>SUMIFS('Employee Leaves'!$G:$G,'Employee Leaves'!$A:$A,A84,'Employee Leaves'!$E:$E,"Holiday")</f>
        <v>0</v>
      </c>
      <c r="I84" s="448">
        <f>COUNTIFS('Employee Leaves'!$A:$A,A84,'Employee Leaves'!$E:$E,$H$1)</f>
        <v>0</v>
      </c>
      <c r="J84" s="442">
        <f t="shared" si="5"/>
        <v>0.98716683119447191</v>
      </c>
      <c r="K84" s="488">
        <f>SUMIFS('Employee Leaves'!$G:$G,'Employee Leaves'!$A:$A,A84,'Employee Leaves'!$E:$E,"Maternity Leave")</f>
        <v>0</v>
      </c>
      <c r="L84" s="448">
        <f>SUMIFS('Employee Leaves'!$G:$G,'Employee Leaves'!$A:$A,A84,'Employee Leaves'!$E:$E,"Paternity Leave")</f>
        <v>0</v>
      </c>
      <c r="M84" s="448">
        <f>SUMIFS('Employee Leaves'!$G:$G,'Employee Leaves'!$A:$A,A84,'Employee Leaves'!$E:$E,"Sick")</f>
        <v>0</v>
      </c>
      <c r="N84" s="448">
        <f>COUNTIFS('Employee Leaves'!$A:$A,A84,'Employee Leaves'!$E:$E,$M$1)</f>
        <v>0</v>
      </c>
      <c r="O84" s="442">
        <f t="shared" si="6"/>
        <v>0.98716683119447191</v>
      </c>
      <c r="P84" s="445">
        <f>SUMIFS('Employee Leaves'!$G:$G,'Employee Leaves'!$A:$A,A84,'Employee Leaves'!$E:$E,"Others")</f>
        <v>0</v>
      </c>
      <c r="Q84" s="485">
        <f>SUMIFS('Employee Leaves'!$G:$G,'Employee Leaves'!$A:$A,A84)</f>
        <v>0</v>
      </c>
      <c r="R84" s="451"/>
      <c r="S84" s="439" t="str">
        <f t="shared" si="7"/>
        <v>-</v>
      </c>
      <c r="T84" s="238">
        <v>29.95</v>
      </c>
      <c r="U84" s="239">
        <f t="shared" si="8"/>
        <v>239.6</v>
      </c>
      <c r="V84" s="239">
        <f t="shared" si="9"/>
        <v>44.924999999999997</v>
      </c>
      <c r="W84" s="243" t="s">
        <v>168</v>
      </c>
      <c r="X84" s="241" t="s">
        <v>167</v>
      </c>
    </row>
    <row r="85" spans="1:24" ht="12.75">
      <c r="A85" s="288">
        <v>1014</v>
      </c>
      <c r="B85" s="288" t="s">
        <v>7</v>
      </c>
      <c r="C85" s="288" t="s">
        <v>11</v>
      </c>
      <c r="D85" s="288" t="s">
        <v>9</v>
      </c>
      <c r="E85" s="290">
        <v>44256</v>
      </c>
      <c r="F85" s="288"/>
      <c r="G85" s="447"/>
      <c r="H85" s="448">
        <f>SUMIFS('Employee Leaves'!$G:$G,'Employee Leaves'!$A:$A,A85,'Employee Leaves'!$E:$E,"Holiday")</f>
        <v>0</v>
      </c>
      <c r="I85" s="448">
        <f>COUNTIFS('Employee Leaves'!$A:$A,A85,'Employee Leaves'!$E:$E,$H$1)</f>
        <v>0</v>
      </c>
      <c r="J85" s="442">
        <f t="shared" si="5"/>
        <v>0.98619329388560162</v>
      </c>
      <c r="K85" s="488">
        <f>SUMIFS('Employee Leaves'!$G:$G,'Employee Leaves'!$A:$A,A85,'Employee Leaves'!$E:$E,"Maternity Leave")</f>
        <v>0</v>
      </c>
      <c r="L85" s="448">
        <f>SUMIFS('Employee Leaves'!$G:$G,'Employee Leaves'!$A:$A,A85,'Employee Leaves'!$E:$E,"Paternity Leave")</f>
        <v>0</v>
      </c>
      <c r="M85" s="448">
        <f>SUMIFS('Employee Leaves'!$G:$G,'Employee Leaves'!$A:$A,A85,'Employee Leaves'!$E:$E,"Sick")</f>
        <v>3</v>
      </c>
      <c r="N85" s="448">
        <f>COUNTIFS('Employee Leaves'!$A:$A,A85,'Employee Leaves'!$E:$E,$M$1)</f>
        <v>1</v>
      </c>
      <c r="O85" s="442">
        <f t="shared" si="6"/>
        <v>3.9861932938856017</v>
      </c>
      <c r="P85" s="445">
        <f>SUMIFS('Employee Leaves'!$G:$G,'Employee Leaves'!$A:$A,A85,'Employee Leaves'!$E:$E,"Others")</f>
        <v>0</v>
      </c>
      <c r="Q85" s="485">
        <f>SUMIFS('Employee Leaves'!$G:$G,'Employee Leaves'!$A:$A,A85)</f>
        <v>3</v>
      </c>
      <c r="R85" s="451"/>
      <c r="S85" s="439" t="str">
        <f t="shared" si="7"/>
        <v>-</v>
      </c>
      <c r="T85" s="238">
        <v>29.95</v>
      </c>
      <c r="U85" s="239">
        <f t="shared" si="8"/>
        <v>239.6</v>
      </c>
      <c r="V85" s="239">
        <f t="shared" si="9"/>
        <v>44.924999999999997</v>
      </c>
      <c r="W85" s="243" t="s">
        <v>168</v>
      </c>
      <c r="X85" s="241" t="s">
        <v>167</v>
      </c>
    </row>
    <row r="86" spans="1:24" ht="12.75">
      <c r="A86" s="288">
        <v>1015</v>
      </c>
      <c r="B86" s="288" t="s">
        <v>7</v>
      </c>
      <c r="C86" s="288" t="s">
        <v>10</v>
      </c>
      <c r="D86" s="288" t="s">
        <v>9</v>
      </c>
      <c r="E86" s="290">
        <v>43617</v>
      </c>
      <c r="F86" s="291"/>
      <c r="G86" s="447"/>
      <c r="H86" s="448">
        <f>SUMIFS('Employee Leaves'!$G:$G,'Employee Leaves'!$A:$A,A86,'Employee Leaves'!$E:$E,"Holiday")</f>
        <v>0</v>
      </c>
      <c r="I86" s="448">
        <f>COUNTIFS('Employee Leaves'!$A:$A,A86,'Employee Leaves'!$E:$E,$H$1)</f>
        <v>0</v>
      </c>
      <c r="J86" s="442">
        <f t="shared" si="5"/>
        <v>0.98522167487684731</v>
      </c>
      <c r="K86" s="488">
        <f>SUMIFS('Employee Leaves'!$G:$G,'Employee Leaves'!$A:$A,A86,'Employee Leaves'!$E:$E,"Maternity Leave")</f>
        <v>0</v>
      </c>
      <c r="L86" s="448">
        <f>SUMIFS('Employee Leaves'!$G:$G,'Employee Leaves'!$A:$A,A86,'Employee Leaves'!$E:$E,"Paternity Leave")</f>
        <v>0</v>
      </c>
      <c r="M86" s="448">
        <f>SUMIFS('Employee Leaves'!$G:$G,'Employee Leaves'!$A:$A,A86,'Employee Leaves'!$E:$E,"Sick")</f>
        <v>0</v>
      </c>
      <c r="N86" s="448">
        <f>COUNTIFS('Employee Leaves'!$A:$A,A86,'Employee Leaves'!$E:$E,$M$1)</f>
        <v>0</v>
      </c>
      <c r="O86" s="442">
        <f t="shared" si="6"/>
        <v>0.98522167487684731</v>
      </c>
      <c r="P86" s="445">
        <f>SUMIFS('Employee Leaves'!$G:$G,'Employee Leaves'!$A:$A,A86,'Employee Leaves'!$E:$E,"Others")</f>
        <v>3</v>
      </c>
      <c r="Q86" s="485">
        <f>SUMIFS('Employee Leaves'!$G:$G,'Employee Leaves'!$A:$A,A86)</f>
        <v>3</v>
      </c>
      <c r="R86" s="451"/>
      <c r="S86" s="439" t="str">
        <f t="shared" si="7"/>
        <v>-</v>
      </c>
      <c r="T86" s="238">
        <v>34.35</v>
      </c>
      <c r="U86" s="239">
        <f t="shared" si="8"/>
        <v>274.8</v>
      </c>
      <c r="V86" s="239">
        <f t="shared" si="9"/>
        <v>51.525000000000006</v>
      </c>
      <c r="W86" s="240" t="s">
        <v>161</v>
      </c>
      <c r="X86" s="242" t="s">
        <v>156</v>
      </c>
    </row>
    <row r="87" spans="1:24" ht="12.75">
      <c r="A87" s="288">
        <v>1017</v>
      </c>
      <c r="B87" s="288" t="s">
        <v>7</v>
      </c>
      <c r="C87" s="288" t="s">
        <v>12</v>
      </c>
      <c r="D87" s="288" t="s">
        <v>9</v>
      </c>
      <c r="E87" s="290">
        <v>43955</v>
      </c>
      <c r="F87" s="288"/>
      <c r="G87" s="447"/>
      <c r="H87" s="448">
        <f>SUMIFS('Employee Leaves'!$G:$G,'Employee Leaves'!$A:$A,A87,'Employee Leaves'!$E:$E,"Holiday")</f>
        <v>0</v>
      </c>
      <c r="I87" s="448">
        <f>COUNTIFS('Employee Leaves'!$A:$A,A87,'Employee Leaves'!$E:$E,$H$1)</f>
        <v>0</v>
      </c>
      <c r="J87" s="442">
        <f t="shared" si="5"/>
        <v>0.98328416912487704</v>
      </c>
      <c r="K87" s="488">
        <f>SUMIFS('Employee Leaves'!$G:$G,'Employee Leaves'!$A:$A,A87,'Employee Leaves'!$E:$E,"Maternity Leave")</f>
        <v>0</v>
      </c>
      <c r="L87" s="448">
        <f>SUMIFS('Employee Leaves'!$G:$G,'Employee Leaves'!$A:$A,A87,'Employee Leaves'!$E:$E,"Paternity Leave")</f>
        <v>0</v>
      </c>
      <c r="M87" s="448">
        <f>SUMIFS('Employee Leaves'!$G:$G,'Employee Leaves'!$A:$A,A87,'Employee Leaves'!$E:$E,"Sick")</f>
        <v>0</v>
      </c>
      <c r="N87" s="448">
        <f>COUNTIFS('Employee Leaves'!$A:$A,A87,'Employee Leaves'!$E:$E,$M$1)</f>
        <v>0</v>
      </c>
      <c r="O87" s="442">
        <f t="shared" si="6"/>
        <v>0.98328416912487704</v>
      </c>
      <c r="P87" s="445">
        <f>SUMIFS('Employee Leaves'!$G:$G,'Employee Leaves'!$A:$A,A87,'Employee Leaves'!$E:$E,"Others")</f>
        <v>0</v>
      </c>
      <c r="Q87" s="485">
        <f>SUMIFS('Employee Leaves'!$G:$G,'Employee Leaves'!$A:$A,A87)</f>
        <v>0</v>
      </c>
      <c r="R87" s="451"/>
      <c r="S87" s="439" t="str">
        <f t="shared" si="7"/>
        <v>-</v>
      </c>
      <c r="T87" s="238">
        <v>44.03</v>
      </c>
      <c r="U87" s="239">
        <f t="shared" si="8"/>
        <v>352.24</v>
      </c>
      <c r="V87" s="239">
        <f t="shared" si="9"/>
        <v>66.045000000000002</v>
      </c>
      <c r="W87" s="243" t="s">
        <v>165</v>
      </c>
      <c r="X87" s="241" t="s">
        <v>166</v>
      </c>
    </row>
    <row r="88" spans="1:24" ht="12.75">
      <c r="A88" s="288">
        <v>1018</v>
      </c>
      <c r="B88" s="288" t="s">
        <v>7</v>
      </c>
      <c r="C88" s="288" t="s">
        <v>10</v>
      </c>
      <c r="D88" s="288" t="s">
        <v>9</v>
      </c>
      <c r="E88" s="290">
        <v>43961</v>
      </c>
      <c r="F88" s="288"/>
      <c r="G88" s="447"/>
      <c r="H88" s="448">
        <f>SUMIFS('Employee Leaves'!$G:$G,'Employee Leaves'!$A:$A,A88,'Employee Leaves'!$E:$E,"Holiday")</f>
        <v>0</v>
      </c>
      <c r="I88" s="448">
        <f>COUNTIFS('Employee Leaves'!$A:$A,A88,'Employee Leaves'!$E:$E,$H$1)</f>
        <v>0</v>
      </c>
      <c r="J88" s="442">
        <f t="shared" si="5"/>
        <v>0.98231827111984282</v>
      </c>
      <c r="K88" s="488">
        <f>SUMIFS('Employee Leaves'!$G:$G,'Employee Leaves'!$A:$A,A88,'Employee Leaves'!$E:$E,"Maternity Leave")</f>
        <v>0</v>
      </c>
      <c r="L88" s="448">
        <f>SUMIFS('Employee Leaves'!$G:$G,'Employee Leaves'!$A:$A,A88,'Employee Leaves'!$E:$E,"Paternity Leave")</f>
        <v>0</v>
      </c>
      <c r="M88" s="448">
        <f>SUMIFS('Employee Leaves'!$G:$G,'Employee Leaves'!$A:$A,A88,'Employee Leaves'!$E:$E,"Sick")</f>
        <v>6</v>
      </c>
      <c r="N88" s="448">
        <f>COUNTIFS('Employee Leaves'!$A:$A,A88,'Employee Leaves'!$E:$E,$M$1)</f>
        <v>1</v>
      </c>
      <c r="O88" s="442">
        <f t="shared" si="6"/>
        <v>6.9823182711198424</v>
      </c>
      <c r="P88" s="445">
        <f>SUMIFS('Employee Leaves'!$G:$G,'Employee Leaves'!$A:$A,A88,'Employee Leaves'!$E:$E,"Others")</f>
        <v>0</v>
      </c>
      <c r="Q88" s="485">
        <f>SUMIFS('Employee Leaves'!$G:$G,'Employee Leaves'!$A:$A,A88)</f>
        <v>6</v>
      </c>
      <c r="R88" s="451"/>
      <c r="S88" s="439" t="str">
        <f t="shared" si="7"/>
        <v>-</v>
      </c>
      <c r="T88" s="238">
        <v>34.35</v>
      </c>
      <c r="U88" s="239">
        <f t="shared" si="8"/>
        <v>274.8</v>
      </c>
      <c r="V88" s="239">
        <f t="shared" si="9"/>
        <v>51.525000000000006</v>
      </c>
      <c r="W88" s="240" t="s">
        <v>162</v>
      </c>
      <c r="X88" s="242" t="s">
        <v>156</v>
      </c>
    </row>
    <row r="89" spans="1:24" ht="12.75">
      <c r="A89" s="288">
        <v>1019</v>
      </c>
      <c r="B89" s="288" t="s">
        <v>7</v>
      </c>
      <c r="C89" s="288" t="s">
        <v>12</v>
      </c>
      <c r="D89" s="288" t="s">
        <v>9</v>
      </c>
      <c r="E89" s="290">
        <v>44013</v>
      </c>
      <c r="F89" s="291"/>
      <c r="G89" s="447"/>
      <c r="H89" s="448">
        <f>SUMIFS('Employee Leaves'!$G:$G,'Employee Leaves'!$A:$A,A89,'Employee Leaves'!$E:$E,"Holiday")</f>
        <v>0</v>
      </c>
      <c r="I89" s="448">
        <f>COUNTIFS('Employee Leaves'!$A:$A,A89,'Employee Leaves'!$E:$E,$H$1)</f>
        <v>0</v>
      </c>
      <c r="J89" s="442">
        <f t="shared" si="5"/>
        <v>0.98135426889106969</v>
      </c>
      <c r="K89" s="488">
        <f>SUMIFS('Employee Leaves'!$G:$G,'Employee Leaves'!$A:$A,A89,'Employee Leaves'!$E:$E,"Maternity Leave")</f>
        <v>0</v>
      </c>
      <c r="L89" s="448">
        <f>SUMIFS('Employee Leaves'!$G:$G,'Employee Leaves'!$A:$A,A89,'Employee Leaves'!$E:$E,"Paternity Leave")</f>
        <v>0</v>
      </c>
      <c r="M89" s="448">
        <f>SUMIFS('Employee Leaves'!$G:$G,'Employee Leaves'!$A:$A,A89,'Employee Leaves'!$E:$E,"Sick")</f>
        <v>0</v>
      </c>
      <c r="N89" s="448">
        <f>COUNTIFS('Employee Leaves'!$A:$A,A89,'Employee Leaves'!$E:$E,$M$1)</f>
        <v>0</v>
      </c>
      <c r="O89" s="442">
        <f t="shared" si="6"/>
        <v>0.98135426889106969</v>
      </c>
      <c r="P89" s="445">
        <f>SUMIFS('Employee Leaves'!$G:$G,'Employee Leaves'!$A:$A,A89,'Employee Leaves'!$E:$E,"Others")</f>
        <v>0</v>
      </c>
      <c r="Q89" s="485">
        <f>SUMIFS('Employee Leaves'!$G:$G,'Employee Leaves'!$A:$A,A89)</f>
        <v>0</v>
      </c>
      <c r="R89" s="451"/>
      <c r="S89" s="439" t="str">
        <f t="shared" si="7"/>
        <v>-</v>
      </c>
      <c r="T89" s="238">
        <v>44.03</v>
      </c>
      <c r="U89" s="239">
        <f t="shared" si="8"/>
        <v>352.24</v>
      </c>
      <c r="V89" s="239">
        <f t="shared" si="9"/>
        <v>66.045000000000002</v>
      </c>
      <c r="W89" s="243" t="s">
        <v>165</v>
      </c>
      <c r="X89" s="241" t="s">
        <v>166</v>
      </c>
    </row>
    <row r="90" spans="1:24" ht="12.75">
      <c r="A90" s="288">
        <v>1020</v>
      </c>
      <c r="B90" s="288" t="s">
        <v>7</v>
      </c>
      <c r="C90" s="288" t="s">
        <v>8</v>
      </c>
      <c r="D90" s="288" t="s">
        <v>9</v>
      </c>
      <c r="E90" s="290">
        <v>44256</v>
      </c>
      <c r="F90" s="288"/>
      <c r="G90" s="447"/>
      <c r="H90" s="448">
        <f>SUMIFS('Employee Leaves'!$G:$G,'Employee Leaves'!$A:$A,A90,'Employee Leaves'!$E:$E,"Holiday")</f>
        <v>0</v>
      </c>
      <c r="I90" s="448">
        <f>COUNTIFS('Employee Leaves'!$A:$A,A90,'Employee Leaves'!$E:$E,$H$1)</f>
        <v>0</v>
      </c>
      <c r="J90" s="442">
        <f t="shared" si="5"/>
        <v>0.98039215686274506</v>
      </c>
      <c r="K90" s="488">
        <f>SUMIFS('Employee Leaves'!$G:$G,'Employee Leaves'!$A:$A,A90,'Employee Leaves'!$E:$E,"Maternity Leave")</f>
        <v>0</v>
      </c>
      <c r="L90" s="448">
        <f>SUMIFS('Employee Leaves'!$G:$G,'Employee Leaves'!$A:$A,A90,'Employee Leaves'!$E:$E,"Paternity Leave")</f>
        <v>0</v>
      </c>
      <c r="M90" s="448">
        <f>SUMIFS('Employee Leaves'!$G:$G,'Employee Leaves'!$A:$A,A90,'Employee Leaves'!$E:$E,"Sick")</f>
        <v>10</v>
      </c>
      <c r="N90" s="448">
        <f>COUNTIFS('Employee Leaves'!$A:$A,A90,'Employee Leaves'!$E:$E,$M$1)</f>
        <v>2</v>
      </c>
      <c r="O90" s="442">
        <f t="shared" si="6"/>
        <v>10.980392156862745</v>
      </c>
      <c r="P90" s="445">
        <f>SUMIFS('Employee Leaves'!$G:$G,'Employee Leaves'!$A:$A,A90,'Employee Leaves'!$E:$E,"Others")</f>
        <v>0</v>
      </c>
      <c r="Q90" s="485">
        <f>SUMIFS('Employee Leaves'!$G:$G,'Employee Leaves'!$A:$A,A90)</f>
        <v>10</v>
      </c>
      <c r="R90" s="451"/>
      <c r="S90" s="439" t="str">
        <f t="shared" si="7"/>
        <v>-</v>
      </c>
      <c r="T90" s="238">
        <v>35.9</v>
      </c>
      <c r="U90" s="239">
        <f t="shared" si="8"/>
        <v>287.2</v>
      </c>
      <c r="V90" s="239">
        <f t="shared" si="9"/>
        <v>53.849999999999994</v>
      </c>
      <c r="W90" s="240" t="s">
        <v>155</v>
      </c>
      <c r="X90" s="241" t="s">
        <v>154</v>
      </c>
    </row>
    <row r="91" spans="1:24" ht="12.75">
      <c r="A91" s="288">
        <v>1021</v>
      </c>
      <c r="B91" s="288" t="s">
        <v>7</v>
      </c>
      <c r="C91" s="288" t="s">
        <v>10</v>
      </c>
      <c r="D91" s="288" t="s">
        <v>9</v>
      </c>
      <c r="E91" s="290">
        <v>44256</v>
      </c>
      <c r="F91" s="291"/>
      <c r="G91" s="447"/>
      <c r="H91" s="448">
        <f>SUMIFS('Employee Leaves'!$G:$G,'Employee Leaves'!$A:$A,A91,'Employee Leaves'!$E:$E,"Holiday")</f>
        <v>0</v>
      </c>
      <c r="I91" s="448">
        <f>COUNTIFS('Employee Leaves'!$A:$A,A91,'Employee Leaves'!$E:$E,$H$1)</f>
        <v>0</v>
      </c>
      <c r="J91" s="442">
        <f t="shared" si="5"/>
        <v>0.97943192948090108</v>
      </c>
      <c r="K91" s="488">
        <f>SUMIFS('Employee Leaves'!$G:$G,'Employee Leaves'!$A:$A,A91,'Employee Leaves'!$E:$E,"Maternity Leave")</f>
        <v>0</v>
      </c>
      <c r="L91" s="448">
        <f>SUMIFS('Employee Leaves'!$G:$G,'Employee Leaves'!$A:$A,A91,'Employee Leaves'!$E:$E,"Paternity Leave")</f>
        <v>0</v>
      </c>
      <c r="M91" s="448">
        <f>SUMIFS('Employee Leaves'!$G:$G,'Employee Leaves'!$A:$A,A91,'Employee Leaves'!$E:$E,"Sick")</f>
        <v>0</v>
      </c>
      <c r="N91" s="448">
        <f>COUNTIFS('Employee Leaves'!$A:$A,A91,'Employee Leaves'!$E:$E,$M$1)</f>
        <v>0</v>
      </c>
      <c r="O91" s="442">
        <f t="shared" si="6"/>
        <v>0.97943192948090108</v>
      </c>
      <c r="P91" s="445">
        <f>SUMIFS('Employee Leaves'!$G:$G,'Employee Leaves'!$A:$A,A91,'Employee Leaves'!$E:$E,"Others")</f>
        <v>0</v>
      </c>
      <c r="Q91" s="485">
        <f>SUMIFS('Employee Leaves'!$G:$G,'Employee Leaves'!$A:$A,A91)</f>
        <v>0</v>
      </c>
      <c r="R91" s="451"/>
      <c r="S91" s="439" t="str">
        <f t="shared" si="7"/>
        <v>-</v>
      </c>
      <c r="T91" s="238">
        <v>34.35</v>
      </c>
      <c r="U91" s="239">
        <f t="shared" si="8"/>
        <v>274.8</v>
      </c>
      <c r="V91" s="239">
        <f t="shared" si="9"/>
        <v>51.525000000000006</v>
      </c>
      <c r="W91" s="240" t="s">
        <v>163</v>
      </c>
      <c r="X91" s="242" t="s">
        <v>156</v>
      </c>
    </row>
    <row r="92" spans="1:24" ht="12.75">
      <c r="A92" s="288">
        <v>1022</v>
      </c>
      <c r="B92" s="288" t="s">
        <v>7</v>
      </c>
      <c r="C92" s="288" t="s">
        <v>11</v>
      </c>
      <c r="D92" s="288" t="s">
        <v>9</v>
      </c>
      <c r="E92" s="290">
        <v>44495</v>
      </c>
      <c r="F92" s="288"/>
      <c r="G92" s="447"/>
      <c r="H92" s="448">
        <f>SUMIFS('Employee Leaves'!$G:$G,'Employee Leaves'!$A:$A,A92,'Employee Leaves'!$E:$E,"Holiday")</f>
        <v>0</v>
      </c>
      <c r="I92" s="448">
        <f>COUNTIFS('Employee Leaves'!$A:$A,A92,'Employee Leaves'!$E:$E,$H$1)</f>
        <v>0</v>
      </c>
      <c r="J92" s="442">
        <f t="shared" si="5"/>
        <v>0.97847358121330719</v>
      </c>
      <c r="K92" s="488">
        <f>SUMIFS('Employee Leaves'!$G:$G,'Employee Leaves'!$A:$A,A92,'Employee Leaves'!$E:$E,"Maternity Leave")</f>
        <v>0</v>
      </c>
      <c r="L92" s="448">
        <f>SUMIFS('Employee Leaves'!$G:$G,'Employee Leaves'!$A:$A,A92,'Employee Leaves'!$E:$E,"Paternity Leave")</f>
        <v>0</v>
      </c>
      <c r="M92" s="448">
        <f>SUMIFS('Employee Leaves'!$G:$G,'Employee Leaves'!$A:$A,A92,'Employee Leaves'!$E:$E,"Sick")</f>
        <v>0</v>
      </c>
      <c r="N92" s="448">
        <f>COUNTIFS('Employee Leaves'!$A:$A,A92,'Employee Leaves'!$E:$E,$M$1)</f>
        <v>0</v>
      </c>
      <c r="O92" s="442">
        <f t="shared" si="6"/>
        <v>0.97847358121330719</v>
      </c>
      <c r="P92" s="445">
        <f>SUMIFS('Employee Leaves'!$G:$G,'Employee Leaves'!$A:$A,A92,'Employee Leaves'!$E:$E,"Others")</f>
        <v>0</v>
      </c>
      <c r="Q92" s="485">
        <f>SUMIFS('Employee Leaves'!$G:$G,'Employee Leaves'!$A:$A,A92)</f>
        <v>0</v>
      </c>
      <c r="R92" s="451"/>
      <c r="S92" s="439" t="str">
        <f t="shared" si="7"/>
        <v>-</v>
      </c>
      <c r="T92" s="238">
        <v>29.95</v>
      </c>
      <c r="U92" s="239">
        <f t="shared" si="8"/>
        <v>239.6</v>
      </c>
      <c r="V92" s="239">
        <f t="shared" si="9"/>
        <v>44.924999999999997</v>
      </c>
      <c r="W92" s="243" t="s">
        <v>168</v>
      </c>
      <c r="X92" s="241" t="s">
        <v>167</v>
      </c>
    </row>
    <row r="93" spans="1:24" ht="12.75">
      <c r="A93" s="288">
        <v>1023</v>
      </c>
      <c r="B93" s="288" t="s">
        <v>7</v>
      </c>
      <c r="C93" s="288" t="s">
        <v>10</v>
      </c>
      <c r="D93" s="288" t="s">
        <v>9</v>
      </c>
      <c r="E93" s="290">
        <v>44571</v>
      </c>
      <c r="F93" s="288"/>
      <c r="G93" s="447"/>
      <c r="H93" s="448">
        <f>SUMIFS('Employee Leaves'!$G:$G,'Employee Leaves'!$A:$A,A93,'Employee Leaves'!$E:$E,"Holiday")</f>
        <v>0</v>
      </c>
      <c r="I93" s="448">
        <f>COUNTIFS('Employee Leaves'!$A:$A,A93,'Employee Leaves'!$E:$E,$H$1)</f>
        <v>0</v>
      </c>
      <c r="J93" s="442">
        <f t="shared" si="5"/>
        <v>0.97751710654936463</v>
      </c>
      <c r="K93" s="488">
        <f>SUMIFS('Employee Leaves'!$G:$G,'Employee Leaves'!$A:$A,A93,'Employee Leaves'!$E:$E,"Maternity Leave")</f>
        <v>0</v>
      </c>
      <c r="L93" s="448">
        <f>SUMIFS('Employee Leaves'!$G:$G,'Employee Leaves'!$A:$A,A93,'Employee Leaves'!$E:$E,"Paternity Leave")</f>
        <v>0</v>
      </c>
      <c r="M93" s="448">
        <f>SUMIFS('Employee Leaves'!$G:$G,'Employee Leaves'!$A:$A,A93,'Employee Leaves'!$E:$E,"Sick")</f>
        <v>6</v>
      </c>
      <c r="N93" s="448">
        <f>COUNTIFS('Employee Leaves'!$A:$A,A93,'Employee Leaves'!$E:$E,$M$1)</f>
        <v>1</v>
      </c>
      <c r="O93" s="442">
        <f t="shared" si="6"/>
        <v>6.9775171065493646</v>
      </c>
      <c r="P93" s="445">
        <f>SUMIFS('Employee Leaves'!$G:$G,'Employee Leaves'!$A:$A,A93,'Employee Leaves'!$E:$E,"Others")</f>
        <v>0</v>
      </c>
      <c r="Q93" s="485">
        <f>SUMIFS('Employee Leaves'!$G:$G,'Employee Leaves'!$A:$A,A93)</f>
        <v>6</v>
      </c>
      <c r="R93" s="451"/>
      <c r="S93" s="439" t="str">
        <f t="shared" si="7"/>
        <v>-</v>
      </c>
      <c r="T93" s="238">
        <v>34.35</v>
      </c>
      <c r="U93" s="239">
        <f t="shared" si="8"/>
        <v>274.8</v>
      </c>
      <c r="V93" s="239">
        <f t="shared" si="9"/>
        <v>51.525000000000006</v>
      </c>
      <c r="W93" s="240" t="s">
        <v>164</v>
      </c>
      <c r="X93" s="242" t="s">
        <v>156</v>
      </c>
    </row>
    <row r="94" spans="1:24" ht="12.75">
      <c r="A94" s="288">
        <v>1024</v>
      </c>
      <c r="B94" s="288" t="s">
        <v>7</v>
      </c>
      <c r="C94" s="288" t="s">
        <v>11</v>
      </c>
      <c r="D94" s="288" t="s">
        <v>9</v>
      </c>
      <c r="E94" s="290">
        <v>44593</v>
      </c>
      <c r="F94" s="291"/>
      <c r="G94" s="447"/>
      <c r="H94" s="448">
        <f>SUMIFS('Employee Leaves'!$G:$G,'Employee Leaves'!$A:$A,A94,'Employee Leaves'!$E:$E,"Holiday")</f>
        <v>0</v>
      </c>
      <c r="I94" s="448">
        <f>COUNTIFS('Employee Leaves'!$A:$A,A94,'Employee Leaves'!$E:$E,$H$1)</f>
        <v>0</v>
      </c>
      <c r="J94" s="442">
        <f t="shared" si="5"/>
        <v>0.9765625</v>
      </c>
      <c r="K94" s="488">
        <f>SUMIFS('Employee Leaves'!$G:$G,'Employee Leaves'!$A:$A,A94,'Employee Leaves'!$E:$E,"Maternity Leave")</f>
        <v>0</v>
      </c>
      <c r="L94" s="448">
        <f>SUMIFS('Employee Leaves'!$G:$G,'Employee Leaves'!$A:$A,A94,'Employee Leaves'!$E:$E,"Paternity Leave")</f>
        <v>0</v>
      </c>
      <c r="M94" s="448">
        <f>SUMIFS('Employee Leaves'!$G:$G,'Employee Leaves'!$A:$A,A94,'Employee Leaves'!$E:$E,"Sick")</f>
        <v>0</v>
      </c>
      <c r="N94" s="448">
        <f>COUNTIFS('Employee Leaves'!$A:$A,A94,'Employee Leaves'!$E:$E,$M$1)</f>
        <v>0</v>
      </c>
      <c r="O94" s="442">
        <f t="shared" si="6"/>
        <v>0.9765625</v>
      </c>
      <c r="P94" s="445">
        <f>SUMIFS('Employee Leaves'!$G:$G,'Employee Leaves'!$A:$A,A94,'Employee Leaves'!$E:$E,"Others")</f>
        <v>0</v>
      </c>
      <c r="Q94" s="485">
        <f>SUMIFS('Employee Leaves'!$G:$G,'Employee Leaves'!$A:$A,A94)</f>
        <v>0</v>
      </c>
      <c r="R94" s="451"/>
      <c r="S94" s="439" t="str">
        <f t="shared" si="7"/>
        <v>-</v>
      </c>
      <c r="T94" s="238">
        <v>29.95</v>
      </c>
      <c r="U94" s="239">
        <f t="shared" si="8"/>
        <v>239.6</v>
      </c>
      <c r="V94" s="239">
        <f t="shared" si="9"/>
        <v>44.924999999999997</v>
      </c>
      <c r="W94" s="243" t="s">
        <v>168</v>
      </c>
      <c r="X94" s="241" t="s">
        <v>167</v>
      </c>
    </row>
    <row r="95" spans="1:24" ht="12.75">
      <c r="A95" s="288">
        <v>2002</v>
      </c>
      <c r="B95" s="288" t="s">
        <v>15</v>
      </c>
      <c r="C95" s="288" t="s">
        <v>15</v>
      </c>
      <c r="D95" s="288" t="s">
        <v>9</v>
      </c>
      <c r="E95" s="290">
        <v>44501</v>
      </c>
      <c r="F95" s="288"/>
      <c r="G95" s="447"/>
      <c r="H95" s="448">
        <f>SUMIFS('Employee Leaves'!$G:$G,'Employee Leaves'!$A:$A,A95,'Employee Leaves'!$E:$E,"Holiday")</f>
        <v>0</v>
      </c>
      <c r="I95" s="448">
        <f>COUNTIFS('Employee Leaves'!$A:$A,A95,'Employee Leaves'!$E:$E,$H$1)</f>
        <v>0</v>
      </c>
      <c r="J95" s="442">
        <f t="shared" si="5"/>
        <v>0.49950049950049952</v>
      </c>
      <c r="K95" s="488">
        <f>SUMIFS('Employee Leaves'!$G:$G,'Employee Leaves'!$A:$A,A95,'Employee Leaves'!$E:$E,"Maternity Leave")</f>
        <v>0</v>
      </c>
      <c r="L95" s="448">
        <f>SUMIFS('Employee Leaves'!$G:$G,'Employee Leaves'!$A:$A,A95,'Employee Leaves'!$E:$E,"Paternity Leave")</f>
        <v>0</v>
      </c>
      <c r="M95" s="448">
        <f>SUMIFS('Employee Leaves'!$G:$G,'Employee Leaves'!$A:$A,A95,'Employee Leaves'!$E:$E,"Sick")</f>
        <v>0</v>
      </c>
      <c r="N95" s="448">
        <f>COUNTIFS('Employee Leaves'!$A:$A,A95,'Employee Leaves'!$E:$E,$M$1)</f>
        <v>0</v>
      </c>
      <c r="O95" s="442">
        <f t="shared" si="6"/>
        <v>0.49950049950049952</v>
      </c>
      <c r="P95" s="445">
        <f>SUMIFS('Employee Leaves'!$G:$G,'Employee Leaves'!$A:$A,A95,'Employee Leaves'!$E:$E,"Others")</f>
        <v>0</v>
      </c>
      <c r="Q95" s="485">
        <f>SUMIFS('Employee Leaves'!$G:$G,'Employee Leaves'!$A:$A,A95)</f>
        <v>0</v>
      </c>
      <c r="R95" s="451"/>
      <c r="S95" s="439" t="str">
        <f t="shared" si="7"/>
        <v>-</v>
      </c>
      <c r="T95" s="238">
        <v>14.22</v>
      </c>
      <c r="U95" s="239">
        <f t="shared" si="8"/>
        <v>113.76</v>
      </c>
      <c r="V95" s="239">
        <f t="shared" si="9"/>
        <v>21.330000000000002</v>
      </c>
      <c r="W95" s="243" t="s">
        <v>183</v>
      </c>
      <c r="X95" s="241" t="s">
        <v>182</v>
      </c>
    </row>
    <row r="96" spans="1:24" ht="12.75">
      <c r="A96" s="288">
        <v>2003</v>
      </c>
      <c r="B96" s="288" t="s">
        <v>15</v>
      </c>
      <c r="C96" s="288" t="s">
        <v>15</v>
      </c>
      <c r="D96" s="288" t="s">
        <v>16</v>
      </c>
      <c r="E96" s="290">
        <v>44059</v>
      </c>
      <c r="F96" s="288"/>
      <c r="G96" s="447"/>
      <c r="H96" s="448">
        <f>SUMIFS('Employee Leaves'!$G:$G,'Employee Leaves'!$A:$A,A96,'Employee Leaves'!$E:$E,"Holiday")</f>
        <v>0</v>
      </c>
      <c r="I96" s="448">
        <f>COUNTIFS('Employee Leaves'!$A:$A,A96,'Employee Leaves'!$E:$E,$H$1)</f>
        <v>0</v>
      </c>
      <c r="J96" s="442">
        <f t="shared" si="5"/>
        <v>0.49925112331502747</v>
      </c>
      <c r="K96" s="488">
        <f>SUMIFS('Employee Leaves'!$G:$G,'Employee Leaves'!$A:$A,A96,'Employee Leaves'!$E:$E,"Maternity Leave")</f>
        <v>55</v>
      </c>
      <c r="L96" s="448">
        <f>SUMIFS('Employee Leaves'!$G:$G,'Employee Leaves'!$A:$A,A96,'Employee Leaves'!$E:$E,"Paternity Leave")</f>
        <v>0</v>
      </c>
      <c r="M96" s="448">
        <f>SUMIFS('Employee Leaves'!$G:$G,'Employee Leaves'!$A:$A,A96,'Employee Leaves'!$E:$E,"Sick")</f>
        <v>7</v>
      </c>
      <c r="N96" s="448">
        <f>COUNTIFS('Employee Leaves'!$A:$A,A96,'Employee Leaves'!$E:$E,$M$1)</f>
        <v>1</v>
      </c>
      <c r="O96" s="442">
        <f t="shared" si="6"/>
        <v>7.4992511233150276</v>
      </c>
      <c r="P96" s="445">
        <f>SUMIFS('Employee Leaves'!$G:$G,'Employee Leaves'!$A:$A,A96,'Employee Leaves'!$E:$E,"Others")</f>
        <v>0</v>
      </c>
      <c r="Q96" s="485">
        <f>SUMIFS('Employee Leaves'!$G:$G,'Employee Leaves'!$A:$A,A96)</f>
        <v>62</v>
      </c>
      <c r="R96" s="451"/>
      <c r="S96" s="439" t="str">
        <f t="shared" si="7"/>
        <v>-</v>
      </c>
      <c r="T96" s="238">
        <v>14.22</v>
      </c>
      <c r="U96" s="239">
        <f t="shared" si="8"/>
        <v>113.76</v>
      </c>
      <c r="V96" s="239">
        <f t="shared" si="9"/>
        <v>21.330000000000002</v>
      </c>
      <c r="W96" s="243" t="s">
        <v>183</v>
      </c>
      <c r="X96" s="241" t="s">
        <v>182</v>
      </c>
    </row>
    <row r="97" spans="1:24" ht="12.75">
      <c r="A97" s="288">
        <v>2004</v>
      </c>
      <c r="B97" s="288" t="s">
        <v>15</v>
      </c>
      <c r="C97" s="288" t="s">
        <v>15</v>
      </c>
      <c r="D97" s="288" t="s">
        <v>17</v>
      </c>
      <c r="E97" s="290">
        <v>43542</v>
      </c>
      <c r="F97" s="290">
        <v>44511</v>
      </c>
      <c r="G97" s="447" t="s">
        <v>13</v>
      </c>
      <c r="H97" s="448">
        <f>SUMIFS('Employee Leaves'!$G:$G,'Employee Leaves'!$A:$A,A97,'Employee Leaves'!$E:$E,"Holiday")</f>
        <v>0</v>
      </c>
      <c r="I97" s="448">
        <f>COUNTIFS('Employee Leaves'!$A:$A,A97,'Employee Leaves'!$E:$E,$H$1)</f>
        <v>0</v>
      </c>
      <c r="J97" s="442">
        <f t="shared" si="5"/>
        <v>0.49900199600798401</v>
      </c>
      <c r="K97" s="488">
        <f>SUMIFS('Employee Leaves'!$G:$G,'Employee Leaves'!$A:$A,A97,'Employee Leaves'!$E:$E,"Maternity Leave")</f>
        <v>0</v>
      </c>
      <c r="L97" s="448">
        <f>SUMIFS('Employee Leaves'!$G:$G,'Employee Leaves'!$A:$A,A97,'Employee Leaves'!$E:$E,"Paternity Leave")</f>
        <v>0</v>
      </c>
      <c r="M97" s="448">
        <f>SUMIFS('Employee Leaves'!$G:$G,'Employee Leaves'!$A:$A,A97,'Employee Leaves'!$E:$E,"Sick")</f>
        <v>0</v>
      </c>
      <c r="N97" s="448">
        <f>COUNTIFS('Employee Leaves'!$A:$A,A97,'Employee Leaves'!$E:$E,$M$1)</f>
        <v>0</v>
      </c>
      <c r="O97" s="442">
        <f t="shared" si="6"/>
        <v>0.49900199600798401</v>
      </c>
      <c r="P97" s="445">
        <f>SUMIFS('Employee Leaves'!$G:$G,'Employee Leaves'!$A:$A,A97,'Employee Leaves'!$E:$E,"Others")</f>
        <v>0</v>
      </c>
      <c r="Q97" s="485">
        <f>SUMIFS('Employee Leaves'!$G:$G,'Employee Leaves'!$A:$A,A97)</f>
        <v>0</v>
      </c>
      <c r="R97" s="451"/>
      <c r="S97" s="439">
        <f t="shared" si="7"/>
        <v>969</v>
      </c>
      <c r="T97" s="238">
        <v>14.22</v>
      </c>
      <c r="U97" s="239">
        <f t="shared" si="8"/>
        <v>113.76</v>
      </c>
      <c r="V97" s="239">
        <f t="shared" si="9"/>
        <v>21.330000000000002</v>
      </c>
      <c r="W97" s="243" t="s">
        <v>183</v>
      </c>
      <c r="X97" s="241" t="s">
        <v>182</v>
      </c>
    </row>
    <row r="98" spans="1:24" ht="12.75">
      <c r="A98" s="288">
        <v>2005</v>
      </c>
      <c r="B98" s="288" t="s">
        <v>15</v>
      </c>
      <c r="C98" s="288" t="s">
        <v>15</v>
      </c>
      <c r="D98" s="288" t="s">
        <v>9</v>
      </c>
      <c r="E98" s="290">
        <v>44529</v>
      </c>
      <c r="F98" s="288"/>
      <c r="G98" s="447"/>
      <c r="H98" s="448">
        <f>SUMIFS('Employee Leaves'!$G:$G,'Employee Leaves'!$A:$A,A98,'Employee Leaves'!$E:$E,"Holiday")</f>
        <v>0</v>
      </c>
      <c r="I98" s="448">
        <f>COUNTIFS('Employee Leaves'!$A:$A,A98,'Employee Leaves'!$E:$E,$H$1)</f>
        <v>0</v>
      </c>
      <c r="J98" s="442">
        <f t="shared" si="5"/>
        <v>0.49875311720698257</v>
      </c>
      <c r="K98" s="488">
        <f>SUMIFS('Employee Leaves'!$G:$G,'Employee Leaves'!$A:$A,A98,'Employee Leaves'!$E:$E,"Maternity Leave")</f>
        <v>0</v>
      </c>
      <c r="L98" s="448">
        <f>SUMIFS('Employee Leaves'!$G:$G,'Employee Leaves'!$A:$A,A98,'Employee Leaves'!$E:$E,"Paternity Leave")</f>
        <v>0</v>
      </c>
      <c r="M98" s="448">
        <f>SUMIFS('Employee Leaves'!$G:$G,'Employee Leaves'!$A:$A,A98,'Employee Leaves'!$E:$E,"Sick")</f>
        <v>0</v>
      </c>
      <c r="N98" s="448">
        <f>COUNTIFS('Employee Leaves'!$A:$A,A98,'Employee Leaves'!$E:$E,$M$1)</f>
        <v>0</v>
      </c>
      <c r="O98" s="442">
        <f t="shared" si="6"/>
        <v>0.49875311720698257</v>
      </c>
      <c r="P98" s="445">
        <f>SUMIFS('Employee Leaves'!$G:$G,'Employee Leaves'!$A:$A,A98,'Employee Leaves'!$E:$E,"Others")</f>
        <v>0</v>
      </c>
      <c r="Q98" s="485">
        <f>SUMIFS('Employee Leaves'!$G:$G,'Employee Leaves'!$A:$A,A98)</f>
        <v>0</v>
      </c>
      <c r="R98" s="451"/>
      <c r="S98" s="439" t="str">
        <f t="shared" si="7"/>
        <v>-</v>
      </c>
      <c r="T98" s="238">
        <v>14.22</v>
      </c>
      <c r="U98" s="239">
        <f t="shared" si="8"/>
        <v>113.76</v>
      </c>
      <c r="V98" s="239">
        <f t="shared" si="9"/>
        <v>21.330000000000002</v>
      </c>
      <c r="W98" s="243" t="s">
        <v>183</v>
      </c>
      <c r="X98" s="241" t="s">
        <v>182</v>
      </c>
    </row>
    <row r="99" spans="1:24" ht="12.75">
      <c r="A99" s="288">
        <v>2007</v>
      </c>
      <c r="B99" s="288" t="s">
        <v>15</v>
      </c>
      <c r="C99" s="288" t="s">
        <v>15</v>
      </c>
      <c r="D99" s="288" t="s">
        <v>9</v>
      </c>
      <c r="E99" s="290">
        <v>44571</v>
      </c>
      <c r="F99" s="288"/>
      <c r="G99" s="447"/>
      <c r="H99" s="448">
        <f>SUMIFS('Employee Leaves'!$G:$G,'Employee Leaves'!$A:$A,A99,'Employee Leaves'!$E:$E,"Holiday")</f>
        <v>0</v>
      </c>
      <c r="I99" s="448">
        <f>COUNTIFS('Employee Leaves'!$A:$A,A99,'Employee Leaves'!$E:$E,$H$1)</f>
        <v>0</v>
      </c>
      <c r="J99" s="442">
        <f t="shared" si="5"/>
        <v>0.49825610363726958</v>
      </c>
      <c r="K99" s="488">
        <f>SUMIFS('Employee Leaves'!$G:$G,'Employee Leaves'!$A:$A,A99,'Employee Leaves'!$E:$E,"Maternity Leave")</f>
        <v>0</v>
      </c>
      <c r="L99" s="448">
        <f>SUMIFS('Employee Leaves'!$G:$G,'Employee Leaves'!$A:$A,A99,'Employee Leaves'!$E:$E,"Paternity Leave")</f>
        <v>0</v>
      </c>
      <c r="M99" s="448">
        <f>SUMIFS('Employee Leaves'!$G:$G,'Employee Leaves'!$A:$A,A99,'Employee Leaves'!$E:$E,"Sick")</f>
        <v>0</v>
      </c>
      <c r="N99" s="448">
        <f>COUNTIFS('Employee Leaves'!$A:$A,A99,'Employee Leaves'!$E:$E,$M$1)</f>
        <v>0</v>
      </c>
      <c r="O99" s="442">
        <f t="shared" si="6"/>
        <v>0.49825610363726958</v>
      </c>
      <c r="P99" s="445">
        <f>SUMIFS('Employee Leaves'!$G:$G,'Employee Leaves'!$A:$A,A99,'Employee Leaves'!$E:$E,"Others")</f>
        <v>0</v>
      </c>
      <c r="Q99" s="485">
        <f>SUMIFS('Employee Leaves'!$G:$G,'Employee Leaves'!$A:$A,A99)</f>
        <v>0</v>
      </c>
      <c r="R99" s="451"/>
      <c r="S99" s="439" t="str">
        <f t="shared" si="7"/>
        <v>-</v>
      </c>
      <c r="T99" s="238">
        <v>14.22</v>
      </c>
      <c r="U99" s="239">
        <f t="shared" si="8"/>
        <v>113.76</v>
      </c>
      <c r="V99" s="239">
        <f t="shared" si="9"/>
        <v>21.330000000000002</v>
      </c>
      <c r="W99" s="243" t="s">
        <v>183</v>
      </c>
      <c r="X99" s="241" t="s">
        <v>182</v>
      </c>
    </row>
    <row r="100" spans="1:24" ht="12.75">
      <c r="A100" s="288">
        <v>2008</v>
      </c>
      <c r="B100" s="288" t="s">
        <v>15</v>
      </c>
      <c r="C100" s="288" t="s">
        <v>15</v>
      </c>
      <c r="D100" s="288" t="s">
        <v>9</v>
      </c>
      <c r="E100" s="290">
        <v>44501</v>
      </c>
      <c r="F100" s="288"/>
      <c r="G100" s="447"/>
      <c r="H100" s="448">
        <f>SUMIFS('Employee Leaves'!$G:$G,'Employee Leaves'!$A:$A,A100,'Employee Leaves'!$E:$E,"Holiday")</f>
        <v>0</v>
      </c>
      <c r="I100" s="448">
        <f>COUNTIFS('Employee Leaves'!$A:$A,A100,'Employee Leaves'!$E:$E,$H$1)</f>
        <v>0</v>
      </c>
      <c r="J100" s="442">
        <f t="shared" si="5"/>
        <v>0.49800796812749004</v>
      </c>
      <c r="K100" s="488">
        <f>SUMIFS('Employee Leaves'!$G:$G,'Employee Leaves'!$A:$A,A100,'Employee Leaves'!$E:$E,"Maternity Leave")</f>
        <v>0</v>
      </c>
      <c r="L100" s="448">
        <f>SUMIFS('Employee Leaves'!$G:$G,'Employee Leaves'!$A:$A,A100,'Employee Leaves'!$E:$E,"Paternity Leave")</f>
        <v>0</v>
      </c>
      <c r="M100" s="448">
        <f>SUMIFS('Employee Leaves'!$G:$G,'Employee Leaves'!$A:$A,A100,'Employee Leaves'!$E:$E,"Sick")</f>
        <v>7</v>
      </c>
      <c r="N100" s="448">
        <f>COUNTIFS('Employee Leaves'!$A:$A,A100,'Employee Leaves'!$E:$E,$M$1)</f>
        <v>1</v>
      </c>
      <c r="O100" s="442">
        <f t="shared" si="6"/>
        <v>7.4980079681274905</v>
      </c>
      <c r="P100" s="445">
        <f>SUMIFS('Employee Leaves'!$G:$G,'Employee Leaves'!$A:$A,A100,'Employee Leaves'!$E:$E,"Others")</f>
        <v>0</v>
      </c>
      <c r="Q100" s="485">
        <f>SUMIFS('Employee Leaves'!$G:$G,'Employee Leaves'!$A:$A,A100)</f>
        <v>7</v>
      </c>
      <c r="R100" s="451"/>
      <c r="S100" s="439" t="str">
        <f t="shared" si="7"/>
        <v>-</v>
      </c>
      <c r="T100" s="238">
        <v>14.22</v>
      </c>
      <c r="U100" s="239">
        <f t="shared" si="8"/>
        <v>113.76</v>
      </c>
      <c r="V100" s="239">
        <f t="shared" si="9"/>
        <v>21.330000000000002</v>
      </c>
      <c r="W100" s="243" t="s">
        <v>183</v>
      </c>
      <c r="X100" s="241" t="s">
        <v>182</v>
      </c>
    </row>
    <row r="101" spans="1:24" ht="12.75">
      <c r="A101" s="288">
        <v>2009</v>
      </c>
      <c r="B101" s="288" t="s">
        <v>15</v>
      </c>
      <c r="C101" s="288" t="s">
        <v>15</v>
      </c>
      <c r="D101" s="288" t="s">
        <v>9</v>
      </c>
      <c r="E101" s="290">
        <v>44291</v>
      </c>
      <c r="F101" s="291"/>
      <c r="G101" s="447"/>
      <c r="H101" s="448">
        <f>SUMIFS('Employee Leaves'!$G:$G,'Employee Leaves'!$A:$A,A101,'Employee Leaves'!$E:$E,"Holiday")</f>
        <v>0</v>
      </c>
      <c r="I101" s="448">
        <f>COUNTIFS('Employee Leaves'!$A:$A,A101,'Employee Leaves'!$E:$E,$H$1)</f>
        <v>0</v>
      </c>
      <c r="J101" s="442">
        <f t="shared" si="5"/>
        <v>0.49776007964161273</v>
      </c>
      <c r="K101" s="488">
        <f>SUMIFS('Employee Leaves'!$G:$G,'Employee Leaves'!$A:$A,A101,'Employee Leaves'!$E:$E,"Maternity Leave")</f>
        <v>0</v>
      </c>
      <c r="L101" s="448">
        <f>SUMIFS('Employee Leaves'!$G:$G,'Employee Leaves'!$A:$A,A101,'Employee Leaves'!$E:$E,"Paternity Leave")</f>
        <v>0</v>
      </c>
      <c r="M101" s="448">
        <f>SUMIFS('Employee Leaves'!$G:$G,'Employee Leaves'!$A:$A,A101,'Employee Leaves'!$E:$E,"Sick")</f>
        <v>0</v>
      </c>
      <c r="N101" s="448">
        <f>COUNTIFS('Employee Leaves'!$A:$A,A101,'Employee Leaves'!$E:$E,$M$1)</f>
        <v>0</v>
      </c>
      <c r="O101" s="442">
        <f t="shared" si="6"/>
        <v>0.49776007964161273</v>
      </c>
      <c r="P101" s="445">
        <f>SUMIFS('Employee Leaves'!$G:$G,'Employee Leaves'!$A:$A,A101,'Employee Leaves'!$E:$E,"Others")</f>
        <v>0</v>
      </c>
      <c r="Q101" s="485">
        <f>SUMIFS('Employee Leaves'!$G:$G,'Employee Leaves'!$A:$A,A101)</f>
        <v>0</v>
      </c>
      <c r="R101" s="451"/>
      <c r="S101" s="439" t="str">
        <f t="shared" si="7"/>
        <v>-</v>
      </c>
      <c r="T101" s="238">
        <v>14.22</v>
      </c>
      <c r="U101" s="239">
        <f t="shared" si="8"/>
        <v>113.76</v>
      </c>
      <c r="V101" s="239">
        <f t="shared" si="9"/>
        <v>21.330000000000002</v>
      </c>
      <c r="W101" s="243" t="s">
        <v>183</v>
      </c>
      <c r="X101" s="241" t="s">
        <v>182</v>
      </c>
    </row>
    <row r="102" spans="1:24" ht="12.75">
      <c r="A102" s="288">
        <v>2012</v>
      </c>
      <c r="B102" s="288" t="s">
        <v>15</v>
      </c>
      <c r="C102" s="288" t="s">
        <v>15</v>
      </c>
      <c r="D102" s="288" t="s">
        <v>9</v>
      </c>
      <c r="E102" s="290">
        <v>44529</v>
      </c>
      <c r="F102" s="288"/>
      <c r="G102" s="447"/>
      <c r="H102" s="448">
        <f>SUMIFS('Employee Leaves'!$G:$G,'Employee Leaves'!$A:$A,A102,'Employee Leaves'!$E:$E,"Holiday")</f>
        <v>0</v>
      </c>
      <c r="I102" s="448">
        <f>COUNTIFS('Employee Leaves'!$A:$A,A102,'Employee Leaves'!$E:$E,$H$1)</f>
        <v>0</v>
      </c>
      <c r="J102" s="442">
        <f t="shared" si="5"/>
        <v>0.49701789264413521</v>
      </c>
      <c r="K102" s="488">
        <f>SUMIFS('Employee Leaves'!$G:$G,'Employee Leaves'!$A:$A,A102,'Employee Leaves'!$E:$E,"Maternity Leave")</f>
        <v>0</v>
      </c>
      <c r="L102" s="448">
        <f>SUMIFS('Employee Leaves'!$G:$G,'Employee Leaves'!$A:$A,A102,'Employee Leaves'!$E:$E,"Paternity Leave")</f>
        <v>0</v>
      </c>
      <c r="M102" s="448">
        <f>SUMIFS('Employee Leaves'!$G:$G,'Employee Leaves'!$A:$A,A102,'Employee Leaves'!$E:$E,"Sick")</f>
        <v>9</v>
      </c>
      <c r="N102" s="448">
        <f>COUNTIFS('Employee Leaves'!$A:$A,A102,'Employee Leaves'!$E:$E,$M$1)</f>
        <v>1</v>
      </c>
      <c r="O102" s="442">
        <f t="shared" si="6"/>
        <v>9.497017892644136</v>
      </c>
      <c r="P102" s="445">
        <f>SUMIFS('Employee Leaves'!$G:$G,'Employee Leaves'!$A:$A,A102,'Employee Leaves'!$E:$E,"Others")</f>
        <v>0</v>
      </c>
      <c r="Q102" s="485">
        <f>SUMIFS('Employee Leaves'!$G:$G,'Employee Leaves'!$A:$A,A102)</f>
        <v>9</v>
      </c>
      <c r="R102" s="451"/>
      <c r="S102" s="439" t="str">
        <f t="shared" si="7"/>
        <v>-</v>
      </c>
      <c r="T102" s="238">
        <v>14.22</v>
      </c>
      <c r="U102" s="239">
        <f t="shared" si="8"/>
        <v>113.76</v>
      </c>
      <c r="V102" s="239">
        <f t="shared" si="9"/>
        <v>21.330000000000002</v>
      </c>
      <c r="W102" s="243" t="s">
        <v>183</v>
      </c>
      <c r="X102" s="241" t="s">
        <v>182</v>
      </c>
    </row>
    <row r="103" spans="1:24" ht="12.75">
      <c r="A103" s="288">
        <v>2013</v>
      </c>
      <c r="B103" s="288" t="s">
        <v>15</v>
      </c>
      <c r="C103" s="288" t="s">
        <v>15</v>
      </c>
      <c r="D103" s="288" t="s">
        <v>9</v>
      </c>
      <c r="E103" s="290">
        <v>44256</v>
      </c>
      <c r="F103" s="288"/>
      <c r="G103" s="447"/>
      <c r="H103" s="448">
        <f>SUMIFS('Employee Leaves'!$G:$G,'Employee Leaves'!$A:$A,A103,'Employee Leaves'!$E:$E,"Holiday")</f>
        <v>0</v>
      </c>
      <c r="I103" s="448">
        <f>COUNTIFS('Employee Leaves'!$A:$A,A103,'Employee Leaves'!$E:$E,$H$1)</f>
        <v>0</v>
      </c>
      <c r="J103" s="442">
        <f t="shared" si="5"/>
        <v>0.49677098857426727</v>
      </c>
      <c r="K103" s="488">
        <f>SUMIFS('Employee Leaves'!$G:$G,'Employee Leaves'!$A:$A,A103,'Employee Leaves'!$E:$E,"Maternity Leave")</f>
        <v>0</v>
      </c>
      <c r="L103" s="448">
        <f>SUMIFS('Employee Leaves'!$G:$G,'Employee Leaves'!$A:$A,A103,'Employee Leaves'!$E:$E,"Paternity Leave")</f>
        <v>0</v>
      </c>
      <c r="M103" s="448">
        <f>SUMIFS('Employee Leaves'!$G:$G,'Employee Leaves'!$A:$A,A103,'Employee Leaves'!$E:$E,"Sick")</f>
        <v>16</v>
      </c>
      <c r="N103" s="448">
        <f>COUNTIFS('Employee Leaves'!$A:$A,A103,'Employee Leaves'!$E:$E,$M$1)</f>
        <v>2</v>
      </c>
      <c r="O103" s="442">
        <f t="shared" si="6"/>
        <v>16.496770988574266</v>
      </c>
      <c r="P103" s="445">
        <f>SUMIFS('Employee Leaves'!$G:$G,'Employee Leaves'!$A:$A,A103,'Employee Leaves'!$E:$E,"Others")</f>
        <v>0</v>
      </c>
      <c r="Q103" s="485">
        <f>SUMIFS('Employee Leaves'!$G:$G,'Employee Leaves'!$A:$A,A103)</f>
        <v>16</v>
      </c>
      <c r="R103" s="451"/>
      <c r="S103" s="439" t="str">
        <f t="shared" si="7"/>
        <v>-</v>
      </c>
      <c r="T103" s="238">
        <v>14.22</v>
      </c>
      <c r="U103" s="239">
        <f t="shared" si="8"/>
        <v>113.76</v>
      </c>
      <c r="V103" s="239">
        <f t="shared" si="9"/>
        <v>21.330000000000002</v>
      </c>
      <c r="W103" s="243" t="s">
        <v>183</v>
      </c>
      <c r="X103" s="241" t="s">
        <v>182</v>
      </c>
    </row>
    <row r="104" spans="1:24" ht="12.75">
      <c r="A104" s="288">
        <v>2014</v>
      </c>
      <c r="B104" s="288" t="s">
        <v>15</v>
      </c>
      <c r="C104" s="288" t="s">
        <v>15</v>
      </c>
      <c r="D104" s="288" t="s">
        <v>17</v>
      </c>
      <c r="E104" s="290">
        <v>44438</v>
      </c>
      <c r="F104" s="288"/>
      <c r="G104" s="447"/>
      <c r="H104" s="448">
        <f>SUMIFS('Employee Leaves'!$G:$G,'Employee Leaves'!$A:$A,A104,'Employee Leaves'!$E:$E,"Holiday")</f>
        <v>0</v>
      </c>
      <c r="I104" s="448">
        <f>COUNTIFS('Employee Leaves'!$A:$A,A104,'Employee Leaves'!$E:$E,$H$1)</f>
        <v>0</v>
      </c>
      <c r="J104" s="442">
        <f t="shared" si="5"/>
        <v>0.49652432969215493</v>
      </c>
      <c r="K104" s="488">
        <f>SUMIFS('Employee Leaves'!$G:$G,'Employee Leaves'!$A:$A,A104,'Employee Leaves'!$E:$E,"Maternity Leave")</f>
        <v>0</v>
      </c>
      <c r="L104" s="448">
        <f>SUMIFS('Employee Leaves'!$G:$G,'Employee Leaves'!$A:$A,A104,'Employee Leaves'!$E:$E,"Paternity Leave")</f>
        <v>0</v>
      </c>
      <c r="M104" s="448">
        <f>SUMIFS('Employee Leaves'!$G:$G,'Employee Leaves'!$A:$A,A104,'Employee Leaves'!$E:$E,"Sick")</f>
        <v>0</v>
      </c>
      <c r="N104" s="448">
        <f>COUNTIFS('Employee Leaves'!$A:$A,A104,'Employee Leaves'!$E:$E,$M$1)</f>
        <v>0</v>
      </c>
      <c r="O104" s="442">
        <f t="shared" si="6"/>
        <v>0.49652432969215493</v>
      </c>
      <c r="P104" s="445">
        <f>SUMIFS('Employee Leaves'!$G:$G,'Employee Leaves'!$A:$A,A104,'Employee Leaves'!$E:$E,"Others")</f>
        <v>0</v>
      </c>
      <c r="Q104" s="485">
        <f>SUMIFS('Employee Leaves'!$G:$G,'Employee Leaves'!$A:$A,A104)</f>
        <v>0</v>
      </c>
      <c r="R104" s="451"/>
      <c r="S104" s="439" t="str">
        <f t="shared" si="7"/>
        <v>-</v>
      </c>
      <c r="T104" s="238">
        <v>14.22</v>
      </c>
      <c r="U104" s="239">
        <f t="shared" si="8"/>
        <v>113.76</v>
      </c>
      <c r="V104" s="239">
        <f t="shared" si="9"/>
        <v>21.330000000000002</v>
      </c>
      <c r="W104" s="243" t="s">
        <v>183</v>
      </c>
      <c r="X104" s="241" t="s">
        <v>182</v>
      </c>
    </row>
    <row r="105" spans="1:24" ht="12.75">
      <c r="A105" s="288">
        <v>2018</v>
      </c>
      <c r="B105" s="288" t="s">
        <v>15</v>
      </c>
      <c r="C105" s="288" t="s">
        <v>15</v>
      </c>
      <c r="D105" s="288" t="s">
        <v>9</v>
      </c>
      <c r="E105" s="290">
        <v>44501</v>
      </c>
      <c r="F105" s="288"/>
      <c r="G105" s="447"/>
      <c r="H105" s="448">
        <f>SUMIFS('Employee Leaves'!$G:$G,'Employee Leaves'!$A:$A,A105,'Employee Leaves'!$E:$E,"Holiday")</f>
        <v>0</v>
      </c>
      <c r="I105" s="448">
        <f>COUNTIFS('Employee Leaves'!$A:$A,A105,'Employee Leaves'!$E:$E,$H$1)</f>
        <v>0</v>
      </c>
      <c r="J105" s="442">
        <f t="shared" si="5"/>
        <v>0.49554013875123887</v>
      </c>
      <c r="K105" s="488">
        <f>SUMIFS('Employee Leaves'!$G:$G,'Employee Leaves'!$A:$A,A105,'Employee Leaves'!$E:$E,"Maternity Leave")</f>
        <v>0</v>
      </c>
      <c r="L105" s="448">
        <f>SUMIFS('Employee Leaves'!$G:$G,'Employee Leaves'!$A:$A,A105,'Employee Leaves'!$E:$E,"Paternity Leave")</f>
        <v>0</v>
      </c>
      <c r="M105" s="448">
        <f>SUMIFS('Employee Leaves'!$G:$G,'Employee Leaves'!$A:$A,A105,'Employee Leaves'!$E:$E,"Sick")</f>
        <v>0</v>
      </c>
      <c r="N105" s="448">
        <f>COUNTIFS('Employee Leaves'!$A:$A,A105,'Employee Leaves'!$E:$E,$M$1)</f>
        <v>0</v>
      </c>
      <c r="O105" s="442">
        <f t="shared" si="6"/>
        <v>0.49554013875123887</v>
      </c>
      <c r="P105" s="445">
        <f>SUMIFS('Employee Leaves'!$G:$G,'Employee Leaves'!$A:$A,A105,'Employee Leaves'!$E:$E,"Others")</f>
        <v>0</v>
      </c>
      <c r="Q105" s="485">
        <f>SUMIFS('Employee Leaves'!$G:$G,'Employee Leaves'!$A:$A,A105)</f>
        <v>0</v>
      </c>
      <c r="R105" s="451"/>
      <c r="S105" s="439" t="str">
        <f t="shared" si="7"/>
        <v>-</v>
      </c>
      <c r="T105" s="238">
        <v>14.22</v>
      </c>
      <c r="U105" s="239">
        <f t="shared" si="8"/>
        <v>113.76</v>
      </c>
      <c r="V105" s="239">
        <f t="shared" si="9"/>
        <v>21.330000000000002</v>
      </c>
      <c r="W105" s="243" t="s">
        <v>183</v>
      </c>
      <c r="X105" s="241" t="s">
        <v>182</v>
      </c>
    </row>
    <row r="106" spans="1:24" ht="12.75">
      <c r="A106" s="288">
        <v>2020</v>
      </c>
      <c r="B106" s="288" t="s">
        <v>15</v>
      </c>
      <c r="C106" s="288" t="s">
        <v>15</v>
      </c>
      <c r="D106" s="288" t="s">
        <v>9</v>
      </c>
      <c r="E106" s="290">
        <v>44501</v>
      </c>
      <c r="F106" s="288"/>
      <c r="G106" s="447"/>
      <c r="H106" s="448">
        <f>SUMIFS('Employee Leaves'!$G:$G,'Employee Leaves'!$A:$A,A106,'Employee Leaves'!$E:$E,"Holiday")</f>
        <v>0</v>
      </c>
      <c r="I106" s="448">
        <f>COUNTIFS('Employee Leaves'!$A:$A,A106,'Employee Leaves'!$E:$E,$H$1)</f>
        <v>0</v>
      </c>
      <c r="J106" s="442">
        <f t="shared" si="5"/>
        <v>0.49504950495049505</v>
      </c>
      <c r="K106" s="488">
        <f>SUMIFS('Employee Leaves'!$G:$G,'Employee Leaves'!$A:$A,A106,'Employee Leaves'!$E:$E,"Maternity Leave")</f>
        <v>0</v>
      </c>
      <c r="L106" s="448">
        <f>SUMIFS('Employee Leaves'!$G:$G,'Employee Leaves'!$A:$A,A106,'Employee Leaves'!$E:$E,"Paternity Leave")</f>
        <v>0</v>
      </c>
      <c r="M106" s="448">
        <f>SUMIFS('Employee Leaves'!$G:$G,'Employee Leaves'!$A:$A,A106,'Employee Leaves'!$E:$E,"Sick")</f>
        <v>0</v>
      </c>
      <c r="N106" s="448">
        <f>COUNTIFS('Employee Leaves'!$A:$A,A106,'Employee Leaves'!$E:$E,$M$1)</f>
        <v>0</v>
      </c>
      <c r="O106" s="442">
        <f t="shared" si="6"/>
        <v>0.49504950495049505</v>
      </c>
      <c r="P106" s="445">
        <f>SUMIFS('Employee Leaves'!$G:$G,'Employee Leaves'!$A:$A,A106,'Employee Leaves'!$E:$E,"Others")</f>
        <v>0</v>
      </c>
      <c r="Q106" s="485">
        <f>SUMIFS('Employee Leaves'!$G:$G,'Employee Leaves'!$A:$A,A106)</f>
        <v>0</v>
      </c>
      <c r="R106" s="451"/>
      <c r="S106" s="439" t="str">
        <f t="shared" si="7"/>
        <v>-</v>
      </c>
      <c r="T106" s="238">
        <v>14.22</v>
      </c>
      <c r="U106" s="239">
        <f t="shared" si="8"/>
        <v>113.76</v>
      </c>
      <c r="V106" s="239">
        <f t="shared" si="9"/>
        <v>21.330000000000002</v>
      </c>
      <c r="W106" s="243" t="s">
        <v>183</v>
      </c>
      <c r="X106" s="241" t="s">
        <v>182</v>
      </c>
    </row>
    <row r="107" spans="1:24" ht="12.75">
      <c r="A107" s="288">
        <v>3002</v>
      </c>
      <c r="B107" s="288" t="s">
        <v>18</v>
      </c>
      <c r="C107" s="288" t="s">
        <v>20</v>
      </c>
      <c r="D107" s="288" t="s">
        <v>9</v>
      </c>
      <c r="E107" s="290">
        <v>44501</v>
      </c>
      <c r="F107" s="288"/>
      <c r="G107" s="447"/>
      <c r="H107" s="448">
        <f>SUMIFS('Employee Leaves'!$G:$G,'Employee Leaves'!$A:$A,A107,'Employee Leaves'!$E:$E,"Holiday")</f>
        <v>0</v>
      </c>
      <c r="I107" s="448">
        <f>COUNTIFS('Employee Leaves'!$A:$A,A107,'Employee Leaves'!$E:$E,$H$1)</f>
        <v>0</v>
      </c>
      <c r="J107" s="442">
        <f t="shared" si="5"/>
        <v>0.33311125916055961</v>
      </c>
      <c r="K107" s="488">
        <f>SUMIFS('Employee Leaves'!$G:$G,'Employee Leaves'!$A:$A,A107,'Employee Leaves'!$E:$E,"Maternity Leave")</f>
        <v>0</v>
      </c>
      <c r="L107" s="448">
        <f>SUMIFS('Employee Leaves'!$G:$G,'Employee Leaves'!$A:$A,A107,'Employee Leaves'!$E:$E,"Paternity Leave")</f>
        <v>0</v>
      </c>
      <c r="M107" s="448">
        <f>SUMIFS('Employee Leaves'!$G:$G,'Employee Leaves'!$A:$A,A107,'Employee Leaves'!$E:$E,"Sick")</f>
        <v>8</v>
      </c>
      <c r="N107" s="448">
        <f>COUNTIFS('Employee Leaves'!$A:$A,A107,'Employee Leaves'!$E:$E,$M$1)</f>
        <v>1</v>
      </c>
      <c r="O107" s="442">
        <f t="shared" si="6"/>
        <v>8.3331112591605603</v>
      </c>
      <c r="P107" s="445">
        <f>SUMIFS('Employee Leaves'!$G:$G,'Employee Leaves'!$A:$A,A107,'Employee Leaves'!$E:$E,"Others")</f>
        <v>0</v>
      </c>
      <c r="Q107" s="485">
        <f>SUMIFS('Employee Leaves'!$G:$G,'Employee Leaves'!$A:$A,A107)</f>
        <v>8</v>
      </c>
      <c r="R107" s="451"/>
      <c r="S107" s="439" t="str">
        <f t="shared" si="7"/>
        <v>-</v>
      </c>
      <c r="T107" s="238">
        <v>30.73</v>
      </c>
      <c r="U107" s="239">
        <f t="shared" si="8"/>
        <v>245.84</v>
      </c>
      <c r="V107" s="239">
        <f t="shared" si="9"/>
        <v>46.094999999999999</v>
      </c>
      <c r="W107" s="243" t="s">
        <v>153</v>
      </c>
      <c r="X107" s="242" t="s">
        <v>152</v>
      </c>
    </row>
    <row r="108" spans="1:24" ht="12.75">
      <c r="A108" s="288">
        <v>3003</v>
      </c>
      <c r="B108" s="288" t="s">
        <v>18</v>
      </c>
      <c r="C108" s="288" t="s">
        <v>19</v>
      </c>
      <c r="D108" s="288" t="s">
        <v>9</v>
      </c>
      <c r="E108" s="290">
        <v>44482</v>
      </c>
      <c r="F108" s="288"/>
      <c r="G108" s="447"/>
      <c r="H108" s="448">
        <f>SUMIFS('Employee Leaves'!$G:$G,'Employee Leaves'!$A:$A,A108,'Employee Leaves'!$E:$E,"Holiday")</f>
        <v>0</v>
      </c>
      <c r="I108" s="448">
        <f>COUNTIFS('Employee Leaves'!$A:$A,A108,'Employee Leaves'!$E:$E,$H$1)</f>
        <v>0</v>
      </c>
      <c r="J108" s="442">
        <f t="shared" si="5"/>
        <v>0.33300033300033299</v>
      </c>
      <c r="K108" s="488">
        <f>SUMIFS('Employee Leaves'!$G:$G,'Employee Leaves'!$A:$A,A108,'Employee Leaves'!$E:$E,"Maternity Leave")</f>
        <v>0</v>
      </c>
      <c r="L108" s="448">
        <f>SUMIFS('Employee Leaves'!$G:$G,'Employee Leaves'!$A:$A,A108,'Employee Leaves'!$E:$E,"Paternity Leave")</f>
        <v>0</v>
      </c>
      <c r="M108" s="448">
        <f>SUMIFS('Employee Leaves'!$G:$G,'Employee Leaves'!$A:$A,A108,'Employee Leaves'!$E:$E,"Sick")</f>
        <v>0</v>
      </c>
      <c r="N108" s="448">
        <f>COUNTIFS('Employee Leaves'!$A:$A,A108,'Employee Leaves'!$E:$E,$M$1)</f>
        <v>0</v>
      </c>
      <c r="O108" s="442">
        <f t="shared" si="6"/>
        <v>0.33300033300033299</v>
      </c>
      <c r="P108" s="445">
        <f>SUMIFS('Employee Leaves'!$G:$G,'Employee Leaves'!$A:$A,A108,'Employee Leaves'!$E:$E,"Others")</f>
        <v>0</v>
      </c>
      <c r="Q108" s="485">
        <f>SUMIFS('Employee Leaves'!$G:$G,'Employee Leaves'!$A:$A,A108)</f>
        <v>0</v>
      </c>
      <c r="R108" s="451"/>
      <c r="S108" s="439" t="str">
        <f t="shared" si="7"/>
        <v>-</v>
      </c>
      <c r="T108" s="238">
        <v>30.73</v>
      </c>
      <c r="U108" s="239">
        <f t="shared" si="8"/>
        <v>245.84</v>
      </c>
      <c r="V108" s="239">
        <f t="shared" si="9"/>
        <v>46.094999999999999</v>
      </c>
      <c r="W108" s="243" t="s">
        <v>153</v>
      </c>
      <c r="X108" s="242" t="s">
        <v>152</v>
      </c>
    </row>
    <row r="109" spans="1:24" ht="12.75">
      <c r="A109" s="288">
        <v>3004</v>
      </c>
      <c r="B109" s="288" t="s">
        <v>18</v>
      </c>
      <c r="C109" s="288" t="s">
        <v>20</v>
      </c>
      <c r="D109" s="288" t="s">
        <v>9</v>
      </c>
      <c r="E109" s="290">
        <v>44424</v>
      </c>
      <c r="F109" s="288"/>
      <c r="G109" s="447"/>
      <c r="H109" s="448">
        <f>SUMIFS('Employee Leaves'!$G:$G,'Employee Leaves'!$A:$A,A109,'Employee Leaves'!$E:$E,"Holiday")</f>
        <v>0</v>
      </c>
      <c r="I109" s="448">
        <f>COUNTIFS('Employee Leaves'!$A:$A,A109,'Employee Leaves'!$E:$E,$H$1)</f>
        <v>0</v>
      </c>
      <c r="J109" s="442">
        <f t="shared" si="5"/>
        <v>0.33288948069241014</v>
      </c>
      <c r="K109" s="488">
        <f>SUMIFS('Employee Leaves'!$G:$G,'Employee Leaves'!$A:$A,A109,'Employee Leaves'!$E:$E,"Maternity Leave")</f>
        <v>0</v>
      </c>
      <c r="L109" s="448">
        <f>SUMIFS('Employee Leaves'!$G:$G,'Employee Leaves'!$A:$A,A109,'Employee Leaves'!$E:$E,"Paternity Leave")</f>
        <v>0</v>
      </c>
      <c r="M109" s="448">
        <f>SUMIFS('Employee Leaves'!$G:$G,'Employee Leaves'!$A:$A,A109,'Employee Leaves'!$E:$E,"Sick")</f>
        <v>9</v>
      </c>
      <c r="N109" s="448">
        <f>COUNTIFS('Employee Leaves'!$A:$A,A109,'Employee Leaves'!$E:$E,$M$1)</f>
        <v>1</v>
      </c>
      <c r="O109" s="442">
        <f t="shared" si="6"/>
        <v>9.3328894806924101</v>
      </c>
      <c r="P109" s="445">
        <f>SUMIFS('Employee Leaves'!$G:$G,'Employee Leaves'!$A:$A,A109,'Employee Leaves'!$E:$E,"Others")</f>
        <v>0</v>
      </c>
      <c r="Q109" s="485">
        <f>SUMIFS('Employee Leaves'!$G:$G,'Employee Leaves'!$A:$A,A109)</f>
        <v>9</v>
      </c>
      <c r="R109" s="451"/>
      <c r="S109" s="439" t="str">
        <f t="shared" si="7"/>
        <v>-</v>
      </c>
      <c r="T109" s="238">
        <v>30.73</v>
      </c>
      <c r="U109" s="239">
        <f t="shared" si="8"/>
        <v>245.84</v>
      </c>
      <c r="V109" s="239">
        <f t="shared" si="9"/>
        <v>46.094999999999999</v>
      </c>
      <c r="W109" s="243" t="s">
        <v>153</v>
      </c>
      <c r="X109" s="242" t="s">
        <v>152</v>
      </c>
    </row>
    <row r="110" spans="1:24" ht="12.75">
      <c r="A110" s="288">
        <v>3005</v>
      </c>
      <c r="B110" s="288" t="s">
        <v>18</v>
      </c>
      <c r="C110" s="288" t="s">
        <v>19</v>
      </c>
      <c r="D110" s="288" t="s">
        <v>9</v>
      </c>
      <c r="E110" s="290">
        <v>44438</v>
      </c>
      <c r="F110" s="288"/>
      <c r="G110" s="447"/>
      <c r="H110" s="448">
        <f>SUMIFS('Employee Leaves'!$G:$G,'Employee Leaves'!$A:$A,A110,'Employee Leaves'!$E:$E,"Holiday")</f>
        <v>0</v>
      </c>
      <c r="I110" s="448">
        <f>COUNTIFS('Employee Leaves'!$A:$A,A110,'Employee Leaves'!$E:$E,$H$1)</f>
        <v>0</v>
      </c>
      <c r="J110" s="442">
        <f t="shared" si="5"/>
        <v>0.33277870216306155</v>
      </c>
      <c r="K110" s="488">
        <f>SUMIFS('Employee Leaves'!$G:$G,'Employee Leaves'!$A:$A,A110,'Employee Leaves'!$E:$E,"Maternity Leave")</f>
        <v>0</v>
      </c>
      <c r="L110" s="448">
        <f>SUMIFS('Employee Leaves'!$G:$G,'Employee Leaves'!$A:$A,A110,'Employee Leaves'!$E:$E,"Paternity Leave")</f>
        <v>0</v>
      </c>
      <c r="M110" s="448">
        <f>SUMIFS('Employee Leaves'!$G:$G,'Employee Leaves'!$A:$A,A110,'Employee Leaves'!$E:$E,"Sick")</f>
        <v>0</v>
      </c>
      <c r="N110" s="448">
        <f>COUNTIFS('Employee Leaves'!$A:$A,A110,'Employee Leaves'!$E:$E,$M$1)</f>
        <v>0</v>
      </c>
      <c r="O110" s="442">
        <f t="shared" si="6"/>
        <v>0.33277870216306155</v>
      </c>
      <c r="P110" s="445">
        <f>SUMIFS('Employee Leaves'!$G:$G,'Employee Leaves'!$A:$A,A110,'Employee Leaves'!$E:$E,"Others")</f>
        <v>0</v>
      </c>
      <c r="Q110" s="485">
        <f>SUMIFS('Employee Leaves'!$G:$G,'Employee Leaves'!$A:$A,A110)</f>
        <v>0</v>
      </c>
      <c r="R110" s="451"/>
      <c r="S110" s="439" t="str">
        <f t="shared" si="7"/>
        <v>-</v>
      </c>
      <c r="T110" s="238">
        <v>30.73</v>
      </c>
      <c r="U110" s="239">
        <f t="shared" si="8"/>
        <v>245.84</v>
      </c>
      <c r="V110" s="239">
        <f t="shared" si="9"/>
        <v>46.094999999999999</v>
      </c>
      <c r="W110" s="243" t="s">
        <v>153</v>
      </c>
      <c r="X110" s="242" t="s">
        <v>152</v>
      </c>
    </row>
    <row r="111" spans="1:24" ht="12.75">
      <c r="A111" s="288">
        <v>3006</v>
      </c>
      <c r="B111" s="288" t="s">
        <v>18</v>
      </c>
      <c r="C111" s="288" t="s">
        <v>21</v>
      </c>
      <c r="D111" s="288" t="s">
        <v>9</v>
      </c>
      <c r="E111" s="290">
        <v>44501</v>
      </c>
      <c r="F111" s="288"/>
      <c r="G111" s="447"/>
      <c r="H111" s="448">
        <f>SUMIFS('Employee Leaves'!$G:$G,'Employee Leaves'!$A:$A,A111,'Employee Leaves'!$E:$E,"Holiday")</f>
        <v>0</v>
      </c>
      <c r="I111" s="448">
        <f>COUNTIFS('Employee Leaves'!$A:$A,A111,'Employee Leaves'!$E:$E,$H$1)</f>
        <v>0</v>
      </c>
      <c r="J111" s="442">
        <f t="shared" si="5"/>
        <v>0.33266799733865604</v>
      </c>
      <c r="K111" s="488">
        <f>SUMIFS('Employee Leaves'!$G:$G,'Employee Leaves'!$A:$A,A111,'Employee Leaves'!$E:$E,"Maternity Leave")</f>
        <v>0</v>
      </c>
      <c r="L111" s="448">
        <f>SUMIFS('Employee Leaves'!$G:$G,'Employee Leaves'!$A:$A,A111,'Employee Leaves'!$E:$E,"Paternity Leave")</f>
        <v>0</v>
      </c>
      <c r="M111" s="448">
        <f>SUMIFS('Employee Leaves'!$G:$G,'Employee Leaves'!$A:$A,A111,'Employee Leaves'!$E:$E,"Sick")</f>
        <v>0</v>
      </c>
      <c r="N111" s="448">
        <f>COUNTIFS('Employee Leaves'!$A:$A,A111,'Employee Leaves'!$E:$E,$M$1)</f>
        <v>0</v>
      </c>
      <c r="O111" s="442">
        <f t="shared" si="6"/>
        <v>0.33266799733865604</v>
      </c>
      <c r="P111" s="445">
        <f>SUMIFS('Employee Leaves'!$G:$G,'Employee Leaves'!$A:$A,A111,'Employee Leaves'!$E:$E,"Others")</f>
        <v>0</v>
      </c>
      <c r="Q111" s="485">
        <f>SUMIFS('Employee Leaves'!$G:$G,'Employee Leaves'!$A:$A,A111)</f>
        <v>0</v>
      </c>
      <c r="R111" s="451"/>
      <c r="S111" s="439" t="str">
        <f t="shared" si="7"/>
        <v>-</v>
      </c>
      <c r="T111" s="238">
        <v>30.73</v>
      </c>
      <c r="U111" s="239">
        <f t="shared" si="8"/>
        <v>245.84</v>
      </c>
      <c r="V111" s="239">
        <f t="shared" si="9"/>
        <v>46.094999999999999</v>
      </c>
      <c r="W111" s="243" t="s">
        <v>153</v>
      </c>
      <c r="X111" s="242" t="s">
        <v>152</v>
      </c>
    </row>
    <row r="112" spans="1:24" ht="12.75">
      <c r="A112" s="288">
        <v>3007</v>
      </c>
      <c r="B112" s="288" t="s">
        <v>18</v>
      </c>
      <c r="C112" s="288" t="s">
        <v>19</v>
      </c>
      <c r="D112" s="288" t="s">
        <v>9</v>
      </c>
      <c r="E112" s="290">
        <v>44495</v>
      </c>
      <c r="F112" s="288"/>
      <c r="G112" s="447"/>
      <c r="H112" s="448">
        <f>SUMIFS('Employee Leaves'!$G:$G,'Employee Leaves'!$A:$A,A112,'Employee Leaves'!$E:$E,"Holiday")</f>
        <v>0</v>
      </c>
      <c r="I112" s="448">
        <f>COUNTIFS('Employee Leaves'!$A:$A,A112,'Employee Leaves'!$E:$E,$H$1)</f>
        <v>0</v>
      </c>
      <c r="J112" s="442">
        <f t="shared" si="5"/>
        <v>0.33255736614566012</v>
      </c>
      <c r="K112" s="488">
        <f>SUMIFS('Employee Leaves'!$G:$G,'Employee Leaves'!$A:$A,A112,'Employee Leaves'!$E:$E,"Maternity Leave")</f>
        <v>0</v>
      </c>
      <c r="L112" s="448">
        <f>SUMIFS('Employee Leaves'!$G:$G,'Employee Leaves'!$A:$A,A112,'Employee Leaves'!$E:$E,"Paternity Leave")</f>
        <v>0</v>
      </c>
      <c r="M112" s="448">
        <f>SUMIFS('Employee Leaves'!$G:$G,'Employee Leaves'!$A:$A,A112,'Employee Leaves'!$E:$E,"Sick")</f>
        <v>0</v>
      </c>
      <c r="N112" s="448">
        <f>COUNTIFS('Employee Leaves'!$A:$A,A112,'Employee Leaves'!$E:$E,$M$1)</f>
        <v>0</v>
      </c>
      <c r="O112" s="442">
        <f t="shared" si="6"/>
        <v>0.33255736614566012</v>
      </c>
      <c r="P112" s="445">
        <f>SUMIFS('Employee Leaves'!$G:$G,'Employee Leaves'!$A:$A,A112,'Employee Leaves'!$E:$E,"Others")</f>
        <v>0</v>
      </c>
      <c r="Q112" s="485">
        <f>SUMIFS('Employee Leaves'!$G:$G,'Employee Leaves'!$A:$A,A112)</f>
        <v>0</v>
      </c>
      <c r="R112" s="451"/>
      <c r="S112" s="439" t="str">
        <f t="shared" si="7"/>
        <v>-</v>
      </c>
      <c r="T112" s="238">
        <v>30.73</v>
      </c>
      <c r="U112" s="239">
        <f t="shared" si="8"/>
        <v>245.84</v>
      </c>
      <c r="V112" s="239">
        <f t="shared" si="9"/>
        <v>46.094999999999999</v>
      </c>
      <c r="W112" s="243" t="s">
        <v>153</v>
      </c>
      <c r="X112" s="242" t="s">
        <v>152</v>
      </c>
    </row>
    <row r="113" spans="1:24" ht="12.75">
      <c r="A113" s="288">
        <v>3008</v>
      </c>
      <c r="B113" s="288" t="s">
        <v>18</v>
      </c>
      <c r="C113" s="288" t="s">
        <v>19</v>
      </c>
      <c r="D113" s="288" t="s">
        <v>9</v>
      </c>
      <c r="E113" s="290">
        <v>44501</v>
      </c>
      <c r="F113" s="288"/>
      <c r="G113" s="447"/>
      <c r="H113" s="448">
        <f>SUMIFS('Employee Leaves'!$G:$G,'Employee Leaves'!$A:$A,A113,'Employee Leaves'!$E:$E,"Holiday")</f>
        <v>0</v>
      </c>
      <c r="I113" s="448">
        <f>COUNTIFS('Employee Leaves'!$A:$A,A113,'Employee Leaves'!$E:$E,$H$1)</f>
        <v>0</v>
      </c>
      <c r="J113" s="442">
        <f t="shared" si="5"/>
        <v>0.33244680851063829</v>
      </c>
      <c r="K113" s="488">
        <f>SUMIFS('Employee Leaves'!$G:$G,'Employee Leaves'!$A:$A,A113,'Employee Leaves'!$E:$E,"Maternity Leave")</f>
        <v>0</v>
      </c>
      <c r="L113" s="448">
        <f>SUMIFS('Employee Leaves'!$G:$G,'Employee Leaves'!$A:$A,A113,'Employee Leaves'!$E:$E,"Paternity Leave")</f>
        <v>0</v>
      </c>
      <c r="M113" s="448">
        <f>SUMIFS('Employee Leaves'!$G:$G,'Employee Leaves'!$A:$A,A113,'Employee Leaves'!$E:$E,"Sick")</f>
        <v>0</v>
      </c>
      <c r="N113" s="448">
        <f>COUNTIFS('Employee Leaves'!$A:$A,A113,'Employee Leaves'!$E:$E,$M$1)</f>
        <v>0</v>
      </c>
      <c r="O113" s="442">
        <f t="shared" si="6"/>
        <v>0.33244680851063829</v>
      </c>
      <c r="P113" s="445">
        <f>SUMIFS('Employee Leaves'!$G:$G,'Employee Leaves'!$A:$A,A113,'Employee Leaves'!$E:$E,"Others")</f>
        <v>0</v>
      </c>
      <c r="Q113" s="485">
        <f>SUMIFS('Employee Leaves'!$G:$G,'Employee Leaves'!$A:$A,A113)</f>
        <v>0</v>
      </c>
      <c r="R113" s="451"/>
      <c r="S113" s="439" t="str">
        <f t="shared" si="7"/>
        <v>-</v>
      </c>
      <c r="T113" s="238">
        <v>30.73</v>
      </c>
      <c r="U113" s="239">
        <f t="shared" si="8"/>
        <v>245.84</v>
      </c>
      <c r="V113" s="239">
        <f t="shared" si="9"/>
        <v>46.094999999999999</v>
      </c>
      <c r="W113" s="243" t="s">
        <v>153</v>
      </c>
      <c r="X113" s="242" t="s">
        <v>152</v>
      </c>
    </row>
    <row r="114" spans="1:24" ht="12.75">
      <c r="A114" s="288">
        <v>3010</v>
      </c>
      <c r="B114" s="288" t="s">
        <v>18</v>
      </c>
      <c r="C114" s="288" t="s">
        <v>19</v>
      </c>
      <c r="D114" s="288" t="s">
        <v>9</v>
      </c>
      <c r="E114" s="290">
        <v>44501</v>
      </c>
      <c r="F114" s="288"/>
      <c r="G114" s="447"/>
      <c r="H114" s="448">
        <f>SUMIFS('Employee Leaves'!$G:$G,'Employee Leaves'!$A:$A,A114,'Employee Leaves'!$E:$E,"Holiday")</f>
        <v>0</v>
      </c>
      <c r="I114" s="448">
        <f>COUNTIFS('Employee Leaves'!$A:$A,A114,'Employee Leaves'!$E:$E,$H$1)</f>
        <v>0</v>
      </c>
      <c r="J114" s="442">
        <f t="shared" si="5"/>
        <v>0.33222591362126247</v>
      </c>
      <c r="K114" s="488">
        <f>SUMIFS('Employee Leaves'!$G:$G,'Employee Leaves'!$A:$A,A114,'Employee Leaves'!$E:$E,"Maternity Leave")</f>
        <v>0</v>
      </c>
      <c r="L114" s="448">
        <f>SUMIFS('Employee Leaves'!$G:$G,'Employee Leaves'!$A:$A,A114,'Employee Leaves'!$E:$E,"Paternity Leave")</f>
        <v>0</v>
      </c>
      <c r="M114" s="448">
        <f>SUMIFS('Employee Leaves'!$G:$G,'Employee Leaves'!$A:$A,A114,'Employee Leaves'!$E:$E,"Sick")</f>
        <v>0</v>
      </c>
      <c r="N114" s="448">
        <f>COUNTIFS('Employee Leaves'!$A:$A,A114,'Employee Leaves'!$E:$E,$M$1)</f>
        <v>0</v>
      </c>
      <c r="O114" s="442">
        <f t="shared" si="6"/>
        <v>0.33222591362126247</v>
      </c>
      <c r="P114" s="445">
        <f>SUMIFS('Employee Leaves'!$G:$G,'Employee Leaves'!$A:$A,A114,'Employee Leaves'!$E:$E,"Others")</f>
        <v>0</v>
      </c>
      <c r="Q114" s="485">
        <f>SUMIFS('Employee Leaves'!$G:$G,'Employee Leaves'!$A:$A,A114)</f>
        <v>0</v>
      </c>
      <c r="R114" s="451"/>
      <c r="S114" s="439" t="str">
        <f t="shared" si="7"/>
        <v>-</v>
      </c>
      <c r="T114" s="238">
        <v>30.73</v>
      </c>
      <c r="U114" s="239">
        <f t="shared" si="8"/>
        <v>245.84</v>
      </c>
      <c r="V114" s="239">
        <f t="shared" si="9"/>
        <v>46.094999999999999</v>
      </c>
      <c r="W114" s="243" t="s">
        <v>153</v>
      </c>
      <c r="X114" s="242" t="s">
        <v>152</v>
      </c>
    </row>
    <row r="115" spans="1:24" ht="12.75">
      <c r="A115" s="288">
        <v>3013</v>
      </c>
      <c r="B115" s="288" t="s">
        <v>18</v>
      </c>
      <c r="C115" s="288" t="s">
        <v>19</v>
      </c>
      <c r="D115" s="288" t="s">
        <v>9</v>
      </c>
      <c r="E115" s="290">
        <v>44529</v>
      </c>
      <c r="F115" s="290"/>
      <c r="G115" s="447"/>
      <c r="H115" s="448">
        <f>SUMIFS('Employee Leaves'!$G:$G,'Employee Leaves'!$A:$A,A115,'Employee Leaves'!$E:$E,"Holiday")</f>
        <v>0</v>
      </c>
      <c r="I115" s="448">
        <f>COUNTIFS('Employee Leaves'!$A:$A,A115,'Employee Leaves'!$E:$E,$H$1)</f>
        <v>0</v>
      </c>
      <c r="J115" s="442">
        <f t="shared" si="5"/>
        <v>0.33189512114171921</v>
      </c>
      <c r="K115" s="488">
        <f>SUMIFS('Employee Leaves'!$G:$G,'Employee Leaves'!$A:$A,A115,'Employee Leaves'!$E:$E,"Maternity Leave")</f>
        <v>0</v>
      </c>
      <c r="L115" s="448">
        <f>SUMIFS('Employee Leaves'!$G:$G,'Employee Leaves'!$A:$A,A115,'Employee Leaves'!$E:$E,"Paternity Leave")</f>
        <v>0</v>
      </c>
      <c r="M115" s="448">
        <f>SUMIFS('Employee Leaves'!$G:$G,'Employee Leaves'!$A:$A,A115,'Employee Leaves'!$E:$E,"Sick")</f>
        <v>0</v>
      </c>
      <c r="N115" s="448">
        <f>COUNTIFS('Employee Leaves'!$A:$A,A115,'Employee Leaves'!$E:$E,$M$1)</f>
        <v>0</v>
      </c>
      <c r="O115" s="442">
        <f t="shared" si="6"/>
        <v>0.33189512114171921</v>
      </c>
      <c r="P115" s="445">
        <f>SUMIFS('Employee Leaves'!$G:$G,'Employee Leaves'!$A:$A,A115,'Employee Leaves'!$E:$E,"Others")</f>
        <v>0</v>
      </c>
      <c r="Q115" s="485">
        <f>SUMIFS('Employee Leaves'!$G:$G,'Employee Leaves'!$A:$A,A115)</f>
        <v>0</v>
      </c>
      <c r="R115" s="451"/>
      <c r="S115" s="439" t="str">
        <f t="shared" si="7"/>
        <v>-</v>
      </c>
      <c r="T115" s="238">
        <v>30.73</v>
      </c>
      <c r="U115" s="239">
        <f t="shared" si="8"/>
        <v>245.84</v>
      </c>
      <c r="V115" s="239">
        <f t="shared" si="9"/>
        <v>46.094999999999999</v>
      </c>
      <c r="W115" s="243" t="s">
        <v>153</v>
      </c>
      <c r="X115" s="242" t="s">
        <v>152</v>
      </c>
    </row>
    <row r="116" spans="1:24" ht="12.75">
      <c r="A116" s="288">
        <v>3014</v>
      </c>
      <c r="B116" s="288" t="s">
        <v>18</v>
      </c>
      <c r="C116" s="288" t="s">
        <v>19</v>
      </c>
      <c r="D116" s="288" t="s">
        <v>9</v>
      </c>
      <c r="E116" s="290">
        <v>44452</v>
      </c>
      <c r="F116" s="288"/>
      <c r="G116" s="447"/>
      <c r="H116" s="448">
        <f>SUMIFS('Employee Leaves'!$G:$G,'Employee Leaves'!$A:$A,A116,'Employee Leaves'!$E:$E,"Holiday")</f>
        <v>0</v>
      </c>
      <c r="I116" s="448">
        <f>COUNTIFS('Employee Leaves'!$A:$A,A116,'Employee Leaves'!$E:$E,$H$1)</f>
        <v>0</v>
      </c>
      <c r="J116" s="442">
        <f t="shared" si="5"/>
        <v>0.33178500331785005</v>
      </c>
      <c r="K116" s="488">
        <f>SUMIFS('Employee Leaves'!$G:$G,'Employee Leaves'!$A:$A,A116,'Employee Leaves'!$E:$E,"Maternity Leave")</f>
        <v>0</v>
      </c>
      <c r="L116" s="448">
        <f>SUMIFS('Employee Leaves'!$G:$G,'Employee Leaves'!$A:$A,A116,'Employee Leaves'!$E:$E,"Paternity Leave")</f>
        <v>0</v>
      </c>
      <c r="M116" s="448">
        <f>SUMIFS('Employee Leaves'!$G:$G,'Employee Leaves'!$A:$A,A116,'Employee Leaves'!$E:$E,"Sick")</f>
        <v>0</v>
      </c>
      <c r="N116" s="448">
        <f>COUNTIFS('Employee Leaves'!$A:$A,A116,'Employee Leaves'!$E:$E,$M$1)</f>
        <v>0</v>
      </c>
      <c r="O116" s="442">
        <f t="shared" si="6"/>
        <v>0.33178500331785005</v>
      </c>
      <c r="P116" s="445">
        <f>SUMIFS('Employee Leaves'!$G:$G,'Employee Leaves'!$A:$A,A116,'Employee Leaves'!$E:$E,"Others")</f>
        <v>0</v>
      </c>
      <c r="Q116" s="485">
        <f>SUMIFS('Employee Leaves'!$G:$G,'Employee Leaves'!$A:$A,A116)</f>
        <v>0</v>
      </c>
      <c r="R116" s="451"/>
      <c r="S116" s="439" t="str">
        <f t="shared" si="7"/>
        <v>-</v>
      </c>
      <c r="T116" s="238">
        <v>30.73</v>
      </c>
      <c r="U116" s="239">
        <f t="shared" si="8"/>
        <v>245.84</v>
      </c>
      <c r="V116" s="239">
        <f t="shared" si="9"/>
        <v>46.094999999999999</v>
      </c>
      <c r="W116" s="243" t="s">
        <v>153</v>
      </c>
      <c r="X116" s="242" t="s">
        <v>152</v>
      </c>
    </row>
    <row r="117" spans="1:24" ht="12.75">
      <c r="A117" s="288">
        <v>4001</v>
      </c>
      <c r="B117" s="288" t="s">
        <v>22</v>
      </c>
      <c r="C117" s="288" t="s">
        <v>23</v>
      </c>
      <c r="D117" s="288" t="s">
        <v>9</v>
      </c>
      <c r="E117" s="290">
        <v>44354</v>
      </c>
      <c r="F117" s="288"/>
      <c r="G117" s="447"/>
      <c r="H117" s="448">
        <f>SUMIFS('Employee Leaves'!$G:$G,'Employee Leaves'!$A:$A,A117,'Employee Leaves'!$E:$E,"Holiday")</f>
        <v>0</v>
      </c>
      <c r="I117" s="448">
        <f>COUNTIFS('Employee Leaves'!$A:$A,A117,'Employee Leaves'!$E:$E,$H$1)</f>
        <v>0</v>
      </c>
      <c r="J117" s="442">
        <f t="shared" si="5"/>
        <v>0.24993751562109473</v>
      </c>
      <c r="K117" s="488">
        <f>SUMIFS('Employee Leaves'!$G:$G,'Employee Leaves'!$A:$A,A117,'Employee Leaves'!$E:$E,"Maternity Leave")</f>
        <v>0</v>
      </c>
      <c r="L117" s="448">
        <f>SUMIFS('Employee Leaves'!$G:$G,'Employee Leaves'!$A:$A,A117,'Employee Leaves'!$E:$E,"Paternity Leave")</f>
        <v>0</v>
      </c>
      <c r="M117" s="448">
        <f>SUMIFS('Employee Leaves'!$G:$G,'Employee Leaves'!$A:$A,A117,'Employee Leaves'!$E:$E,"Sick")</f>
        <v>0</v>
      </c>
      <c r="N117" s="448">
        <f>COUNTIFS('Employee Leaves'!$A:$A,A117,'Employee Leaves'!$E:$E,$M$1)</f>
        <v>0</v>
      </c>
      <c r="O117" s="442">
        <f t="shared" si="6"/>
        <v>0.24993751562109473</v>
      </c>
      <c r="P117" s="445">
        <f>SUMIFS('Employee Leaves'!$G:$G,'Employee Leaves'!$A:$A,A117,'Employee Leaves'!$E:$E,"Others")</f>
        <v>0</v>
      </c>
      <c r="Q117" s="485">
        <f>SUMIFS('Employee Leaves'!$G:$G,'Employee Leaves'!$A:$A,A117)</f>
        <v>0</v>
      </c>
      <c r="R117" s="451"/>
      <c r="S117" s="439" t="str">
        <f t="shared" si="7"/>
        <v>-</v>
      </c>
      <c r="T117" s="238">
        <v>45.8</v>
      </c>
      <c r="U117" s="239">
        <f t="shared" si="8"/>
        <v>366.4</v>
      </c>
      <c r="V117" s="239">
        <f t="shared" si="9"/>
        <v>68.699999999999989</v>
      </c>
      <c r="W117" s="243" t="s">
        <v>173</v>
      </c>
      <c r="X117" s="242" t="s">
        <v>172</v>
      </c>
    </row>
    <row r="118" spans="1:24" ht="12.75">
      <c r="A118" s="288">
        <v>4002</v>
      </c>
      <c r="B118" s="288" t="s">
        <v>22</v>
      </c>
      <c r="C118" s="288" t="s">
        <v>24</v>
      </c>
      <c r="D118" s="288" t="s">
        <v>9</v>
      </c>
      <c r="E118" s="290">
        <v>44571</v>
      </c>
      <c r="F118" s="288"/>
      <c r="G118" s="447"/>
      <c r="H118" s="448">
        <f>SUMIFS('Employee Leaves'!$G:$G,'Employee Leaves'!$A:$A,A118,'Employee Leaves'!$E:$E,"Holiday")</f>
        <v>0</v>
      </c>
      <c r="I118" s="448">
        <f>COUNTIFS('Employee Leaves'!$A:$A,A118,'Employee Leaves'!$E:$E,$H$1)</f>
        <v>0</v>
      </c>
      <c r="J118" s="442">
        <f t="shared" si="5"/>
        <v>0.24987506246876562</v>
      </c>
      <c r="K118" s="488">
        <f>SUMIFS('Employee Leaves'!$G:$G,'Employee Leaves'!$A:$A,A118,'Employee Leaves'!$E:$E,"Maternity Leave")</f>
        <v>0</v>
      </c>
      <c r="L118" s="448">
        <f>SUMIFS('Employee Leaves'!$G:$G,'Employee Leaves'!$A:$A,A118,'Employee Leaves'!$E:$E,"Paternity Leave")</f>
        <v>0</v>
      </c>
      <c r="M118" s="448">
        <f>SUMIFS('Employee Leaves'!$G:$G,'Employee Leaves'!$A:$A,A118,'Employee Leaves'!$E:$E,"Sick")</f>
        <v>0</v>
      </c>
      <c r="N118" s="448">
        <f>COUNTIFS('Employee Leaves'!$A:$A,A118,'Employee Leaves'!$E:$E,$M$1)</f>
        <v>0</v>
      </c>
      <c r="O118" s="442">
        <f t="shared" si="6"/>
        <v>0.24987506246876562</v>
      </c>
      <c r="P118" s="445">
        <f>SUMIFS('Employee Leaves'!$G:$G,'Employee Leaves'!$A:$A,A118,'Employee Leaves'!$E:$E,"Others")</f>
        <v>0</v>
      </c>
      <c r="Q118" s="485">
        <f>SUMIFS('Employee Leaves'!$G:$G,'Employee Leaves'!$A:$A,A118)</f>
        <v>0</v>
      </c>
      <c r="R118" s="451"/>
      <c r="S118" s="439" t="str">
        <f t="shared" si="7"/>
        <v>-</v>
      </c>
      <c r="T118" s="238">
        <v>48.52</v>
      </c>
      <c r="U118" s="239">
        <f t="shared" si="8"/>
        <v>388.16</v>
      </c>
      <c r="V118" s="239">
        <f t="shared" si="9"/>
        <v>72.78</v>
      </c>
      <c r="W118" s="243" t="s">
        <v>177</v>
      </c>
      <c r="X118" s="241" t="s">
        <v>176</v>
      </c>
    </row>
    <row r="119" spans="1:24" ht="12.75">
      <c r="A119" s="288">
        <v>4003</v>
      </c>
      <c r="B119" s="288" t="s">
        <v>22</v>
      </c>
      <c r="C119" s="288" t="s">
        <v>25</v>
      </c>
      <c r="D119" s="288" t="s">
        <v>9</v>
      </c>
      <c r="E119" s="290">
        <v>44501</v>
      </c>
      <c r="F119" s="288"/>
      <c r="G119" s="447"/>
      <c r="H119" s="448">
        <f>SUMIFS('Employee Leaves'!$G:$G,'Employee Leaves'!$A:$A,A119,'Employee Leaves'!$E:$E,"Holiday")</f>
        <v>0</v>
      </c>
      <c r="I119" s="448">
        <f>COUNTIFS('Employee Leaves'!$A:$A,A119,'Employee Leaves'!$E:$E,$H$1)</f>
        <v>0</v>
      </c>
      <c r="J119" s="442">
        <f t="shared" si="5"/>
        <v>0.2498126405196103</v>
      </c>
      <c r="K119" s="488">
        <f>SUMIFS('Employee Leaves'!$G:$G,'Employee Leaves'!$A:$A,A119,'Employee Leaves'!$E:$E,"Maternity Leave")</f>
        <v>0</v>
      </c>
      <c r="L119" s="448">
        <f>SUMIFS('Employee Leaves'!$G:$G,'Employee Leaves'!$A:$A,A119,'Employee Leaves'!$E:$E,"Paternity Leave")</f>
        <v>0</v>
      </c>
      <c r="M119" s="448">
        <f>SUMIFS('Employee Leaves'!$G:$G,'Employee Leaves'!$A:$A,A119,'Employee Leaves'!$E:$E,"Sick")</f>
        <v>0</v>
      </c>
      <c r="N119" s="448">
        <f>COUNTIFS('Employee Leaves'!$A:$A,A119,'Employee Leaves'!$E:$E,$M$1)</f>
        <v>0</v>
      </c>
      <c r="O119" s="442">
        <f t="shared" si="6"/>
        <v>0.2498126405196103</v>
      </c>
      <c r="P119" s="445">
        <f>SUMIFS('Employee Leaves'!$G:$G,'Employee Leaves'!$A:$A,A119,'Employee Leaves'!$E:$E,"Others")</f>
        <v>0</v>
      </c>
      <c r="Q119" s="485">
        <f>SUMIFS('Employee Leaves'!$G:$G,'Employee Leaves'!$A:$A,A119)</f>
        <v>0</v>
      </c>
      <c r="R119" s="451"/>
      <c r="S119" s="439" t="str">
        <f t="shared" si="7"/>
        <v>-</v>
      </c>
      <c r="T119" s="238">
        <v>45.8</v>
      </c>
      <c r="U119" s="239">
        <f t="shared" si="8"/>
        <v>366.4</v>
      </c>
      <c r="V119" s="239">
        <f t="shared" si="9"/>
        <v>68.699999999999989</v>
      </c>
      <c r="W119" s="243" t="s">
        <v>173</v>
      </c>
      <c r="X119" s="242" t="s">
        <v>172</v>
      </c>
    </row>
    <row r="120" spans="1:24" ht="12.75">
      <c r="A120" s="288">
        <v>4004</v>
      </c>
      <c r="B120" s="288" t="s">
        <v>22</v>
      </c>
      <c r="C120" s="288" t="s">
        <v>26</v>
      </c>
      <c r="D120" s="288" t="s">
        <v>9</v>
      </c>
      <c r="E120" s="290">
        <v>44354</v>
      </c>
      <c r="F120" s="290"/>
      <c r="G120" s="447"/>
      <c r="H120" s="448">
        <f>SUMIFS('Employee Leaves'!$G:$G,'Employee Leaves'!$A:$A,A120,'Employee Leaves'!$E:$E,"Holiday")</f>
        <v>0</v>
      </c>
      <c r="I120" s="448">
        <f>COUNTIFS('Employee Leaves'!$A:$A,A120,'Employee Leaves'!$E:$E,$H$1)</f>
        <v>0</v>
      </c>
      <c r="J120" s="442">
        <f t="shared" si="5"/>
        <v>0.24975024975024976</v>
      </c>
      <c r="K120" s="488">
        <f>SUMIFS('Employee Leaves'!$G:$G,'Employee Leaves'!$A:$A,A120,'Employee Leaves'!$E:$E,"Maternity Leave")</f>
        <v>0</v>
      </c>
      <c r="L120" s="448">
        <f>SUMIFS('Employee Leaves'!$G:$G,'Employee Leaves'!$A:$A,A120,'Employee Leaves'!$E:$E,"Paternity Leave")</f>
        <v>0</v>
      </c>
      <c r="M120" s="448">
        <f>SUMIFS('Employee Leaves'!$G:$G,'Employee Leaves'!$A:$A,A120,'Employee Leaves'!$E:$E,"Sick")</f>
        <v>0</v>
      </c>
      <c r="N120" s="448">
        <f>COUNTIFS('Employee Leaves'!$A:$A,A120,'Employee Leaves'!$E:$E,$M$1)</f>
        <v>0</v>
      </c>
      <c r="O120" s="442">
        <f t="shared" si="6"/>
        <v>0.24975024975024976</v>
      </c>
      <c r="P120" s="445">
        <f>SUMIFS('Employee Leaves'!$G:$G,'Employee Leaves'!$A:$A,A120,'Employee Leaves'!$E:$E,"Others")</f>
        <v>0</v>
      </c>
      <c r="Q120" s="485">
        <f>SUMIFS('Employee Leaves'!$G:$G,'Employee Leaves'!$A:$A,A120)</f>
        <v>0</v>
      </c>
      <c r="R120" s="451"/>
      <c r="S120" s="439" t="str">
        <f t="shared" si="7"/>
        <v>-</v>
      </c>
      <c r="T120" s="238">
        <v>37.049999999999997</v>
      </c>
      <c r="U120" s="239">
        <f t="shared" si="8"/>
        <v>296.39999999999998</v>
      </c>
      <c r="V120" s="239">
        <f t="shared" si="9"/>
        <v>55.574999999999996</v>
      </c>
      <c r="W120" s="243" t="s">
        <v>181</v>
      </c>
      <c r="X120" s="241" t="s">
        <v>180</v>
      </c>
    </row>
    <row r="121" spans="1:24" ht="12.75">
      <c r="A121" s="288">
        <v>4007</v>
      </c>
      <c r="B121" s="288" t="s">
        <v>22</v>
      </c>
      <c r="C121" s="288" t="s">
        <v>28</v>
      </c>
      <c r="D121" s="288" t="s">
        <v>9</v>
      </c>
      <c r="E121" s="290">
        <v>44291</v>
      </c>
      <c r="F121" s="288"/>
      <c r="G121" s="447"/>
      <c r="H121" s="448">
        <f>SUMIFS('Employee Leaves'!$G:$G,'Employee Leaves'!$A:$A,A121,'Employee Leaves'!$E:$E,"Holiday")</f>
        <v>0</v>
      </c>
      <c r="I121" s="448">
        <f>COUNTIFS('Employee Leaves'!$A:$A,A121,'Employee Leaves'!$E:$E,$H$1)</f>
        <v>0</v>
      </c>
      <c r="J121" s="442">
        <f t="shared" si="5"/>
        <v>0.24956326428749689</v>
      </c>
      <c r="K121" s="488">
        <f>SUMIFS('Employee Leaves'!$G:$G,'Employee Leaves'!$A:$A,A121,'Employee Leaves'!$E:$E,"Maternity Leave")</f>
        <v>0</v>
      </c>
      <c r="L121" s="448">
        <f>SUMIFS('Employee Leaves'!$G:$G,'Employee Leaves'!$A:$A,A121,'Employee Leaves'!$E:$E,"Paternity Leave")</f>
        <v>0</v>
      </c>
      <c r="M121" s="448">
        <f>SUMIFS('Employee Leaves'!$G:$G,'Employee Leaves'!$A:$A,A121,'Employee Leaves'!$E:$E,"Sick")</f>
        <v>0</v>
      </c>
      <c r="N121" s="448">
        <f>COUNTIFS('Employee Leaves'!$A:$A,A121,'Employee Leaves'!$E:$E,$M$1)</f>
        <v>0</v>
      </c>
      <c r="O121" s="442">
        <f t="shared" si="6"/>
        <v>0.24956326428749689</v>
      </c>
      <c r="P121" s="445">
        <f>SUMIFS('Employee Leaves'!$G:$G,'Employee Leaves'!$A:$A,A121,'Employee Leaves'!$E:$E,"Others")</f>
        <v>0</v>
      </c>
      <c r="Q121" s="485">
        <f>SUMIFS('Employee Leaves'!$G:$G,'Employee Leaves'!$A:$A,A121)</f>
        <v>0</v>
      </c>
      <c r="R121" s="451"/>
      <c r="S121" s="439" t="str">
        <f t="shared" si="7"/>
        <v>-</v>
      </c>
      <c r="T121" s="238">
        <v>45.8</v>
      </c>
      <c r="U121" s="239">
        <f t="shared" si="8"/>
        <v>366.4</v>
      </c>
      <c r="V121" s="239">
        <f t="shared" si="9"/>
        <v>68.699999999999989</v>
      </c>
      <c r="W121" s="243" t="s">
        <v>173</v>
      </c>
      <c r="X121" s="242" t="s">
        <v>172</v>
      </c>
    </row>
    <row r="122" spans="1:24" ht="12.75">
      <c r="A122" s="288">
        <v>4008</v>
      </c>
      <c r="B122" s="288" t="s">
        <v>22</v>
      </c>
      <c r="C122" s="288" t="s">
        <v>29</v>
      </c>
      <c r="D122" s="288" t="s">
        <v>9</v>
      </c>
      <c r="E122" s="290">
        <v>44256</v>
      </c>
      <c r="F122" s="291"/>
      <c r="G122" s="447"/>
      <c r="H122" s="448">
        <f>SUMIFS('Employee Leaves'!$G:$G,'Employee Leaves'!$A:$A,A122,'Employee Leaves'!$E:$E,"Holiday")</f>
        <v>0</v>
      </c>
      <c r="I122" s="448">
        <f>COUNTIFS('Employee Leaves'!$A:$A,A122,'Employee Leaves'!$E:$E,$H$1)</f>
        <v>0</v>
      </c>
      <c r="J122" s="442">
        <f t="shared" si="5"/>
        <v>0.249500998003992</v>
      </c>
      <c r="K122" s="488">
        <f>SUMIFS('Employee Leaves'!$G:$G,'Employee Leaves'!$A:$A,A122,'Employee Leaves'!$E:$E,"Maternity Leave")</f>
        <v>0</v>
      </c>
      <c r="L122" s="448">
        <f>SUMIFS('Employee Leaves'!$G:$G,'Employee Leaves'!$A:$A,A122,'Employee Leaves'!$E:$E,"Paternity Leave")</f>
        <v>0</v>
      </c>
      <c r="M122" s="448">
        <f>SUMIFS('Employee Leaves'!$G:$G,'Employee Leaves'!$A:$A,A122,'Employee Leaves'!$E:$E,"Sick")</f>
        <v>7</v>
      </c>
      <c r="N122" s="448">
        <f>COUNTIFS('Employee Leaves'!$A:$A,A122,'Employee Leaves'!$E:$E,$M$1)</f>
        <v>2</v>
      </c>
      <c r="O122" s="442">
        <f t="shared" si="6"/>
        <v>7.2495009980039917</v>
      </c>
      <c r="P122" s="445">
        <f>SUMIFS('Employee Leaves'!$G:$G,'Employee Leaves'!$A:$A,A122,'Employee Leaves'!$E:$E,"Others")</f>
        <v>0</v>
      </c>
      <c r="Q122" s="485">
        <f>SUMIFS('Employee Leaves'!$G:$G,'Employee Leaves'!$A:$A,A122)</f>
        <v>7</v>
      </c>
      <c r="R122" s="451"/>
      <c r="S122" s="439" t="str">
        <f t="shared" si="7"/>
        <v>-</v>
      </c>
      <c r="T122" s="238">
        <v>45.8</v>
      </c>
      <c r="U122" s="239">
        <f t="shared" si="8"/>
        <v>366.4</v>
      </c>
      <c r="V122" s="239">
        <f t="shared" si="9"/>
        <v>68.699999999999989</v>
      </c>
      <c r="W122" s="243" t="s">
        <v>173</v>
      </c>
      <c r="X122" s="242" t="s">
        <v>172</v>
      </c>
    </row>
    <row r="123" spans="1:24" ht="12.75">
      <c r="A123" s="288">
        <v>4009</v>
      </c>
      <c r="B123" s="288" t="s">
        <v>22</v>
      </c>
      <c r="C123" s="288" t="s">
        <v>30</v>
      </c>
      <c r="D123" s="288" t="s">
        <v>9</v>
      </c>
      <c r="E123" s="290">
        <v>44256</v>
      </c>
      <c r="F123" s="291"/>
      <c r="G123" s="447"/>
      <c r="H123" s="448">
        <f>SUMIFS('Employee Leaves'!$G:$G,'Employee Leaves'!$A:$A,A123,'Employee Leaves'!$E:$E,"Holiday")</f>
        <v>0</v>
      </c>
      <c r="I123" s="448">
        <f>COUNTIFS('Employee Leaves'!$A:$A,A123,'Employee Leaves'!$E:$E,$H$1)</f>
        <v>0</v>
      </c>
      <c r="J123" s="442">
        <f t="shared" si="5"/>
        <v>0.24943876278373658</v>
      </c>
      <c r="K123" s="488">
        <f>SUMIFS('Employee Leaves'!$G:$G,'Employee Leaves'!$A:$A,A123,'Employee Leaves'!$E:$E,"Maternity Leave")</f>
        <v>0</v>
      </c>
      <c r="L123" s="448">
        <f>SUMIFS('Employee Leaves'!$G:$G,'Employee Leaves'!$A:$A,A123,'Employee Leaves'!$E:$E,"Paternity Leave")</f>
        <v>0</v>
      </c>
      <c r="M123" s="448">
        <f>SUMIFS('Employee Leaves'!$G:$G,'Employee Leaves'!$A:$A,A123,'Employee Leaves'!$E:$E,"Sick")</f>
        <v>0</v>
      </c>
      <c r="N123" s="448">
        <f>COUNTIFS('Employee Leaves'!$A:$A,A123,'Employee Leaves'!$E:$E,$M$1)</f>
        <v>0</v>
      </c>
      <c r="O123" s="442">
        <f t="shared" si="6"/>
        <v>0.24943876278373658</v>
      </c>
      <c r="P123" s="445">
        <f>SUMIFS('Employee Leaves'!$G:$G,'Employee Leaves'!$A:$A,A123,'Employee Leaves'!$E:$E,"Others")</f>
        <v>0</v>
      </c>
      <c r="Q123" s="485">
        <f>SUMIFS('Employee Leaves'!$G:$G,'Employee Leaves'!$A:$A,A123)</f>
        <v>0</v>
      </c>
      <c r="R123" s="451"/>
      <c r="S123" s="439" t="str">
        <f t="shared" si="7"/>
        <v>-</v>
      </c>
      <c r="T123" s="238">
        <v>23.93</v>
      </c>
      <c r="U123" s="239">
        <f t="shared" si="8"/>
        <v>191.44</v>
      </c>
      <c r="V123" s="239">
        <f t="shared" si="9"/>
        <v>35.894999999999996</v>
      </c>
      <c r="W123" s="243" t="s">
        <v>170</v>
      </c>
      <c r="X123" s="241" t="s">
        <v>169</v>
      </c>
    </row>
    <row r="124" spans="1:24" ht="12.75">
      <c r="A124" s="288">
        <v>4010</v>
      </c>
      <c r="B124" s="288" t="s">
        <v>22</v>
      </c>
      <c r="C124" s="288" t="s">
        <v>25</v>
      </c>
      <c r="D124" s="288" t="s">
        <v>9</v>
      </c>
      <c r="E124" s="290">
        <v>44501</v>
      </c>
      <c r="F124" s="288"/>
      <c r="G124" s="447"/>
      <c r="H124" s="448">
        <f>SUMIFS('Employee Leaves'!$G:$G,'Employee Leaves'!$A:$A,A124,'Employee Leaves'!$E:$E,"Holiday")</f>
        <v>0</v>
      </c>
      <c r="I124" s="448">
        <f>COUNTIFS('Employee Leaves'!$A:$A,A124,'Employee Leaves'!$E:$E,$H$1)</f>
        <v>0</v>
      </c>
      <c r="J124" s="442">
        <f t="shared" si="5"/>
        <v>0.24937655860349128</v>
      </c>
      <c r="K124" s="488">
        <f>SUMIFS('Employee Leaves'!$G:$G,'Employee Leaves'!$A:$A,A124,'Employee Leaves'!$E:$E,"Maternity Leave")</f>
        <v>0</v>
      </c>
      <c r="L124" s="448">
        <f>SUMIFS('Employee Leaves'!$G:$G,'Employee Leaves'!$A:$A,A124,'Employee Leaves'!$E:$E,"Paternity Leave")</f>
        <v>0</v>
      </c>
      <c r="M124" s="448">
        <f>SUMIFS('Employee Leaves'!$G:$G,'Employee Leaves'!$A:$A,A124,'Employee Leaves'!$E:$E,"Sick")</f>
        <v>10</v>
      </c>
      <c r="N124" s="448">
        <f>COUNTIFS('Employee Leaves'!$A:$A,A124,'Employee Leaves'!$E:$E,$M$1)</f>
        <v>1</v>
      </c>
      <c r="O124" s="442">
        <f t="shared" si="6"/>
        <v>10.24937655860349</v>
      </c>
      <c r="P124" s="445">
        <f>SUMIFS('Employee Leaves'!$G:$G,'Employee Leaves'!$A:$A,A124,'Employee Leaves'!$E:$E,"Others")</f>
        <v>0</v>
      </c>
      <c r="Q124" s="485">
        <f>SUMIFS('Employee Leaves'!$G:$G,'Employee Leaves'!$A:$A,A124)</f>
        <v>10</v>
      </c>
      <c r="R124" s="451"/>
      <c r="S124" s="439" t="str">
        <f t="shared" si="7"/>
        <v>-</v>
      </c>
      <c r="T124" s="238">
        <v>45.8</v>
      </c>
      <c r="U124" s="239">
        <f t="shared" si="8"/>
        <v>366.4</v>
      </c>
      <c r="V124" s="239">
        <f t="shared" si="9"/>
        <v>68.699999999999989</v>
      </c>
      <c r="W124" s="243" t="s">
        <v>173</v>
      </c>
      <c r="X124" s="242" t="s">
        <v>172</v>
      </c>
    </row>
    <row r="125" spans="1:24" ht="12.75">
      <c r="A125" s="288">
        <v>4011</v>
      </c>
      <c r="B125" s="288" t="s">
        <v>22</v>
      </c>
      <c r="C125" s="288" t="s">
        <v>31</v>
      </c>
      <c r="D125" s="288" t="s">
        <v>9</v>
      </c>
      <c r="E125" s="290">
        <v>44501</v>
      </c>
      <c r="F125" s="288"/>
      <c r="G125" s="447"/>
      <c r="H125" s="448">
        <f>SUMIFS('Employee Leaves'!$G:$G,'Employee Leaves'!$A:$A,A125,'Employee Leaves'!$E:$E,"Holiday")</f>
        <v>0</v>
      </c>
      <c r="I125" s="448">
        <f>COUNTIFS('Employee Leaves'!$A:$A,A125,'Employee Leaves'!$E:$E,$H$1)</f>
        <v>0</v>
      </c>
      <c r="J125" s="442">
        <f t="shared" si="5"/>
        <v>0.24931438544003989</v>
      </c>
      <c r="K125" s="488">
        <f>SUMIFS('Employee Leaves'!$G:$G,'Employee Leaves'!$A:$A,A125,'Employee Leaves'!$E:$E,"Maternity Leave")</f>
        <v>0</v>
      </c>
      <c r="L125" s="448">
        <f>SUMIFS('Employee Leaves'!$G:$G,'Employee Leaves'!$A:$A,A125,'Employee Leaves'!$E:$E,"Paternity Leave")</f>
        <v>0</v>
      </c>
      <c r="M125" s="448">
        <f>SUMIFS('Employee Leaves'!$G:$G,'Employee Leaves'!$A:$A,A125,'Employee Leaves'!$E:$E,"Sick")</f>
        <v>0</v>
      </c>
      <c r="N125" s="448">
        <f>COUNTIFS('Employee Leaves'!$A:$A,A125,'Employee Leaves'!$E:$E,$M$1)</f>
        <v>0</v>
      </c>
      <c r="O125" s="442">
        <f t="shared" si="6"/>
        <v>0.24931438544003989</v>
      </c>
      <c r="P125" s="445">
        <f>SUMIFS('Employee Leaves'!$G:$G,'Employee Leaves'!$A:$A,A125,'Employee Leaves'!$E:$E,"Others")</f>
        <v>0</v>
      </c>
      <c r="Q125" s="485">
        <f>SUMIFS('Employee Leaves'!$G:$G,'Employee Leaves'!$A:$A,A125)</f>
        <v>0</v>
      </c>
      <c r="R125" s="451"/>
      <c r="S125" s="439" t="str">
        <f t="shared" si="7"/>
        <v>-</v>
      </c>
      <c r="T125" s="238">
        <v>45.8</v>
      </c>
      <c r="U125" s="239">
        <f t="shared" si="8"/>
        <v>366.4</v>
      </c>
      <c r="V125" s="239">
        <f t="shared" si="9"/>
        <v>68.699999999999989</v>
      </c>
      <c r="W125" s="243" t="s">
        <v>173</v>
      </c>
      <c r="X125" s="242" t="s">
        <v>172</v>
      </c>
    </row>
    <row r="126" spans="1:24" ht="12.75">
      <c r="A126" s="288">
        <v>4012</v>
      </c>
      <c r="B126" s="288" t="s">
        <v>22</v>
      </c>
      <c r="C126" s="288" t="s">
        <v>31</v>
      </c>
      <c r="D126" s="288" t="s">
        <v>9</v>
      </c>
      <c r="E126" s="290">
        <v>44571</v>
      </c>
      <c r="F126" s="288"/>
      <c r="G126" s="447"/>
      <c r="H126" s="448">
        <f>SUMIFS('Employee Leaves'!$G:$G,'Employee Leaves'!$A:$A,A126,'Employee Leaves'!$E:$E,"Holiday")</f>
        <v>0</v>
      </c>
      <c r="I126" s="448">
        <f>COUNTIFS('Employee Leaves'!$A:$A,A126,'Employee Leaves'!$E:$E,$H$1)</f>
        <v>0</v>
      </c>
      <c r="J126" s="442">
        <f t="shared" si="5"/>
        <v>0.24925224327018944</v>
      </c>
      <c r="K126" s="488">
        <f>SUMIFS('Employee Leaves'!$G:$G,'Employee Leaves'!$A:$A,A126,'Employee Leaves'!$E:$E,"Maternity Leave")</f>
        <v>0</v>
      </c>
      <c r="L126" s="448">
        <f>SUMIFS('Employee Leaves'!$G:$G,'Employee Leaves'!$A:$A,A126,'Employee Leaves'!$E:$E,"Paternity Leave")</f>
        <v>0</v>
      </c>
      <c r="M126" s="448">
        <f>SUMIFS('Employee Leaves'!$G:$G,'Employee Leaves'!$A:$A,A126,'Employee Leaves'!$E:$E,"Sick")</f>
        <v>0</v>
      </c>
      <c r="N126" s="448">
        <f>COUNTIFS('Employee Leaves'!$A:$A,A126,'Employee Leaves'!$E:$E,$M$1)</f>
        <v>0</v>
      </c>
      <c r="O126" s="442">
        <f t="shared" si="6"/>
        <v>0.24925224327018944</v>
      </c>
      <c r="P126" s="445">
        <f>SUMIFS('Employee Leaves'!$G:$G,'Employee Leaves'!$A:$A,A126,'Employee Leaves'!$E:$E,"Others")</f>
        <v>0</v>
      </c>
      <c r="Q126" s="485">
        <f>SUMIFS('Employee Leaves'!$G:$G,'Employee Leaves'!$A:$A,A126)</f>
        <v>0</v>
      </c>
      <c r="R126" s="451"/>
      <c r="S126" s="439" t="str">
        <f t="shared" si="7"/>
        <v>-</v>
      </c>
      <c r="T126" s="238">
        <v>45.8</v>
      </c>
      <c r="U126" s="239">
        <f t="shared" si="8"/>
        <v>366.4</v>
      </c>
      <c r="V126" s="239">
        <f t="shared" si="9"/>
        <v>68.699999999999989</v>
      </c>
      <c r="W126" s="243" t="s">
        <v>173</v>
      </c>
      <c r="X126" s="242" t="s">
        <v>172</v>
      </c>
    </row>
    <row r="127" spans="1:24" ht="12.75">
      <c r="A127" s="288">
        <v>4013</v>
      </c>
      <c r="B127" s="288" t="s">
        <v>22</v>
      </c>
      <c r="C127" s="288" t="s">
        <v>25</v>
      </c>
      <c r="D127" s="288" t="s">
        <v>9</v>
      </c>
      <c r="E127" s="290">
        <v>44291</v>
      </c>
      <c r="F127" s="291"/>
      <c r="G127" s="447"/>
      <c r="H127" s="448">
        <f>SUMIFS('Employee Leaves'!$G:$G,'Employee Leaves'!$A:$A,A127,'Employee Leaves'!$E:$E,"Holiday")</f>
        <v>0</v>
      </c>
      <c r="I127" s="448">
        <f>COUNTIFS('Employee Leaves'!$A:$A,A127,'Employee Leaves'!$E:$E,$H$1)</f>
        <v>0</v>
      </c>
      <c r="J127" s="442">
        <f t="shared" si="5"/>
        <v>0.24919013207077001</v>
      </c>
      <c r="K127" s="488">
        <f>SUMIFS('Employee Leaves'!$G:$G,'Employee Leaves'!$A:$A,A127,'Employee Leaves'!$E:$E,"Maternity Leave")</f>
        <v>0</v>
      </c>
      <c r="L127" s="448">
        <f>SUMIFS('Employee Leaves'!$G:$G,'Employee Leaves'!$A:$A,A127,'Employee Leaves'!$E:$E,"Paternity Leave")</f>
        <v>0</v>
      </c>
      <c r="M127" s="448">
        <f>SUMIFS('Employee Leaves'!$G:$G,'Employee Leaves'!$A:$A,A127,'Employee Leaves'!$E:$E,"Sick")</f>
        <v>0</v>
      </c>
      <c r="N127" s="448">
        <f>COUNTIFS('Employee Leaves'!$A:$A,A127,'Employee Leaves'!$E:$E,$M$1)</f>
        <v>0</v>
      </c>
      <c r="O127" s="442">
        <f t="shared" si="6"/>
        <v>0.24919013207077001</v>
      </c>
      <c r="P127" s="445">
        <f>SUMIFS('Employee Leaves'!$G:$G,'Employee Leaves'!$A:$A,A127,'Employee Leaves'!$E:$E,"Others")</f>
        <v>0</v>
      </c>
      <c r="Q127" s="485">
        <f>SUMIFS('Employee Leaves'!$G:$G,'Employee Leaves'!$A:$A,A127)</f>
        <v>0</v>
      </c>
      <c r="R127" s="451"/>
      <c r="S127" s="439" t="str">
        <f t="shared" si="7"/>
        <v>-</v>
      </c>
      <c r="T127" s="238">
        <v>45.8</v>
      </c>
      <c r="U127" s="239">
        <f t="shared" si="8"/>
        <v>366.4</v>
      </c>
      <c r="V127" s="239">
        <f t="shared" si="9"/>
        <v>68.699999999999989</v>
      </c>
      <c r="W127" s="243" t="s">
        <v>173</v>
      </c>
      <c r="X127" s="242" t="s">
        <v>172</v>
      </c>
    </row>
    <row r="128" spans="1:24" ht="12.75">
      <c r="A128" s="288">
        <v>4014</v>
      </c>
      <c r="B128" s="288" t="s">
        <v>22</v>
      </c>
      <c r="C128" s="288" t="s">
        <v>26</v>
      </c>
      <c r="D128" s="288" t="s">
        <v>9</v>
      </c>
      <c r="E128" s="290">
        <v>44354</v>
      </c>
      <c r="F128" s="288"/>
      <c r="G128" s="447"/>
      <c r="H128" s="448">
        <f>SUMIFS('Employee Leaves'!$G:$G,'Employee Leaves'!$A:$A,A128,'Employee Leaves'!$E:$E,"Holiday")</f>
        <v>0</v>
      </c>
      <c r="I128" s="448">
        <f>COUNTIFS('Employee Leaves'!$A:$A,A128,'Employee Leaves'!$E:$E,$H$1)</f>
        <v>0</v>
      </c>
      <c r="J128" s="442">
        <f t="shared" si="5"/>
        <v>0.24912805181863479</v>
      </c>
      <c r="K128" s="488">
        <f>SUMIFS('Employee Leaves'!$G:$G,'Employee Leaves'!$A:$A,A128,'Employee Leaves'!$E:$E,"Maternity Leave")</f>
        <v>0</v>
      </c>
      <c r="L128" s="448">
        <f>SUMIFS('Employee Leaves'!$G:$G,'Employee Leaves'!$A:$A,A128,'Employee Leaves'!$E:$E,"Paternity Leave")</f>
        <v>0</v>
      </c>
      <c r="M128" s="448">
        <f>SUMIFS('Employee Leaves'!$G:$G,'Employee Leaves'!$A:$A,A128,'Employee Leaves'!$E:$E,"Sick")</f>
        <v>0</v>
      </c>
      <c r="N128" s="448">
        <f>COUNTIFS('Employee Leaves'!$A:$A,A128,'Employee Leaves'!$E:$E,$M$1)</f>
        <v>0</v>
      </c>
      <c r="O128" s="442">
        <f t="shared" si="6"/>
        <v>0.24912805181863479</v>
      </c>
      <c r="P128" s="445">
        <f>SUMIFS('Employee Leaves'!$G:$G,'Employee Leaves'!$A:$A,A128,'Employee Leaves'!$E:$E,"Others")</f>
        <v>0</v>
      </c>
      <c r="Q128" s="485">
        <f>SUMIFS('Employee Leaves'!$G:$G,'Employee Leaves'!$A:$A,A128)</f>
        <v>0</v>
      </c>
      <c r="R128" s="451"/>
      <c r="S128" s="439" t="str">
        <f t="shared" si="7"/>
        <v>-</v>
      </c>
      <c r="T128" s="238">
        <v>37.049999999999997</v>
      </c>
      <c r="U128" s="239">
        <f t="shared" si="8"/>
        <v>296.39999999999998</v>
      </c>
      <c r="V128" s="239">
        <f t="shared" si="9"/>
        <v>55.574999999999996</v>
      </c>
      <c r="W128" s="243" t="s">
        <v>181</v>
      </c>
      <c r="X128" s="241" t="s">
        <v>180</v>
      </c>
    </row>
    <row r="129" spans="1:24" ht="12.75">
      <c r="A129" s="288">
        <v>4016</v>
      </c>
      <c r="B129" s="288" t="s">
        <v>22</v>
      </c>
      <c r="C129" s="288" t="s">
        <v>24</v>
      </c>
      <c r="D129" s="288" t="s">
        <v>27</v>
      </c>
      <c r="E129" s="290">
        <v>44354</v>
      </c>
      <c r="F129" s="288"/>
      <c r="G129" s="447"/>
      <c r="H129" s="448">
        <f>SUMIFS('Employee Leaves'!$G:$G,'Employee Leaves'!$A:$A,A129,'Employee Leaves'!$E:$E,"Holiday")</f>
        <v>0</v>
      </c>
      <c r="I129" s="448">
        <f>COUNTIFS('Employee Leaves'!$A:$A,A129,'Employee Leaves'!$E:$E,$H$1)</f>
        <v>0</v>
      </c>
      <c r="J129" s="442">
        <f t="shared" si="5"/>
        <v>0.24900398406374502</v>
      </c>
      <c r="K129" s="488">
        <f>SUMIFS('Employee Leaves'!$G:$G,'Employee Leaves'!$A:$A,A129,'Employee Leaves'!$E:$E,"Maternity Leave")</f>
        <v>0</v>
      </c>
      <c r="L129" s="448">
        <f>SUMIFS('Employee Leaves'!$G:$G,'Employee Leaves'!$A:$A,A129,'Employee Leaves'!$E:$E,"Paternity Leave")</f>
        <v>0</v>
      </c>
      <c r="M129" s="448">
        <f>SUMIFS('Employee Leaves'!$G:$G,'Employee Leaves'!$A:$A,A129,'Employee Leaves'!$E:$E,"Sick")</f>
        <v>0</v>
      </c>
      <c r="N129" s="448">
        <f>COUNTIFS('Employee Leaves'!$A:$A,A129,'Employee Leaves'!$E:$E,$M$1)</f>
        <v>0</v>
      </c>
      <c r="O129" s="442">
        <f t="shared" si="6"/>
        <v>0.24900398406374502</v>
      </c>
      <c r="P129" s="445">
        <f>SUMIFS('Employee Leaves'!$G:$G,'Employee Leaves'!$A:$A,A129,'Employee Leaves'!$E:$E,"Others")</f>
        <v>0</v>
      </c>
      <c r="Q129" s="485">
        <f>SUMIFS('Employee Leaves'!$G:$G,'Employee Leaves'!$A:$A,A129)</f>
        <v>0</v>
      </c>
      <c r="R129" s="451"/>
      <c r="S129" s="439" t="str">
        <f t="shared" si="7"/>
        <v>-</v>
      </c>
      <c r="T129" s="238">
        <v>48.52</v>
      </c>
      <c r="U129" s="239">
        <f t="shared" si="8"/>
        <v>388.16</v>
      </c>
      <c r="V129" s="239">
        <f t="shared" si="9"/>
        <v>72.78</v>
      </c>
      <c r="W129" s="243" t="s">
        <v>177</v>
      </c>
      <c r="X129" s="241" t="s">
        <v>176</v>
      </c>
    </row>
    <row r="130" spans="1:24" ht="12.75">
      <c r="A130" s="288">
        <v>4018</v>
      </c>
      <c r="B130" s="288" t="s">
        <v>22</v>
      </c>
      <c r="C130" s="288" t="s">
        <v>23</v>
      </c>
      <c r="D130" s="288" t="s">
        <v>9</v>
      </c>
      <c r="E130" s="290">
        <v>44256</v>
      </c>
      <c r="F130" s="291"/>
      <c r="G130" s="447"/>
      <c r="H130" s="448">
        <f>SUMIFS('Employee Leaves'!$G:$G,'Employee Leaves'!$A:$A,A130,'Employee Leaves'!$E:$E,"Holiday")</f>
        <v>0</v>
      </c>
      <c r="I130" s="448">
        <f>COUNTIFS('Employee Leaves'!$A:$A,A130,'Employee Leaves'!$E:$E,$H$1)</f>
        <v>0</v>
      </c>
      <c r="J130" s="442">
        <f t="shared" ref="J130:J193" si="10">H130+(1000/A130)</f>
        <v>0.24888003982080636</v>
      </c>
      <c r="K130" s="488">
        <f>SUMIFS('Employee Leaves'!$G:$G,'Employee Leaves'!$A:$A,A130,'Employee Leaves'!$E:$E,"Maternity Leave")</f>
        <v>0</v>
      </c>
      <c r="L130" s="448">
        <f>SUMIFS('Employee Leaves'!$G:$G,'Employee Leaves'!$A:$A,A130,'Employee Leaves'!$E:$E,"Paternity Leave")</f>
        <v>0</v>
      </c>
      <c r="M130" s="448">
        <f>SUMIFS('Employee Leaves'!$G:$G,'Employee Leaves'!$A:$A,A130,'Employee Leaves'!$E:$E,"Sick")</f>
        <v>0</v>
      </c>
      <c r="N130" s="448">
        <f>COUNTIFS('Employee Leaves'!$A:$A,A130,'Employee Leaves'!$E:$E,$M$1)</f>
        <v>0</v>
      </c>
      <c r="O130" s="442">
        <f t="shared" ref="O130:O193" si="11">M130+(1000/A130)</f>
        <v>0.24888003982080636</v>
      </c>
      <c r="P130" s="445">
        <f>SUMIFS('Employee Leaves'!$G:$G,'Employee Leaves'!$A:$A,A130,'Employee Leaves'!$E:$E,"Others")</f>
        <v>0</v>
      </c>
      <c r="Q130" s="485">
        <f>SUMIFS('Employee Leaves'!$G:$G,'Employee Leaves'!$A:$A,A130)</f>
        <v>0</v>
      </c>
      <c r="R130" s="451"/>
      <c r="S130" s="439" t="str">
        <f t="shared" ref="S130:S193" si="12">IF(F130-E130&lt;0,"-",F130-E130)</f>
        <v>-</v>
      </c>
      <c r="T130" s="238">
        <v>45.8</v>
      </c>
      <c r="U130" s="239">
        <f t="shared" ref="U130:U193" si="13">T130*8</f>
        <v>366.4</v>
      </c>
      <c r="V130" s="239">
        <f t="shared" ref="V130:V193" si="14">T130*1.5</f>
        <v>68.699999999999989</v>
      </c>
      <c r="W130" s="243" t="s">
        <v>173</v>
      </c>
      <c r="X130" s="242" t="s">
        <v>172</v>
      </c>
    </row>
    <row r="131" spans="1:24" ht="12.75">
      <c r="A131" s="288">
        <v>4019</v>
      </c>
      <c r="B131" s="288" t="s">
        <v>22</v>
      </c>
      <c r="C131" s="288" t="s">
        <v>24</v>
      </c>
      <c r="D131" s="288" t="s">
        <v>9</v>
      </c>
      <c r="E131" s="290">
        <v>44424</v>
      </c>
      <c r="F131" s="291"/>
      <c r="G131" s="447"/>
      <c r="H131" s="448">
        <f>SUMIFS('Employee Leaves'!$G:$G,'Employee Leaves'!$A:$A,A131,'Employee Leaves'!$E:$E,"Holiday")</f>
        <v>0</v>
      </c>
      <c r="I131" s="448">
        <f>COUNTIFS('Employee Leaves'!$A:$A,A131,'Employee Leaves'!$E:$E,$H$1)</f>
        <v>0</v>
      </c>
      <c r="J131" s="442">
        <f t="shared" si="10"/>
        <v>0.24881811395869619</v>
      </c>
      <c r="K131" s="488">
        <f>SUMIFS('Employee Leaves'!$G:$G,'Employee Leaves'!$A:$A,A131,'Employee Leaves'!$E:$E,"Maternity Leave")</f>
        <v>0</v>
      </c>
      <c r="L131" s="448">
        <f>SUMIFS('Employee Leaves'!$G:$G,'Employee Leaves'!$A:$A,A131,'Employee Leaves'!$E:$E,"Paternity Leave")</f>
        <v>0</v>
      </c>
      <c r="M131" s="448">
        <f>SUMIFS('Employee Leaves'!$G:$G,'Employee Leaves'!$A:$A,A131,'Employee Leaves'!$E:$E,"Sick")</f>
        <v>0</v>
      </c>
      <c r="N131" s="448">
        <f>COUNTIFS('Employee Leaves'!$A:$A,A131,'Employee Leaves'!$E:$E,$M$1)</f>
        <v>0</v>
      </c>
      <c r="O131" s="442">
        <f t="shared" si="11"/>
        <v>0.24881811395869619</v>
      </c>
      <c r="P131" s="445">
        <f>SUMIFS('Employee Leaves'!$G:$G,'Employee Leaves'!$A:$A,A131,'Employee Leaves'!$E:$E,"Others")</f>
        <v>0</v>
      </c>
      <c r="Q131" s="485">
        <f>SUMIFS('Employee Leaves'!$G:$G,'Employee Leaves'!$A:$A,A131)</f>
        <v>0</v>
      </c>
      <c r="R131" s="451"/>
      <c r="S131" s="439" t="str">
        <f t="shared" si="12"/>
        <v>-</v>
      </c>
      <c r="T131" s="238">
        <v>48.52</v>
      </c>
      <c r="U131" s="239">
        <f t="shared" si="13"/>
        <v>388.16</v>
      </c>
      <c r="V131" s="239">
        <f t="shared" si="14"/>
        <v>72.78</v>
      </c>
      <c r="W131" s="243" t="s">
        <v>177</v>
      </c>
      <c r="X131" s="241" t="s">
        <v>176</v>
      </c>
    </row>
    <row r="132" spans="1:24" ht="12.75">
      <c r="A132" s="288">
        <v>4020</v>
      </c>
      <c r="B132" s="288" t="s">
        <v>22</v>
      </c>
      <c r="C132" s="288" t="s">
        <v>32</v>
      </c>
      <c r="D132" s="288" t="s">
        <v>9</v>
      </c>
      <c r="E132" s="290">
        <v>44501</v>
      </c>
      <c r="F132" s="288"/>
      <c r="G132" s="447"/>
      <c r="H132" s="448">
        <f>SUMIFS('Employee Leaves'!$G:$G,'Employee Leaves'!$A:$A,A132,'Employee Leaves'!$E:$E,"Holiday")</f>
        <v>0</v>
      </c>
      <c r="I132" s="448">
        <f>COUNTIFS('Employee Leaves'!$A:$A,A132,'Employee Leaves'!$E:$E,$H$1)</f>
        <v>0</v>
      </c>
      <c r="J132" s="442">
        <f t="shared" si="10"/>
        <v>0.24875621890547264</v>
      </c>
      <c r="K132" s="488">
        <f>SUMIFS('Employee Leaves'!$G:$G,'Employee Leaves'!$A:$A,A132,'Employee Leaves'!$E:$E,"Maternity Leave")</f>
        <v>0</v>
      </c>
      <c r="L132" s="448">
        <f>SUMIFS('Employee Leaves'!$G:$G,'Employee Leaves'!$A:$A,A132,'Employee Leaves'!$E:$E,"Paternity Leave")</f>
        <v>0</v>
      </c>
      <c r="M132" s="448">
        <f>SUMIFS('Employee Leaves'!$G:$G,'Employee Leaves'!$A:$A,A132,'Employee Leaves'!$E:$E,"Sick")</f>
        <v>2</v>
      </c>
      <c r="N132" s="448">
        <f>COUNTIFS('Employee Leaves'!$A:$A,A132,'Employee Leaves'!$E:$E,$M$1)</f>
        <v>1</v>
      </c>
      <c r="O132" s="442">
        <f t="shared" si="11"/>
        <v>2.2487562189054726</v>
      </c>
      <c r="P132" s="445">
        <f>SUMIFS('Employee Leaves'!$G:$G,'Employee Leaves'!$A:$A,A132,'Employee Leaves'!$E:$E,"Others")</f>
        <v>0</v>
      </c>
      <c r="Q132" s="485">
        <f>SUMIFS('Employee Leaves'!$G:$G,'Employee Leaves'!$A:$A,A132)</f>
        <v>2</v>
      </c>
      <c r="R132" s="451"/>
      <c r="S132" s="439" t="str">
        <f t="shared" si="12"/>
        <v>-</v>
      </c>
      <c r="T132" s="238">
        <v>48.52</v>
      </c>
      <c r="U132" s="239">
        <f t="shared" si="13"/>
        <v>388.16</v>
      </c>
      <c r="V132" s="239">
        <f t="shared" si="14"/>
        <v>72.78</v>
      </c>
      <c r="W132" s="243" t="s">
        <v>177</v>
      </c>
      <c r="X132" s="241" t="s">
        <v>176</v>
      </c>
    </row>
    <row r="133" spans="1:24" ht="12.75">
      <c r="A133" s="288">
        <v>4021</v>
      </c>
      <c r="B133" s="288" t="s">
        <v>22</v>
      </c>
      <c r="C133" s="288" t="s">
        <v>30</v>
      </c>
      <c r="D133" s="288" t="s">
        <v>9</v>
      </c>
      <c r="E133" s="290">
        <v>44354</v>
      </c>
      <c r="F133" s="288"/>
      <c r="G133" s="447"/>
      <c r="H133" s="448">
        <f>SUMIFS('Employee Leaves'!$G:$G,'Employee Leaves'!$A:$A,A133,'Employee Leaves'!$E:$E,"Holiday")</f>
        <v>0</v>
      </c>
      <c r="I133" s="448">
        <f>COUNTIFS('Employee Leaves'!$A:$A,A133,'Employee Leaves'!$E:$E,$H$1)</f>
        <v>0</v>
      </c>
      <c r="J133" s="442">
        <f t="shared" si="10"/>
        <v>0.24869435463814971</v>
      </c>
      <c r="K133" s="488">
        <f>SUMIFS('Employee Leaves'!$G:$G,'Employee Leaves'!$A:$A,A133,'Employee Leaves'!$E:$E,"Maternity Leave")</f>
        <v>0</v>
      </c>
      <c r="L133" s="448">
        <f>SUMIFS('Employee Leaves'!$G:$G,'Employee Leaves'!$A:$A,A133,'Employee Leaves'!$E:$E,"Paternity Leave")</f>
        <v>0</v>
      </c>
      <c r="M133" s="448">
        <f>SUMIFS('Employee Leaves'!$G:$G,'Employee Leaves'!$A:$A,A133,'Employee Leaves'!$E:$E,"Sick")</f>
        <v>0</v>
      </c>
      <c r="N133" s="448">
        <f>COUNTIFS('Employee Leaves'!$A:$A,A133,'Employee Leaves'!$E:$E,$M$1)</f>
        <v>0</v>
      </c>
      <c r="O133" s="442">
        <f t="shared" si="11"/>
        <v>0.24869435463814971</v>
      </c>
      <c r="P133" s="445">
        <f>SUMIFS('Employee Leaves'!$G:$G,'Employee Leaves'!$A:$A,A133,'Employee Leaves'!$E:$E,"Others")</f>
        <v>0</v>
      </c>
      <c r="Q133" s="485">
        <f>SUMIFS('Employee Leaves'!$G:$G,'Employee Leaves'!$A:$A,A133)</f>
        <v>0</v>
      </c>
      <c r="R133" s="451"/>
      <c r="S133" s="439" t="str">
        <f t="shared" si="12"/>
        <v>-</v>
      </c>
      <c r="T133" s="238">
        <v>23.93</v>
      </c>
      <c r="U133" s="239">
        <f t="shared" si="13"/>
        <v>191.44</v>
      </c>
      <c r="V133" s="239">
        <f t="shared" si="14"/>
        <v>35.894999999999996</v>
      </c>
      <c r="W133" s="243" t="s">
        <v>170</v>
      </c>
      <c r="X133" s="241" t="s">
        <v>169</v>
      </c>
    </row>
    <row r="134" spans="1:24" ht="12.75">
      <c r="A134" s="288">
        <v>4023</v>
      </c>
      <c r="B134" s="288" t="s">
        <v>22</v>
      </c>
      <c r="C134" s="288" t="s">
        <v>31</v>
      </c>
      <c r="D134" s="288" t="s">
        <v>9</v>
      </c>
      <c r="E134" s="290">
        <v>44495</v>
      </c>
      <c r="F134" s="288"/>
      <c r="G134" s="447"/>
      <c r="H134" s="448">
        <f>SUMIFS('Employee Leaves'!$G:$G,'Employee Leaves'!$A:$A,A134,'Employee Leaves'!$E:$E,"Holiday")</f>
        <v>0</v>
      </c>
      <c r="I134" s="448">
        <f>COUNTIFS('Employee Leaves'!$A:$A,A134,'Employee Leaves'!$E:$E,$H$1)</f>
        <v>0</v>
      </c>
      <c r="J134" s="442">
        <f t="shared" si="10"/>
        <v>0.24857071836937608</v>
      </c>
      <c r="K134" s="488">
        <f>SUMIFS('Employee Leaves'!$G:$G,'Employee Leaves'!$A:$A,A134,'Employee Leaves'!$E:$E,"Maternity Leave")</f>
        <v>0</v>
      </c>
      <c r="L134" s="448">
        <f>SUMIFS('Employee Leaves'!$G:$G,'Employee Leaves'!$A:$A,A134,'Employee Leaves'!$E:$E,"Paternity Leave")</f>
        <v>0</v>
      </c>
      <c r="M134" s="448">
        <f>SUMIFS('Employee Leaves'!$G:$G,'Employee Leaves'!$A:$A,A134,'Employee Leaves'!$E:$E,"Sick")</f>
        <v>0</v>
      </c>
      <c r="N134" s="448">
        <f>COUNTIFS('Employee Leaves'!$A:$A,A134,'Employee Leaves'!$E:$E,$M$1)</f>
        <v>0</v>
      </c>
      <c r="O134" s="442">
        <f t="shared" si="11"/>
        <v>0.24857071836937608</v>
      </c>
      <c r="P134" s="445">
        <f>SUMIFS('Employee Leaves'!$G:$G,'Employee Leaves'!$A:$A,A134,'Employee Leaves'!$E:$E,"Others")</f>
        <v>0</v>
      </c>
      <c r="Q134" s="485">
        <f>SUMIFS('Employee Leaves'!$G:$G,'Employee Leaves'!$A:$A,A134)</f>
        <v>0</v>
      </c>
      <c r="R134" s="451"/>
      <c r="S134" s="439" t="str">
        <f t="shared" si="12"/>
        <v>-</v>
      </c>
      <c r="T134" s="238">
        <v>45.8</v>
      </c>
      <c r="U134" s="239">
        <f t="shared" si="13"/>
        <v>366.4</v>
      </c>
      <c r="V134" s="239">
        <f t="shared" si="14"/>
        <v>68.699999999999989</v>
      </c>
      <c r="W134" s="243" t="s">
        <v>173</v>
      </c>
      <c r="X134" s="242" t="s">
        <v>172</v>
      </c>
    </row>
    <row r="135" spans="1:24" ht="12.75">
      <c r="A135" s="288">
        <v>4026</v>
      </c>
      <c r="B135" s="288" t="s">
        <v>22</v>
      </c>
      <c r="C135" s="288" t="s">
        <v>33</v>
      </c>
      <c r="D135" s="288" t="s">
        <v>9</v>
      </c>
      <c r="E135" s="290">
        <v>44495</v>
      </c>
      <c r="F135" s="288"/>
      <c r="G135" s="447"/>
      <c r="H135" s="448">
        <f>SUMIFS('Employee Leaves'!$G:$G,'Employee Leaves'!$A:$A,A135,'Employee Leaves'!$E:$E,"Holiday")</f>
        <v>0</v>
      </c>
      <c r="I135" s="448">
        <f>COUNTIFS('Employee Leaves'!$A:$A,A135,'Employee Leaves'!$E:$E,$H$1)</f>
        <v>0</v>
      </c>
      <c r="J135" s="442">
        <f t="shared" si="10"/>
        <v>0.24838549428713363</v>
      </c>
      <c r="K135" s="488">
        <f>SUMIFS('Employee Leaves'!$G:$G,'Employee Leaves'!$A:$A,A135,'Employee Leaves'!$E:$E,"Maternity Leave")</f>
        <v>0</v>
      </c>
      <c r="L135" s="448">
        <f>SUMIFS('Employee Leaves'!$G:$G,'Employee Leaves'!$A:$A,A135,'Employee Leaves'!$E:$E,"Paternity Leave")</f>
        <v>0</v>
      </c>
      <c r="M135" s="448">
        <f>SUMIFS('Employee Leaves'!$G:$G,'Employee Leaves'!$A:$A,A135,'Employee Leaves'!$E:$E,"Sick")</f>
        <v>0</v>
      </c>
      <c r="N135" s="448">
        <f>COUNTIFS('Employee Leaves'!$A:$A,A135,'Employee Leaves'!$E:$E,$M$1)</f>
        <v>0</v>
      </c>
      <c r="O135" s="442">
        <f t="shared" si="11"/>
        <v>0.24838549428713363</v>
      </c>
      <c r="P135" s="445">
        <f>SUMIFS('Employee Leaves'!$G:$G,'Employee Leaves'!$A:$A,A135,'Employee Leaves'!$E:$E,"Others")</f>
        <v>0</v>
      </c>
      <c r="Q135" s="485">
        <f>SUMIFS('Employee Leaves'!$G:$G,'Employee Leaves'!$A:$A,A135)</f>
        <v>0</v>
      </c>
      <c r="R135" s="451"/>
      <c r="S135" s="439" t="str">
        <f t="shared" si="12"/>
        <v>-</v>
      </c>
      <c r="T135" s="238">
        <v>45.8</v>
      </c>
      <c r="U135" s="239">
        <f t="shared" si="13"/>
        <v>366.4</v>
      </c>
      <c r="V135" s="239">
        <f t="shared" si="14"/>
        <v>68.699999999999989</v>
      </c>
      <c r="W135" s="243" t="s">
        <v>173</v>
      </c>
      <c r="X135" s="242" t="s">
        <v>172</v>
      </c>
    </row>
    <row r="136" spans="1:24" ht="12.75">
      <c r="A136" s="288">
        <v>4034</v>
      </c>
      <c r="B136" s="288" t="s">
        <v>22</v>
      </c>
      <c r="C136" s="288" t="s">
        <v>30</v>
      </c>
      <c r="D136" s="288" t="s">
        <v>9</v>
      </c>
      <c r="E136" s="290">
        <v>44102</v>
      </c>
      <c r="F136" s="290">
        <v>44328</v>
      </c>
      <c r="G136" s="447" t="s">
        <v>13</v>
      </c>
      <c r="H136" s="448">
        <f>SUMIFS('Employee Leaves'!$G:$G,'Employee Leaves'!$A:$A,A136,'Employee Leaves'!$E:$E,"Holiday")</f>
        <v>0</v>
      </c>
      <c r="I136" s="448">
        <f>COUNTIFS('Employee Leaves'!$A:$A,A136,'Employee Leaves'!$E:$E,$H$1)</f>
        <v>0</v>
      </c>
      <c r="J136" s="442">
        <f t="shared" si="10"/>
        <v>0.2478929102627665</v>
      </c>
      <c r="K136" s="488">
        <f>SUMIFS('Employee Leaves'!$G:$G,'Employee Leaves'!$A:$A,A136,'Employee Leaves'!$E:$E,"Maternity Leave")</f>
        <v>0</v>
      </c>
      <c r="L136" s="448">
        <f>SUMIFS('Employee Leaves'!$G:$G,'Employee Leaves'!$A:$A,A136,'Employee Leaves'!$E:$E,"Paternity Leave")</f>
        <v>0</v>
      </c>
      <c r="M136" s="448">
        <f>SUMIFS('Employee Leaves'!$G:$G,'Employee Leaves'!$A:$A,A136,'Employee Leaves'!$E:$E,"Sick")</f>
        <v>4</v>
      </c>
      <c r="N136" s="448">
        <f>COUNTIFS('Employee Leaves'!$A:$A,A136,'Employee Leaves'!$E:$E,$M$1)</f>
        <v>1</v>
      </c>
      <c r="O136" s="442">
        <f t="shared" si="11"/>
        <v>4.2478929102627667</v>
      </c>
      <c r="P136" s="445">
        <f>SUMIFS('Employee Leaves'!$G:$G,'Employee Leaves'!$A:$A,A136,'Employee Leaves'!$E:$E,"Others")</f>
        <v>0</v>
      </c>
      <c r="Q136" s="485">
        <f>SUMIFS('Employee Leaves'!$G:$G,'Employee Leaves'!$A:$A,A136)</f>
        <v>4</v>
      </c>
      <c r="R136" s="451"/>
      <c r="S136" s="439">
        <f t="shared" si="12"/>
        <v>226</v>
      </c>
      <c r="T136" s="238">
        <v>23.93</v>
      </c>
      <c r="U136" s="239">
        <f t="shared" si="13"/>
        <v>191.44</v>
      </c>
      <c r="V136" s="239">
        <f t="shared" si="14"/>
        <v>35.894999999999996</v>
      </c>
      <c r="W136" s="243" t="s">
        <v>170</v>
      </c>
      <c r="X136" s="241" t="s">
        <v>169</v>
      </c>
    </row>
    <row r="137" spans="1:24" ht="12.75">
      <c r="A137" s="288">
        <v>4037</v>
      </c>
      <c r="B137" s="288" t="s">
        <v>22</v>
      </c>
      <c r="C137" s="288" t="s">
        <v>33</v>
      </c>
      <c r="D137" s="288" t="s">
        <v>9</v>
      </c>
      <c r="E137" s="290">
        <v>44410</v>
      </c>
      <c r="F137" s="288"/>
      <c r="G137" s="447"/>
      <c r="H137" s="448">
        <f>SUMIFS('Employee Leaves'!$G:$G,'Employee Leaves'!$A:$A,A137,'Employee Leaves'!$E:$E,"Holiday")</f>
        <v>0</v>
      </c>
      <c r="I137" s="448">
        <f>COUNTIFS('Employee Leaves'!$A:$A,A137,'Employee Leaves'!$E:$E,$H$1)</f>
        <v>0</v>
      </c>
      <c r="J137" s="442">
        <f t="shared" si="10"/>
        <v>0.24770869457517958</v>
      </c>
      <c r="K137" s="488">
        <f>SUMIFS('Employee Leaves'!$G:$G,'Employee Leaves'!$A:$A,A137,'Employee Leaves'!$E:$E,"Maternity Leave")</f>
        <v>0</v>
      </c>
      <c r="L137" s="448">
        <f>SUMIFS('Employee Leaves'!$G:$G,'Employee Leaves'!$A:$A,A137,'Employee Leaves'!$E:$E,"Paternity Leave")</f>
        <v>0</v>
      </c>
      <c r="M137" s="448">
        <f>SUMIFS('Employee Leaves'!$G:$G,'Employee Leaves'!$A:$A,A137,'Employee Leaves'!$E:$E,"Sick")</f>
        <v>5</v>
      </c>
      <c r="N137" s="448">
        <f>COUNTIFS('Employee Leaves'!$A:$A,A137,'Employee Leaves'!$E:$E,$M$1)</f>
        <v>1</v>
      </c>
      <c r="O137" s="442">
        <f t="shared" si="11"/>
        <v>5.2477086945751799</v>
      </c>
      <c r="P137" s="445">
        <f>SUMIFS('Employee Leaves'!$G:$G,'Employee Leaves'!$A:$A,A137,'Employee Leaves'!$E:$E,"Others")</f>
        <v>0</v>
      </c>
      <c r="Q137" s="485">
        <f>SUMIFS('Employee Leaves'!$G:$G,'Employee Leaves'!$A:$A,A137)</f>
        <v>5</v>
      </c>
      <c r="R137" s="451"/>
      <c r="S137" s="439" t="str">
        <f t="shared" si="12"/>
        <v>-</v>
      </c>
      <c r="T137" s="238">
        <v>45.8</v>
      </c>
      <c r="U137" s="239">
        <f t="shared" si="13"/>
        <v>366.4</v>
      </c>
      <c r="V137" s="239">
        <f t="shared" si="14"/>
        <v>68.699999999999989</v>
      </c>
      <c r="W137" s="243" t="s">
        <v>173</v>
      </c>
      <c r="X137" s="242" t="s">
        <v>172</v>
      </c>
    </row>
    <row r="138" spans="1:24" ht="12.75">
      <c r="A138" s="288">
        <v>4041</v>
      </c>
      <c r="B138" s="288" t="s">
        <v>22</v>
      </c>
      <c r="C138" s="288" t="s">
        <v>25</v>
      </c>
      <c r="D138" s="288" t="s">
        <v>9</v>
      </c>
      <c r="E138" s="290">
        <v>44354</v>
      </c>
      <c r="F138" s="288"/>
      <c r="G138" s="447"/>
      <c r="H138" s="448">
        <f>SUMIFS('Employee Leaves'!$G:$G,'Employee Leaves'!$A:$A,A138,'Employee Leaves'!$E:$E,"Holiday")</f>
        <v>0</v>
      </c>
      <c r="I138" s="448">
        <f>COUNTIFS('Employee Leaves'!$A:$A,A138,'Employee Leaves'!$E:$E,$H$1)</f>
        <v>0</v>
      </c>
      <c r="J138" s="442">
        <f t="shared" si="10"/>
        <v>0.24746349913387775</v>
      </c>
      <c r="K138" s="488">
        <f>SUMIFS('Employee Leaves'!$G:$G,'Employee Leaves'!$A:$A,A138,'Employee Leaves'!$E:$E,"Maternity Leave")</f>
        <v>0</v>
      </c>
      <c r="L138" s="448">
        <f>SUMIFS('Employee Leaves'!$G:$G,'Employee Leaves'!$A:$A,A138,'Employee Leaves'!$E:$E,"Paternity Leave")</f>
        <v>0</v>
      </c>
      <c r="M138" s="448">
        <f>SUMIFS('Employee Leaves'!$G:$G,'Employee Leaves'!$A:$A,A138,'Employee Leaves'!$E:$E,"Sick")</f>
        <v>0</v>
      </c>
      <c r="N138" s="448">
        <f>COUNTIFS('Employee Leaves'!$A:$A,A138,'Employee Leaves'!$E:$E,$M$1)</f>
        <v>0</v>
      </c>
      <c r="O138" s="442">
        <f t="shared" si="11"/>
        <v>0.24746349913387775</v>
      </c>
      <c r="P138" s="445">
        <f>SUMIFS('Employee Leaves'!$G:$G,'Employee Leaves'!$A:$A,A138,'Employee Leaves'!$E:$E,"Others")</f>
        <v>0</v>
      </c>
      <c r="Q138" s="485">
        <f>SUMIFS('Employee Leaves'!$G:$G,'Employee Leaves'!$A:$A,A138)</f>
        <v>0</v>
      </c>
      <c r="R138" s="451"/>
      <c r="S138" s="439" t="str">
        <f t="shared" si="12"/>
        <v>-</v>
      </c>
      <c r="T138" s="238">
        <v>45.8</v>
      </c>
      <c r="U138" s="239">
        <f t="shared" si="13"/>
        <v>366.4</v>
      </c>
      <c r="V138" s="239">
        <f t="shared" si="14"/>
        <v>68.699999999999989</v>
      </c>
      <c r="W138" s="243" t="s">
        <v>173</v>
      </c>
      <c r="X138" s="242" t="s">
        <v>172</v>
      </c>
    </row>
    <row r="139" spans="1:24" ht="12.75">
      <c r="A139" s="288">
        <v>4043</v>
      </c>
      <c r="B139" s="288" t="s">
        <v>22</v>
      </c>
      <c r="C139" s="288" t="s">
        <v>26</v>
      </c>
      <c r="D139" s="288" t="s">
        <v>9</v>
      </c>
      <c r="E139" s="290">
        <v>44501</v>
      </c>
      <c r="F139" s="291"/>
      <c r="G139" s="447"/>
      <c r="H139" s="448">
        <f>SUMIFS('Employee Leaves'!$G:$G,'Employee Leaves'!$A:$A,A139,'Employee Leaves'!$E:$E,"Holiday")</f>
        <v>0</v>
      </c>
      <c r="I139" s="448">
        <f>COUNTIFS('Employee Leaves'!$A:$A,A139,'Employee Leaves'!$E:$E,$H$1)</f>
        <v>0</v>
      </c>
      <c r="J139" s="442">
        <f t="shared" si="10"/>
        <v>0.24734108335394508</v>
      </c>
      <c r="K139" s="488">
        <f>SUMIFS('Employee Leaves'!$G:$G,'Employee Leaves'!$A:$A,A139,'Employee Leaves'!$E:$E,"Maternity Leave")</f>
        <v>0</v>
      </c>
      <c r="L139" s="448">
        <f>SUMIFS('Employee Leaves'!$G:$G,'Employee Leaves'!$A:$A,A139,'Employee Leaves'!$E:$E,"Paternity Leave")</f>
        <v>0</v>
      </c>
      <c r="M139" s="448">
        <f>SUMIFS('Employee Leaves'!$G:$G,'Employee Leaves'!$A:$A,A139,'Employee Leaves'!$E:$E,"Sick")</f>
        <v>0</v>
      </c>
      <c r="N139" s="448">
        <f>COUNTIFS('Employee Leaves'!$A:$A,A139,'Employee Leaves'!$E:$E,$M$1)</f>
        <v>0</v>
      </c>
      <c r="O139" s="442">
        <f t="shared" si="11"/>
        <v>0.24734108335394508</v>
      </c>
      <c r="P139" s="445">
        <f>SUMIFS('Employee Leaves'!$G:$G,'Employee Leaves'!$A:$A,A139,'Employee Leaves'!$E:$E,"Others")</f>
        <v>0</v>
      </c>
      <c r="Q139" s="485">
        <f>SUMIFS('Employee Leaves'!$G:$G,'Employee Leaves'!$A:$A,A139)</f>
        <v>0</v>
      </c>
      <c r="R139" s="451"/>
      <c r="S139" s="439" t="str">
        <f t="shared" si="12"/>
        <v>-</v>
      </c>
      <c r="T139" s="238">
        <v>37.049999999999997</v>
      </c>
      <c r="U139" s="239">
        <f t="shared" si="13"/>
        <v>296.39999999999998</v>
      </c>
      <c r="V139" s="239">
        <f t="shared" si="14"/>
        <v>55.574999999999996</v>
      </c>
      <c r="W139" s="243" t="s">
        <v>181</v>
      </c>
      <c r="X139" s="241" t="s">
        <v>180</v>
      </c>
    </row>
    <row r="140" spans="1:24" ht="12.75">
      <c r="A140" s="288">
        <v>4047</v>
      </c>
      <c r="B140" s="288" t="s">
        <v>22</v>
      </c>
      <c r="C140" s="288" t="s">
        <v>23</v>
      </c>
      <c r="D140" s="288" t="s">
        <v>9</v>
      </c>
      <c r="E140" s="290">
        <v>44501</v>
      </c>
      <c r="F140" s="288"/>
      <c r="G140" s="447"/>
      <c r="H140" s="448">
        <f>SUMIFS('Employee Leaves'!$G:$G,'Employee Leaves'!$A:$A,A140,'Employee Leaves'!$E:$E,"Holiday")</f>
        <v>0</v>
      </c>
      <c r="I140" s="448">
        <f>COUNTIFS('Employee Leaves'!$A:$A,A140,'Employee Leaves'!$E:$E,$H$1)</f>
        <v>0</v>
      </c>
      <c r="J140" s="442">
        <f t="shared" si="10"/>
        <v>0.24709661477637757</v>
      </c>
      <c r="K140" s="488">
        <f>SUMIFS('Employee Leaves'!$G:$G,'Employee Leaves'!$A:$A,A140,'Employee Leaves'!$E:$E,"Maternity Leave")</f>
        <v>0</v>
      </c>
      <c r="L140" s="448">
        <f>SUMIFS('Employee Leaves'!$G:$G,'Employee Leaves'!$A:$A,A140,'Employee Leaves'!$E:$E,"Paternity Leave")</f>
        <v>0</v>
      </c>
      <c r="M140" s="448">
        <f>SUMIFS('Employee Leaves'!$G:$G,'Employee Leaves'!$A:$A,A140,'Employee Leaves'!$E:$E,"Sick")</f>
        <v>3</v>
      </c>
      <c r="N140" s="448">
        <f>COUNTIFS('Employee Leaves'!$A:$A,A140,'Employee Leaves'!$E:$E,$M$1)</f>
        <v>1</v>
      </c>
      <c r="O140" s="442">
        <f t="shared" si="11"/>
        <v>3.2470966147763773</v>
      </c>
      <c r="P140" s="445">
        <f>SUMIFS('Employee Leaves'!$G:$G,'Employee Leaves'!$A:$A,A140,'Employee Leaves'!$E:$E,"Others")</f>
        <v>0</v>
      </c>
      <c r="Q140" s="485">
        <f>SUMIFS('Employee Leaves'!$G:$G,'Employee Leaves'!$A:$A,A140)</f>
        <v>3</v>
      </c>
      <c r="R140" s="451"/>
      <c r="S140" s="439" t="str">
        <f t="shared" si="12"/>
        <v>-</v>
      </c>
      <c r="T140" s="238">
        <v>45.8</v>
      </c>
      <c r="U140" s="239">
        <f t="shared" si="13"/>
        <v>366.4</v>
      </c>
      <c r="V140" s="239">
        <f t="shared" si="14"/>
        <v>68.699999999999989</v>
      </c>
      <c r="W140" s="243" t="s">
        <v>173</v>
      </c>
      <c r="X140" s="242" t="s">
        <v>172</v>
      </c>
    </row>
    <row r="141" spans="1:24" ht="12.75">
      <c r="A141" s="288">
        <v>4048</v>
      </c>
      <c r="B141" s="288" t="s">
        <v>22</v>
      </c>
      <c r="C141" s="288" t="s">
        <v>35</v>
      </c>
      <c r="D141" s="288" t="s">
        <v>9</v>
      </c>
      <c r="E141" s="290">
        <v>44501</v>
      </c>
      <c r="F141" s="288"/>
      <c r="G141" s="447"/>
      <c r="H141" s="448">
        <f>SUMIFS('Employee Leaves'!$G:$G,'Employee Leaves'!$A:$A,A141,'Employee Leaves'!$E:$E,"Holiday")</f>
        <v>0</v>
      </c>
      <c r="I141" s="448">
        <f>COUNTIFS('Employee Leaves'!$A:$A,A141,'Employee Leaves'!$E:$E,$H$1)</f>
        <v>0</v>
      </c>
      <c r="J141" s="442">
        <f t="shared" si="10"/>
        <v>0.24703557312252963</v>
      </c>
      <c r="K141" s="488">
        <f>SUMIFS('Employee Leaves'!$G:$G,'Employee Leaves'!$A:$A,A141,'Employee Leaves'!$E:$E,"Maternity Leave")</f>
        <v>0</v>
      </c>
      <c r="L141" s="448">
        <f>SUMIFS('Employee Leaves'!$G:$G,'Employee Leaves'!$A:$A,A141,'Employee Leaves'!$E:$E,"Paternity Leave")</f>
        <v>0</v>
      </c>
      <c r="M141" s="448">
        <f>SUMIFS('Employee Leaves'!$G:$G,'Employee Leaves'!$A:$A,A141,'Employee Leaves'!$E:$E,"Sick")</f>
        <v>0</v>
      </c>
      <c r="N141" s="448">
        <f>COUNTIFS('Employee Leaves'!$A:$A,A141,'Employee Leaves'!$E:$E,$M$1)</f>
        <v>0</v>
      </c>
      <c r="O141" s="442">
        <f t="shared" si="11"/>
        <v>0.24703557312252963</v>
      </c>
      <c r="P141" s="445">
        <f>SUMIFS('Employee Leaves'!$G:$G,'Employee Leaves'!$A:$A,A141,'Employee Leaves'!$E:$E,"Others")</f>
        <v>0</v>
      </c>
      <c r="Q141" s="485">
        <f>SUMIFS('Employee Leaves'!$G:$G,'Employee Leaves'!$A:$A,A141)</f>
        <v>0</v>
      </c>
      <c r="R141" s="451"/>
      <c r="S141" s="439" t="str">
        <f t="shared" si="12"/>
        <v>-</v>
      </c>
      <c r="T141" s="238">
        <v>38.409999999999997</v>
      </c>
      <c r="U141" s="239">
        <f t="shared" si="13"/>
        <v>307.27999999999997</v>
      </c>
      <c r="V141" s="239">
        <f t="shared" si="14"/>
        <v>57.614999999999995</v>
      </c>
      <c r="W141" s="243" t="s">
        <v>175</v>
      </c>
      <c r="X141" s="241" t="s">
        <v>174</v>
      </c>
    </row>
    <row r="142" spans="1:24" ht="12.75">
      <c r="A142" s="288">
        <v>4051</v>
      </c>
      <c r="B142" s="288" t="s">
        <v>22</v>
      </c>
      <c r="C142" s="288" t="s">
        <v>24</v>
      </c>
      <c r="D142" s="288" t="s">
        <v>9</v>
      </c>
      <c r="E142" s="290">
        <v>44256</v>
      </c>
      <c r="F142" s="290">
        <v>44520</v>
      </c>
      <c r="G142" s="447" t="s">
        <v>13</v>
      </c>
      <c r="H142" s="448">
        <f>SUMIFS('Employee Leaves'!$G:$G,'Employee Leaves'!$A:$A,A142,'Employee Leaves'!$E:$E,"Holiday")</f>
        <v>0</v>
      </c>
      <c r="I142" s="448">
        <f>COUNTIFS('Employee Leaves'!$A:$A,A142,'Employee Leaves'!$E:$E,$H$1)</f>
        <v>0</v>
      </c>
      <c r="J142" s="442">
        <f t="shared" si="10"/>
        <v>0.24685262898049865</v>
      </c>
      <c r="K142" s="488">
        <f>SUMIFS('Employee Leaves'!$G:$G,'Employee Leaves'!$A:$A,A142,'Employee Leaves'!$E:$E,"Maternity Leave")</f>
        <v>0</v>
      </c>
      <c r="L142" s="448">
        <f>SUMIFS('Employee Leaves'!$G:$G,'Employee Leaves'!$A:$A,A142,'Employee Leaves'!$E:$E,"Paternity Leave")</f>
        <v>0</v>
      </c>
      <c r="M142" s="448">
        <f>SUMIFS('Employee Leaves'!$G:$G,'Employee Leaves'!$A:$A,A142,'Employee Leaves'!$E:$E,"Sick")</f>
        <v>0</v>
      </c>
      <c r="N142" s="448">
        <f>COUNTIFS('Employee Leaves'!$A:$A,A142,'Employee Leaves'!$E:$E,$M$1)</f>
        <v>0</v>
      </c>
      <c r="O142" s="442">
        <f t="shared" si="11"/>
        <v>0.24685262898049865</v>
      </c>
      <c r="P142" s="445">
        <f>SUMIFS('Employee Leaves'!$G:$G,'Employee Leaves'!$A:$A,A142,'Employee Leaves'!$E:$E,"Others")</f>
        <v>0</v>
      </c>
      <c r="Q142" s="485">
        <f>SUMIFS('Employee Leaves'!$G:$G,'Employee Leaves'!$A:$A,A142)</f>
        <v>0</v>
      </c>
      <c r="R142" s="451"/>
      <c r="S142" s="439">
        <f t="shared" si="12"/>
        <v>264</v>
      </c>
      <c r="T142" s="238">
        <v>48.52</v>
      </c>
      <c r="U142" s="239">
        <f t="shared" si="13"/>
        <v>388.16</v>
      </c>
      <c r="V142" s="239">
        <f t="shared" si="14"/>
        <v>72.78</v>
      </c>
      <c r="W142" s="243" t="s">
        <v>177</v>
      </c>
      <c r="X142" s="241" t="s">
        <v>176</v>
      </c>
    </row>
    <row r="143" spans="1:24" ht="12.75">
      <c r="A143" s="288">
        <v>4058</v>
      </c>
      <c r="B143" s="288" t="s">
        <v>22</v>
      </c>
      <c r="C143" s="288" t="s">
        <v>33</v>
      </c>
      <c r="D143" s="288" t="s">
        <v>9</v>
      </c>
      <c r="E143" s="289">
        <v>44567</v>
      </c>
      <c r="F143" s="288"/>
      <c r="G143" s="447"/>
      <c r="H143" s="448">
        <f>SUMIFS('Employee Leaves'!$G:$G,'Employee Leaves'!$A:$A,A143,'Employee Leaves'!$E:$E,"Holiday")</f>
        <v>0</v>
      </c>
      <c r="I143" s="448">
        <f>COUNTIFS('Employee Leaves'!$A:$A,A143,'Employee Leaves'!$E:$E,$H$1)</f>
        <v>0</v>
      </c>
      <c r="J143" s="442">
        <f t="shared" si="10"/>
        <v>0.24642681123706259</v>
      </c>
      <c r="K143" s="488">
        <f>SUMIFS('Employee Leaves'!$G:$G,'Employee Leaves'!$A:$A,A143,'Employee Leaves'!$E:$E,"Maternity Leave")</f>
        <v>0</v>
      </c>
      <c r="L143" s="448">
        <f>SUMIFS('Employee Leaves'!$G:$G,'Employee Leaves'!$A:$A,A143,'Employee Leaves'!$E:$E,"Paternity Leave")</f>
        <v>0</v>
      </c>
      <c r="M143" s="448">
        <f>SUMIFS('Employee Leaves'!$G:$G,'Employee Leaves'!$A:$A,A143,'Employee Leaves'!$E:$E,"Sick")</f>
        <v>5</v>
      </c>
      <c r="N143" s="448">
        <f>COUNTIFS('Employee Leaves'!$A:$A,A143,'Employee Leaves'!$E:$E,$M$1)</f>
        <v>1</v>
      </c>
      <c r="O143" s="442">
        <f t="shared" si="11"/>
        <v>5.2464268112370629</v>
      </c>
      <c r="P143" s="445">
        <f>SUMIFS('Employee Leaves'!$G:$G,'Employee Leaves'!$A:$A,A143,'Employee Leaves'!$E:$E,"Others")</f>
        <v>0</v>
      </c>
      <c r="Q143" s="485">
        <f>SUMIFS('Employee Leaves'!$G:$G,'Employee Leaves'!$A:$A,A143)</f>
        <v>5</v>
      </c>
      <c r="R143" s="451"/>
      <c r="S143" s="439" t="str">
        <f t="shared" si="12"/>
        <v>-</v>
      </c>
      <c r="T143" s="238">
        <v>45.8</v>
      </c>
      <c r="U143" s="239">
        <f t="shared" si="13"/>
        <v>366.4</v>
      </c>
      <c r="V143" s="239">
        <f t="shared" si="14"/>
        <v>68.699999999999989</v>
      </c>
      <c r="W143" s="243" t="s">
        <v>173</v>
      </c>
      <c r="X143" s="242" t="s">
        <v>172</v>
      </c>
    </row>
    <row r="144" spans="1:24" ht="12.75">
      <c r="A144" s="288">
        <v>4061</v>
      </c>
      <c r="B144" s="288" t="s">
        <v>22</v>
      </c>
      <c r="C144" s="288" t="s">
        <v>33</v>
      </c>
      <c r="D144" s="288" t="s">
        <v>9</v>
      </c>
      <c r="E144" s="289">
        <v>44599</v>
      </c>
      <c r="F144" s="288"/>
      <c r="G144" s="447"/>
      <c r="H144" s="448">
        <f>SUMIFS('Employee Leaves'!$G:$G,'Employee Leaves'!$A:$A,A144,'Employee Leaves'!$E:$E,"Holiday")</f>
        <v>0</v>
      </c>
      <c r="I144" s="448">
        <f>COUNTIFS('Employee Leaves'!$A:$A,A144,'Employee Leaves'!$E:$E,$H$1)</f>
        <v>0</v>
      </c>
      <c r="J144" s="442">
        <f t="shared" si="10"/>
        <v>0.24624476729869491</v>
      </c>
      <c r="K144" s="488">
        <f>SUMIFS('Employee Leaves'!$G:$G,'Employee Leaves'!$A:$A,A144,'Employee Leaves'!$E:$E,"Maternity Leave")</f>
        <v>0</v>
      </c>
      <c r="L144" s="448">
        <f>SUMIFS('Employee Leaves'!$G:$G,'Employee Leaves'!$A:$A,A144,'Employee Leaves'!$E:$E,"Paternity Leave")</f>
        <v>0</v>
      </c>
      <c r="M144" s="448">
        <f>SUMIFS('Employee Leaves'!$G:$G,'Employee Leaves'!$A:$A,A144,'Employee Leaves'!$E:$E,"Sick")</f>
        <v>8</v>
      </c>
      <c r="N144" s="448">
        <f>COUNTIFS('Employee Leaves'!$A:$A,A144,'Employee Leaves'!$E:$E,$M$1)</f>
        <v>1</v>
      </c>
      <c r="O144" s="442">
        <f t="shared" si="11"/>
        <v>8.2462447672986947</v>
      </c>
      <c r="P144" s="445">
        <f>SUMIFS('Employee Leaves'!$G:$G,'Employee Leaves'!$A:$A,A144,'Employee Leaves'!$E:$E,"Others")</f>
        <v>0</v>
      </c>
      <c r="Q144" s="485">
        <f>SUMIFS('Employee Leaves'!$G:$G,'Employee Leaves'!$A:$A,A144)</f>
        <v>8</v>
      </c>
      <c r="R144" s="451"/>
      <c r="S144" s="439" t="str">
        <f t="shared" si="12"/>
        <v>-</v>
      </c>
      <c r="T144" s="238">
        <v>45.8</v>
      </c>
      <c r="U144" s="239">
        <f t="shared" si="13"/>
        <v>366.4</v>
      </c>
      <c r="V144" s="239">
        <f t="shared" si="14"/>
        <v>68.699999999999989</v>
      </c>
      <c r="W144" s="243" t="s">
        <v>173</v>
      </c>
      <c r="X144" s="242" t="s">
        <v>172</v>
      </c>
    </row>
    <row r="145" spans="1:24" ht="12.75">
      <c r="A145" s="288">
        <v>4062</v>
      </c>
      <c r="B145" s="288" t="s">
        <v>22</v>
      </c>
      <c r="C145" s="288" t="s">
        <v>28</v>
      </c>
      <c r="D145" s="288" t="s">
        <v>9</v>
      </c>
      <c r="E145" s="289">
        <v>44474</v>
      </c>
      <c r="F145" s="288"/>
      <c r="G145" s="447"/>
      <c r="H145" s="448">
        <f>SUMIFS('Employee Leaves'!$G:$G,'Employee Leaves'!$A:$A,A145,'Employee Leaves'!$E:$E,"Holiday")</f>
        <v>0</v>
      </c>
      <c r="I145" s="448">
        <f>COUNTIFS('Employee Leaves'!$A:$A,A145,'Employee Leaves'!$E:$E,$H$1)</f>
        <v>0</v>
      </c>
      <c r="J145" s="442">
        <f t="shared" si="10"/>
        <v>0.24618414574101427</v>
      </c>
      <c r="K145" s="488">
        <f>SUMIFS('Employee Leaves'!$G:$G,'Employee Leaves'!$A:$A,A145,'Employee Leaves'!$E:$E,"Maternity Leave")</f>
        <v>0</v>
      </c>
      <c r="L145" s="448">
        <f>SUMIFS('Employee Leaves'!$G:$G,'Employee Leaves'!$A:$A,A145,'Employee Leaves'!$E:$E,"Paternity Leave")</f>
        <v>0</v>
      </c>
      <c r="M145" s="448">
        <f>SUMIFS('Employee Leaves'!$G:$G,'Employee Leaves'!$A:$A,A145,'Employee Leaves'!$E:$E,"Sick")</f>
        <v>4</v>
      </c>
      <c r="N145" s="448">
        <f>COUNTIFS('Employee Leaves'!$A:$A,A145,'Employee Leaves'!$E:$E,$M$1)</f>
        <v>1</v>
      </c>
      <c r="O145" s="442">
        <f t="shared" si="11"/>
        <v>4.2461841457410143</v>
      </c>
      <c r="P145" s="445">
        <f>SUMIFS('Employee Leaves'!$G:$G,'Employee Leaves'!$A:$A,A145,'Employee Leaves'!$E:$E,"Others")</f>
        <v>0</v>
      </c>
      <c r="Q145" s="485">
        <f>SUMIFS('Employee Leaves'!$G:$G,'Employee Leaves'!$A:$A,A145)</f>
        <v>4</v>
      </c>
      <c r="R145" s="451"/>
      <c r="S145" s="439" t="str">
        <f t="shared" si="12"/>
        <v>-</v>
      </c>
      <c r="T145" s="238">
        <v>45.8</v>
      </c>
      <c r="U145" s="239">
        <f t="shared" si="13"/>
        <v>366.4</v>
      </c>
      <c r="V145" s="239">
        <f t="shared" si="14"/>
        <v>68.699999999999989</v>
      </c>
      <c r="W145" s="243" t="s">
        <v>173</v>
      </c>
      <c r="X145" s="242" t="s">
        <v>172</v>
      </c>
    </row>
    <row r="146" spans="1:24" ht="12.75">
      <c r="A146" s="288">
        <v>4063</v>
      </c>
      <c r="B146" s="288" t="s">
        <v>22</v>
      </c>
      <c r="C146" s="288" t="s">
        <v>24</v>
      </c>
      <c r="D146" s="288" t="s">
        <v>9</v>
      </c>
      <c r="E146" s="289">
        <v>44196</v>
      </c>
      <c r="F146" s="290">
        <v>44682</v>
      </c>
      <c r="G146" s="447" t="s">
        <v>13</v>
      </c>
      <c r="H146" s="448">
        <f>SUMIFS('Employee Leaves'!$G:$G,'Employee Leaves'!$A:$A,A146,'Employee Leaves'!$E:$E,"Holiday")</f>
        <v>0</v>
      </c>
      <c r="I146" s="448">
        <f>COUNTIFS('Employee Leaves'!$A:$A,A146,'Employee Leaves'!$E:$E,$H$1)</f>
        <v>0</v>
      </c>
      <c r="J146" s="442">
        <f t="shared" si="10"/>
        <v>0.24612355402412012</v>
      </c>
      <c r="K146" s="488">
        <f>SUMIFS('Employee Leaves'!$G:$G,'Employee Leaves'!$A:$A,A146,'Employee Leaves'!$E:$E,"Maternity Leave")</f>
        <v>0</v>
      </c>
      <c r="L146" s="448">
        <f>SUMIFS('Employee Leaves'!$G:$G,'Employee Leaves'!$A:$A,A146,'Employee Leaves'!$E:$E,"Paternity Leave")</f>
        <v>0</v>
      </c>
      <c r="M146" s="448">
        <f>SUMIFS('Employee Leaves'!$G:$G,'Employee Leaves'!$A:$A,A146,'Employee Leaves'!$E:$E,"Sick")</f>
        <v>4</v>
      </c>
      <c r="N146" s="448">
        <f>COUNTIFS('Employee Leaves'!$A:$A,A146,'Employee Leaves'!$E:$E,$M$1)</f>
        <v>1</v>
      </c>
      <c r="O146" s="442">
        <f t="shared" si="11"/>
        <v>4.2461235540241198</v>
      </c>
      <c r="P146" s="445">
        <f>SUMIFS('Employee Leaves'!$G:$G,'Employee Leaves'!$A:$A,A146,'Employee Leaves'!$E:$E,"Others")</f>
        <v>0</v>
      </c>
      <c r="Q146" s="485">
        <f>SUMIFS('Employee Leaves'!$G:$G,'Employee Leaves'!$A:$A,A146)</f>
        <v>4</v>
      </c>
      <c r="R146" s="451"/>
      <c r="S146" s="439">
        <f t="shared" si="12"/>
        <v>486</v>
      </c>
      <c r="T146" s="238">
        <v>48.52</v>
      </c>
      <c r="U146" s="239">
        <f t="shared" si="13"/>
        <v>388.16</v>
      </c>
      <c r="V146" s="239">
        <f t="shared" si="14"/>
        <v>72.78</v>
      </c>
      <c r="W146" s="243" t="s">
        <v>177</v>
      </c>
      <c r="X146" s="241" t="s">
        <v>176</v>
      </c>
    </row>
    <row r="147" spans="1:24" ht="12.75">
      <c r="A147" s="288">
        <v>4065</v>
      </c>
      <c r="B147" s="288" t="s">
        <v>22</v>
      </c>
      <c r="C147" s="288" t="s">
        <v>28</v>
      </c>
      <c r="D147" s="288" t="s">
        <v>9</v>
      </c>
      <c r="E147" s="289">
        <v>43847</v>
      </c>
      <c r="F147" s="290">
        <v>44300</v>
      </c>
      <c r="G147" s="447" t="s">
        <v>13</v>
      </c>
      <c r="H147" s="448">
        <f>SUMIFS('Employee Leaves'!$G:$G,'Employee Leaves'!$A:$A,A147,'Employee Leaves'!$E:$E,"Holiday")</f>
        <v>0</v>
      </c>
      <c r="I147" s="448">
        <f>COUNTIFS('Employee Leaves'!$A:$A,A147,'Employee Leaves'!$E:$E,$H$1)</f>
        <v>0</v>
      </c>
      <c r="J147" s="442">
        <f t="shared" si="10"/>
        <v>0.24600246002460024</v>
      </c>
      <c r="K147" s="488">
        <f>SUMIFS('Employee Leaves'!$G:$G,'Employee Leaves'!$A:$A,A147,'Employee Leaves'!$E:$E,"Maternity Leave")</f>
        <v>0</v>
      </c>
      <c r="L147" s="448">
        <f>SUMIFS('Employee Leaves'!$G:$G,'Employee Leaves'!$A:$A,A147,'Employee Leaves'!$E:$E,"Paternity Leave")</f>
        <v>0</v>
      </c>
      <c r="M147" s="448">
        <f>SUMIFS('Employee Leaves'!$G:$G,'Employee Leaves'!$A:$A,A147,'Employee Leaves'!$E:$E,"Sick")</f>
        <v>0</v>
      </c>
      <c r="N147" s="448">
        <f>COUNTIFS('Employee Leaves'!$A:$A,A147,'Employee Leaves'!$E:$E,$M$1)</f>
        <v>0</v>
      </c>
      <c r="O147" s="442">
        <f t="shared" si="11"/>
        <v>0.24600246002460024</v>
      </c>
      <c r="P147" s="445">
        <f>SUMIFS('Employee Leaves'!$G:$G,'Employee Leaves'!$A:$A,A147,'Employee Leaves'!$E:$E,"Others")</f>
        <v>0</v>
      </c>
      <c r="Q147" s="485">
        <f>SUMIFS('Employee Leaves'!$G:$G,'Employee Leaves'!$A:$A,A147)</f>
        <v>0</v>
      </c>
      <c r="R147" s="451"/>
      <c r="S147" s="439">
        <f t="shared" si="12"/>
        <v>453</v>
      </c>
      <c r="T147" s="238">
        <v>45.8</v>
      </c>
      <c r="U147" s="239">
        <f t="shared" si="13"/>
        <v>366.4</v>
      </c>
      <c r="V147" s="239">
        <f t="shared" si="14"/>
        <v>68.699999999999989</v>
      </c>
      <c r="W147" s="243" t="s">
        <v>173</v>
      </c>
      <c r="X147" s="242" t="s">
        <v>172</v>
      </c>
    </row>
    <row r="148" spans="1:24" ht="12.75">
      <c r="A148" s="288">
        <v>4066</v>
      </c>
      <c r="B148" s="288" t="s">
        <v>22</v>
      </c>
      <c r="C148" s="288" t="s">
        <v>29</v>
      </c>
      <c r="D148" s="288" t="s">
        <v>9</v>
      </c>
      <c r="E148" s="289">
        <v>44570</v>
      </c>
      <c r="F148" s="290"/>
      <c r="G148" s="447"/>
      <c r="H148" s="448">
        <f>SUMIFS('Employee Leaves'!$G:$G,'Employee Leaves'!$A:$A,A148,'Employee Leaves'!$E:$E,"Holiday")</f>
        <v>0</v>
      </c>
      <c r="I148" s="448">
        <f>COUNTIFS('Employee Leaves'!$A:$A,A148,'Employee Leaves'!$E:$E,$H$1)</f>
        <v>0</v>
      </c>
      <c r="J148" s="442">
        <f t="shared" si="10"/>
        <v>0.24594195769798327</v>
      </c>
      <c r="K148" s="488">
        <f>SUMIFS('Employee Leaves'!$G:$G,'Employee Leaves'!$A:$A,A148,'Employee Leaves'!$E:$E,"Maternity Leave")</f>
        <v>0</v>
      </c>
      <c r="L148" s="448">
        <f>SUMIFS('Employee Leaves'!$G:$G,'Employee Leaves'!$A:$A,A148,'Employee Leaves'!$E:$E,"Paternity Leave")</f>
        <v>0</v>
      </c>
      <c r="M148" s="448">
        <f>SUMIFS('Employee Leaves'!$G:$G,'Employee Leaves'!$A:$A,A148,'Employee Leaves'!$E:$E,"Sick")</f>
        <v>0</v>
      </c>
      <c r="N148" s="448">
        <f>COUNTIFS('Employee Leaves'!$A:$A,A148,'Employee Leaves'!$E:$E,$M$1)</f>
        <v>0</v>
      </c>
      <c r="O148" s="442">
        <f t="shared" si="11"/>
        <v>0.24594195769798327</v>
      </c>
      <c r="P148" s="445">
        <f>SUMIFS('Employee Leaves'!$G:$G,'Employee Leaves'!$A:$A,A148,'Employee Leaves'!$E:$E,"Others")</f>
        <v>0</v>
      </c>
      <c r="Q148" s="485">
        <f>SUMIFS('Employee Leaves'!$G:$G,'Employee Leaves'!$A:$A,A148)</f>
        <v>0</v>
      </c>
      <c r="R148" s="451"/>
      <c r="S148" s="439" t="str">
        <f t="shared" si="12"/>
        <v>-</v>
      </c>
      <c r="T148" s="238">
        <v>45.8</v>
      </c>
      <c r="U148" s="239">
        <f t="shared" si="13"/>
        <v>366.4</v>
      </c>
      <c r="V148" s="239">
        <f t="shared" si="14"/>
        <v>68.699999999999989</v>
      </c>
      <c r="W148" s="243" t="s">
        <v>173</v>
      </c>
      <c r="X148" s="242" t="s">
        <v>172</v>
      </c>
    </row>
    <row r="149" spans="1:24" ht="12.75">
      <c r="A149" s="288">
        <v>4067</v>
      </c>
      <c r="B149" s="288" t="s">
        <v>22</v>
      </c>
      <c r="C149" s="288" t="s">
        <v>32</v>
      </c>
      <c r="D149" s="288" t="s">
        <v>9</v>
      </c>
      <c r="E149" s="289">
        <v>43979</v>
      </c>
      <c r="F149" s="290">
        <v>44348</v>
      </c>
      <c r="G149" s="447" t="s">
        <v>14</v>
      </c>
      <c r="H149" s="448">
        <f>SUMIFS('Employee Leaves'!$G:$G,'Employee Leaves'!$A:$A,A149,'Employee Leaves'!$E:$E,"Holiday")</f>
        <v>0</v>
      </c>
      <c r="I149" s="448">
        <f>COUNTIFS('Employee Leaves'!$A:$A,A149,'Employee Leaves'!$E:$E,$H$1)</f>
        <v>0</v>
      </c>
      <c r="J149" s="442">
        <f t="shared" si="10"/>
        <v>0.24588148512417016</v>
      </c>
      <c r="K149" s="488">
        <f>SUMIFS('Employee Leaves'!$G:$G,'Employee Leaves'!$A:$A,A149,'Employee Leaves'!$E:$E,"Maternity Leave")</f>
        <v>0</v>
      </c>
      <c r="L149" s="448">
        <f>SUMIFS('Employee Leaves'!$G:$G,'Employee Leaves'!$A:$A,A149,'Employee Leaves'!$E:$E,"Paternity Leave")</f>
        <v>0</v>
      </c>
      <c r="M149" s="448">
        <f>SUMIFS('Employee Leaves'!$G:$G,'Employee Leaves'!$A:$A,A149,'Employee Leaves'!$E:$E,"Sick")</f>
        <v>0</v>
      </c>
      <c r="N149" s="448">
        <f>COUNTIFS('Employee Leaves'!$A:$A,A149,'Employee Leaves'!$E:$E,$M$1)</f>
        <v>0</v>
      </c>
      <c r="O149" s="442">
        <f t="shared" si="11"/>
        <v>0.24588148512417016</v>
      </c>
      <c r="P149" s="445">
        <f>SUMIFS('Employee Leaves'!$G:$G,'Employee Leaves'!$A:$A,A149,'Employee Leaves'!$E:$E,"Others")</f>
        <v>0</v>
      </c>
      <c r="Q149" s="485">
        <f>SUMIFS('Employee Leaves'!$G:$G,'Employee Leaves'!$A:$A,A149)</f>
        <v>0</v>
      </c>
      <c r="R149" s="451"/>
      <c r="S149" s="439">
        <f t="shared" si="12"/>
        <v>369</v>
      </c>
      <c r="T149" s="238">
        <v>48.52</v>
      </c>
      <c r="U149" s="239">
        <f t="shared" si="13"/>
        <v>388.16</v>
      </c>
      <c r="V149" s="239">
        <f t="shared" si="14"/>
        <v>72.78</v>
      </c>
      <c r="W149" s="243" t="s">
        <v>177</v>
      </c>
      <c r="X149" s="241" t="s">
        <v>176</v>
      </c>
    </row>
    <row r="150" spans="1:24" ht="12.75">
      <c r="A150" s="288">
        <v>4070</v>
      </c>
      <c r="B150" s="288" t="s">
        <v>22</v>
      </c>
      <c r="C150" s="288" t="s">
        <v>30</v>
      </c>
      <c r="D150" s="288" t="s">
        <v>9</v>
      </c>
      <c r="E150" s="289">
        <v>44440</v>
      </c>
      <c r="F150" s="290"/>
      <c r="G150" s="447"/>
      <c r="H150" s="448">
        <f>SUMIFS('Employee Leaves'!$G:$G,'Employee Leaves'!$A:$A,A150,'Employee Leaves'!$E:$E,"Holiday")</f>
        <v>0</v>
      </c>
      <c r="I150" s="448">
        <f>COUNTIFS('Employee Leaves'!$A:$A,A150,'Employee Leaves'!$E:$E,$H$1)</f>
        <v>0</v>
      </c>
      <c r="J150" s="442">
        <f t="shared" si="10"/>
        <v>0.24570024570024571</v>
      </c>
      <c r="K150" s="488">
        <f>SUMIFS('Employee Leaves'!$G:$G,'Employee Leaves'!$A:$A,A150,'Employee Leaves'!$E:$E,"Maternity Leave")</f>
        <v>0</v>
      </c>
      <c r="L150" s="448">
        <f>SUMIFS('Employee Leaves'!$G:$G,'Employee Leaves'!$A:$A,A150,'Employee Leaves'!$E:$E,"Paternity Leave")</f>
        <v>0</v>
      </c>
      <c r="M150" s="448">
        <f>SUMIFS('Employee Leaves'!$G:$G,'Employee Leaves'!$A:$A,A150,'Employee Leaves'!$E:$E,"Sick")</f>
        <v>0</v>
      </c>
      <c r="N150" s="448">
        <f>COUNTIFS('Employee Leaves'!$A:$A,A150,'Employee Leaves'!$E:$E,$M$1)</f>
        <v>0</v>
      </c>
      <c r="O150" s="442">
        <f t="shared" si="11"/>
        <v>0.24570024570024571</v>
      </c>
      <c r="P150" s="445">
        <f>SUMIFS('Employee Leaves'!$G:$G,'Employee Leaves'!$A:$A,A150,'Employee Leaves'!$E:$E,"Others")</f>
        <v>0</v>
      </c>
      <c r="Q150" s="485">
        <f>SUMIFS('Employee Leaves'!$G:$G,'Employee Leaves'!$A:$A,A150)</f>
        <v>0</v>
      </c>
      <c r="R150" s="451"/>
      <c r="S150" s="439" t="str">
        <f t="shared" si="12"/>
        <v>-</v>
      </c>
      <c r="T150" s="238">
        <v>23.93</v>
      </c>
      <c r="U150" s="239">
        <f t="shared" si="13"/>
        <v>191.44</v>
      </c>
      <c r="V150" s="239">
        <f t="shared" si="14"/>
        <v>35.894999999999996</v>
      </c>
      <c r="W150" s="243" t="s">
        <v>170</v>
      </c>
      <c r="X150" s="241" t="s">
        <v>169</v>
      </c>
    </row>
    <row r="151" spans="1:24" ht="12.75">
      <c r="A151" s="288">
        <v>4071</v>
      </c>
      <c r="B151" s="288" t="s">
        <v>22</v>
      </c>
      <c r="C151" s="288" t="s">
        <v>24</v>
      </c>
      <c r="D151" s="288" t="s">
        <v>9</v>
      </c>
      <c r="E151" s="289">
        <v>44039</v>
      </c>
      <c r="F151" s="290">
        <v>44348</v>
      </c>
      <c r="G151" s="447" t="s">
        <v>14</v>
      </c>
      <c r="H151" s="448">
        <f>SUMIFS('Employee Leaves'!$G:$G,'Employee Leaves'!$A:$A,A151,'Employee Leaves'!$E:$E,"Holiday")</f>
        <v>0</v>
      </c>
      <c r="I151" s="448">
        <f>COUNTIFS('Employee Leaves'!$A:$A,A151,'Employee Leaves'!$E:$E,$H$1)</f>
        <v>0</v>
      </c>
      <c r="J151" s="442">
        <f t="shared" si="10"/>
        <v>0.24563989191844757</v>
      </c>
      <c r="K151" s="488">
        <f>SUMIFS('Employee Leaves'!$G:$G,'Employee Leaves'!$A:$A,A151,'Employee Leaves'!$E:$E,"Maternity Leave")</f>
        <v>0</v>
      </c>
      <c r="L151" s="448">
        <f>SUMIFS('Employee Leaves'!$G:$G,'Employee Leaves'!$A:$A,A151,'Employee Leaves'!$E:$E,"Paternity Leave")</f>
        <v>0</v>
      </c>
      <c r="M151" s="448">
        <f>SUMIFS('Employee Leaves'!$G:$G,'Employee Leaves'!$A:$A,A151,'Employee Leaves'!$E:$E,"Sick")</f>
        <v>0</v>
      </c>
      <c r="N151" s="448">
        <f>COUNTIFS('Employee Leaves'!$A:$A,A151,'Employee Leaves'!$E:$E,$M$1)</f>
        <v>0</v>
      </c>
      <c r="O151" s="442">
        <f t="shared" si="11"/>
        <v>0.24563989191844757</v>
      </c>
      <c r="P151" s="445">
        <f>SUMIFS('Employee Leaves'!$G:$G,'Employee Leaves'!$A:$A,A151,'Employee Leaves'!$E:$E,"Others")</f>
        <v>0</v>
      </c>
      <c r="Q151" s="485">
        <f>SUMIFS('Employee Leaves'!$G:$G,'Employee Leaves'!$A:$A,A151)</f>
        <v>0</v>
      </c>
      <c r="R151" s="451"/>
      <c r="S151" s="439">
        <f t="shared" si="12"/>
        <v>309</v>
      </c>
      <c r="T151" s="238">
        <v>48.52</v>
      </c>
      <c r="U151" s="239">
        <f t="shared" si="13"/>
        <v>388.16</v>
      </c>
      <c r="V151" s="239">
        <f t="shared" si="14"/>
        <v>72.78</v>
      </c>
      <c r="W151" s="243" t="s">
        <v>177</v>
      </c>
      <c r="X151" s="241" t="s">
        <v>176</v>
      </c>
    </row>
    <row r="152" spans="1:24" ht="12.75">
      <c r="A152" s="288">
        <v>4075</v>
      </c>
      <c r="B152" s="288" t="s">
        <v>22</v>
      </c>
      <c r="C152" s="288" t="s">
        <v>31</v>
      </c>
      <c r="D152" s="288" t="s">
        <v>9</v>
      </c>
      <c r="E152" s="289">
        <v>44213</v>
      </c>
      <c r="F152" s="290"/>
      <c r="G152" s="447"/>
      <c r="H152" s="448">
        <f>SUMIFS('Employee Leaves'!$G:$G,'Employee Leaves'!$A:$A,A152,'Employee Leaves'!$E:$E,"Holiday")</f>
        <v>0</v>
      </c>
      <c r="I152" s="448">
        <f>COUNTIFS('Employee Leaves'!$A:$A,A152,'Employee Leaves'!$E:$E,$H$1)</f>
        <v>0</v>
      </c>
      <c r="J152" s="442">
        <f t="shared" si="10"/>
        <v>0.24539877300613497</v>
      </c>
      <c r="K152" s="488">
        <f>SUMIFS('Employee Leaves'!$G:$G,'Employee Leaves'!$A:$A,A152,'Employee Leaves'!$E:$E,"Maternity Leave")</f>
        <v>0</v>
      </c>
      <c r="L152" s="448">
        <f>SUMIFS('Employee Leaves'!$G:$G,'Employee Leaves'!$A:$A,A152,'Employee Leaves'!$E:$E,"Paternity Leave")</f>
        <v>0</v>
      </c>
      <c r="M152" s="448">
        <f>SUMIFS('Employee Leaves'!$G:$G,'Employee Leaves'!$A:$A,A152,'Employee Leaves'!$E:$E,"Sick")</f>
        <v>0</v>
      </c>
      <c r="N152" s="448">
        <f>COUNTIFS('Employee Leaves'!$A:$A,A152,'Employee Leaves'!$E:$E,$M$1)</f>
        <v>0</v>
      </c>
      <c r="O152" s="442">
        <f t="shared" si="11"/>
        <v>0.24539877300613497</v>
      </c>
      <c r="P152" s="445">
        <f>SUMIFS('Employee Leaves'!$G:$G,'Employee Leaves'!$A:$A,A152,'Employee Leaves'!$E:$E,"Others")</f>
        <v>0</v>
      </c>
      <c r="Q152" s="485">
        <f>SUMIFS('Employee Leaves'!$G:$G,'Employee Leaves'!$A:$A,A152)</f>
        <v>0</v>
      </c>
      <c r="R152" s="451"/>
      <c r="S152" s="439" t="str">
        <f t="shared" si="12"/>
        <v>-</v>
      </c>
      <c r="T152" s="238">
        <v>45.8</v>
      </c>
      <c r="U152" s="239">
        <f t="shared" si="13"/>
        <v>366.4</v>
      </c>
      <c r="V152" s="239">
        <f t="shared" si="14"/>
        <v>68.699999999999989</v>
      </c>
      <c r="W152" s="243" t="s">
        <v>173</v>
      </c>
      <c r="X152" s="242" t="s">
        <v>172</v>
      </c>
    </row>
    <row r="153" spans="1:24" ht="12.75">
      <c r="A153" s="288">
        <v>4076</v>
      </c>
      <c r="B153" s="288" t="s">
        <v>22</v>
      </c>
      <c r="C153" s="288" t="s">
        <v>25</v>
      </c>
      <c r="D153" s="288" t="s">
        <v>9</v>
      </c>
      <c r="E153" s="289">
        <v>44191</v>
      </c>
      <c r="F153" s="290"/>
      <c r="G153" s="447"/>
      <c r="H153" s="448">
        <f>SUMIFS('Employee Leaves'!$G:$G,'Employee Leaves'!$A:$A,A153,'Employee Leaves'!$E:$E,"Holiday")</f>
        <v>0</v>
      </c>
      <c r="I153" s="448">
        <f>COUNTIFS('Employee Leaves'!$A:$A,A153,'Employee Leaves'!$E:$E,$H$1)</f>
        <v>0</v>
      </c>
      <c r="J153" s="442">
        <f t="shared" si="10"/>
        <v>0.24533856722276742</v>
      </c>
      <c r="K153" s="488">
        <f>SUMIFS('Employee Leaves'!$G:$G,'Employee Leaves'!$A:$A,A153,'Employee Leaves'!$E:$E,"Maternity Leave")</f>
        <v>0</v>
      </c>
      <c r="L153" s="448">
        <f>SUMIFS('Employee Leaves'!$G:$G,'Employee Leaves'!$A:$A,A153,'Employee Leaves'!$E:$E,"Paternity Leave")</f>
        <v>0</v>
      </c>
      <c r="M153" s="448">
        <f>SUMIFS('Employee Leaves'!$G:$G,'Employee Leaves'!$A:$A,A153,'Employee Leaves'!$E:$E,"Sick")</f>
        <v>2</v>
      </c>
      <c r="N153" s="448">
        <f>COUNTIFS('Employee Leaves'!$A:$A,A153,'Employee Leaves'!$E:$E,$M$1)</f>
        <v>1</v>
      </c>
      <c r="O153" s="442">
        <f t="shared" si="11"/>
        <v>2.2453385672227673</v>
      </c>
      <c r="P153" s="445">
        <f>SUMIFS('Employee Leaves'!$G:$G,'Employee Leaves'!$A:$A,A153,'Employee Leaves'!$E:$E,"Others")</f>
        <v>4</v>
      </c>
      <c r="Q153" s="485">
        <f>SUMIFS('Employee Leaves'!$G:$G,'Employee Leaves'!$A:$A,A153)</f>
        <v>6</v>
      </c>
      <c r="R153" s="451"/>
      <c r="S153" s="439" t="str">
        <f t="shared" si="12"/>
        <v>-</v>
      </c>
      <c r="T153" s="238">
        <v>45.8</v>
      </c>
      <c r="U153" s="239">
        <f t="shared" si="13"/>
        <v>366.4</v>
      </c>
      <c r="V153" s="239">
        <f t="shared" si="14"/>
        <v>68.699999999999989</v>
      </c>
      <c r="W153" s="243" t="s">
        <v>173</v>
      </c>
      <c r="X153" s="242" t="s">
        <v>172</v>
      </c>
    </row>
    <row r="154" spans="1:24" ht="12.75">
      <c r="A154" s="288">
        <v>4078</v>
      </c>
      <c r="B154" s="288" t="s">
        <v>22</v>
      </c>
      <c r="C154" s="288" t="s">
        <v>33</v>
      </c>
      <c r="D154" s="288" t="s">
        <v>9</v>
      </c>
      <c r="E154" s="289">
        <v>44293</v>
      </c>
      <c r="F154" s="290"/>
      <c r="G154" s="447"/>
      <c r="H154" s="448">
        <f>SUMIFS('Employee Leaves'!$G:$G,'Employee Leaves'!$A:$A,A154,'Employee Leaves'!$E:$E,"Holiday")</f>
        <v>0</v>
      </c>
      <c r="I154" s="448">
        <f>COUNTIFS('Employee Leaves'!$A:$A,A154,'Employee Leaves'!$E:$E,$H$1)</f>
        <v>0</v>
      </c>
      <c r="J154" s="442">
        <f t="shared" si="10"/>
        <v>0.24521824423737126</v>
      </c>
      <c r="K154" s="488">
        <f>SUMIFS('Employee Leaves'!$G:$G,'Employee Leaves'!$A:$A,A154,'Employee Leaves'!$E:$E,"Maternity Leave")</f>
        <v>0</v>
      </c>
      <c r="L154" s="448">
        <f>SUMIFS('Employee Leaves'!$G:$G,'Employee Leaves'!$A:$A,A154,'Employee Leaves'!$E:$E,"Paternity Leave")</f>
        <v>0</v>
      </c>
      <c r="M154" s="448">
        <f>SUMIFS('Employee Leaves'!$G:$G,'Employee Leaves'!$A:$A,A154,'Employee Leaves'!$E:$E,"Sick")</f>
        <v>6</v>
      </c>
      <c r="N154" s="448">
        <f>COUNTIFS('Employee Leaves'!$A:$A,A154,'Employee Leaves'!$E:$E,$M$1)</f>
        <v>1</v>
      </c>
      <c r="O154" s="442">
        <f t="shared" si="11"/>
        <v>6.2452182442373712</v>
      </c>
      <c r="P154" s="445">
        <f>SUMIFS('Employee Leaves'!$G:$G,'Employee Leaves'!$A:$A,A154,'Employee Leaves'!$E:$E,"Others")</f>
        <v>0</v>
      </c>
      <c r="Q154" s="485">
        <f>SUMIFS('Employee Leaves'!$G:$G,'Employee Leaves'!$A:$A,A154)</f>
        <v>6</v>
      </c>
      <c r="R154" s="451"/>
      <c r="S154" s="439" t="str">
        <f t="shared" si="12"/>
        <v>-</v>
      </c>
      <c r="T154" s="238">
        <v>45.8</v>
      </c>
      <c r="U154" s="239">
        <f t="shared" si="13"/>
        <v>366.4</v>
      </c>
      <c r="V154" s="239">
        <f t="shared" si="14"/>
        <v>68.699999999999989</v>
      </c>
      <c r="W154" s="243" t="s">
        <v>173</v>
      </c>
      <c r="X154" s="242" t="s">
        <v>172</v>
      </c>
    </row>
    <row r="155" spans="1:24" ht="12.75">
      <c r="A155" s="288">
        <v>4079</v>
      </c>
      <c r="B155" s="288" t="s">
        <v>22</v>
      </c>
      <c r="C155" s="288" t="s">
        <v>32</v>
      </c>
      <c r="D155" s="288" t="s">
        <v>36</v>
      </c>
      <c r="E155" s="289">
        <v>44634</v>
      </c>
      <c r="F155" s="290"/>
      <c r="G155" s="447"/>
      <c r="H155" s="448">
        <f>SUMIFS('Employee Leaves'!$G:$G,'Employee Leaves'!$A:$A,A155,'Employee Leaves'!$E:$E,"Holiday")</f>
        <v>0</v>
      </c>
      <c r="I155" s="448">
        <f>COUNTIFS('Employee Leaves'!$A:$A,A155,'Employee Leaves'!$E:$E,$H$1)</f>
        <v>0</v>
      </c>
      <c r="J155" s="442">
        <f t="shared" si="10"/>
        <v>0.24515812699190978</v>
      </c>
      <c r="K155" s="488">
        <f>SUMIFS('Employee Leaves'!$G:$G,'Employee Leaves'!$A:$A,A155,'Employee Leaves'!$E:$E,"Maternity Leave")</f>
        <v>0</v>
      </c>
      <c r="L155" s="448">
        <f>SUMIFS('Employee Leaves'!$G:$G,'Employee Leaves'!$A:$A,A155,'Employee Leaves'!$E:$E,"Paternity Leave")</f>
        <v>0</v>
      </c>
      <c r="M155" s="448">
        <f>SUMIFS('Employee Leaves'!$G:$G,'Employee Leaves'!$A:$A,A155,'Employee Leaves'!$E:$E,"Sick")</f>
        <v>0</v>
      </c>
      <c r="N155" s="448">
        <f>COUNTIFS('Employee Leaves'!$A:$A,A155,'Employee Leaves'!$E:$E,$M$1)</f>
        <v>0</v>
      </c>
      <c r="O155" s="442">
        <f t="shared" si="11"/>
        <v>0.24515812699190978</v>
      </c>
      <c r="P155" s="445">
        <f>SUMIFS('Employee Leaves'!$G:$G,'Employee Leaves'!$A:$A,A155,'Employee Leaves'!$E:$E,"Others")</f>
        <v>0</v>
      </c>
      <c r="Q155" s="485">
        <f>SUMIFS('Employee Leaves'!$G:$G,'Employee Leaves'!$A:$A,A155)</f>
        <v>0</v>
      </c>
      <c r="R155" s="451"/>
      <c r="S155" s="439" t="str">
        <f t="shared" si="12"/>
        <v>-</v>
      </c>
      <c r="T155" s="238">
        <v>48.52</v>
      </c>
      <c r="U155" s="239">
        <f t="shared" si="13"/>
        <v>388.16</v>
      </c>
      <c r="V155" s="239">
        <f t="shared" si="14"/>
        <v>72.78</v>
      </c>
      <c r="W155" s="243" t="s">
        <v>177</v>
      </c>
      <c r="X155" s="241" t="s">
        <v>176</v>
      </c>
    </row>
    <row r="156" spans="1:24" ht="12.75">
      <c r="A156" s="288">
        <v>4080</v>
      </c>
      <c r="B156" s="288" t="s">
        <v>22</v>
      </c>
      <c r="C156" s="288" t="s">
        <v>24</v>
      </c>
      <c r="D156" s="288" t="s">
        <v>36</v>
      </c>
      <c r="E156" s="289">
        <v>44140</v>
      </c>
      <c r="F156" s="290">
        <v>44348</v>
      </c>
      <c r="G156" s="447" t="s">
        <v>14</v>
      </c>
      <c r="H156" s="448">
        <f>SUMIFS('Employee Leaves'!$G:$G,'Employee Leaves'!$A:$A,A156,'Employee Leaves'!$E:$E,"Holiday")</f>
        <v>0</v>
      </c>
      <c r="I156" s="448">
        <f>COUNTIFS('Employee Leaves'!$A:$A,A156,'Employee Leaves'!$E:$E,$H$1)</f>
        <v>0</v>
      </c>
      <c r="J156" s="442">
        <f t="shared" si="10"/>
        <v>0.24509803921568626</v>
      </c>
      <c r="K156" s="488">
        <f>SUMIFS('Employee Leaves'!$G:$G,'Employee Leaves'!$A:$A,A156,'Employee Leaves'!$E:$E,"Maternity Leave")</f>
        <v>0</v>
      </c>
      <c r="L156" s="448">
        <f>SUMIFS('Employee Leaves'!$G:$G,'Employee Leaves'!$A:$A,A156,'Employee Leaves'!$E:$E,"Paternity Leave")</f>
        <v>0</v>
      </c>
      <c r="M156" s="448">
        <f>SUMIFS('Employee Leaves'!$G:$G,'Employee Leaves'!$A:$A,A156,'Employee Leaves'!$E:$E,"Sick")</f>
        <v>0</v>
      </c>
      <c r="N156" s="448">
        <f>COUNTIFS('Employee Leaves'!$A:$A,A156,'Employee Leaves'!$E:$E,$M$1)</f>
        <v>0</v>
      </c>
      <c r="O156" s="442">
        <f t="shared" si="11"/>
        <v>0.24509803921568626</v>
      </c>
      <c r="P156" s="445">
        <f>SUMIFS('Employee Leaves'!$G:$G,'Employee Leaves'!$A:$A,A156,'Employee Leaves'!$E:$E,"Others")</f>
        <v>0</v>
      </c>
      <c r="Q156" s="485">
        <f>SUMIFS('Employee Leaves'!$G:$G,'Employee Leaves'!$A:$A,A156)</f>
        <v>0</v>
      </c>
      <c r="R156" s="451"/>
      <c r="S156" s="439">
        <f t="shared" si="12"/>
        <v>208</v>
      </c>
      <c r="T156" s="238">
        <v>48.52</v>
      </c>
      <c r="U156" s="239">
        <f t="shared" si="13"/>
        <v>388.16</v>
      </c>
      <c r="V156" s="239">
        <f t="shared" si="14"/>
        <v>72.78</v>
      </c>
      <c r="W156" s="243" t="s">
        <v>177</v>
      </c>
      <c r="X156" s="241" t="s">
        <v>176</v>
      </c>
    </row>
    <row r="157" spans="1:24" ht="12.75">
      <c r="A157" s="288">
        <v>4082</v>
      </c>
      <c r="B157" s="288" t="s">
        <v>22</v>
      </c>
      <c r="C157" s="288" t="s">
        <v>24</v>
      </c>
      <c r="D157" s="288" t="s">
        <v>9</v>
      </c>
      <c r="E157" s="289">
        <v>43877</v>
      </c>
      <c r="F157" s="290"/>
      <c r="G157" s="447"/>
      <c r="H157" s="448">
        <f>SUMIFS('Employee Leaves'!$G:$G,'Employee Leaves'!$A:$A,A157,'Employee Leaves'!$E:$E,"Holiday")</f>
        <v>0</v>
      </c>
      <c r="I157" s="448">
        <f>COUNTIFS('Employee Leaves'!$A:$A,A157,'Employee Leaves'!$E:$E,$H$1)</f>
        <v>0</v>
      </c>
      <c r="J157" s="442">
        <f t="shared" si="10"/>
        <v>0.2449779519843214</v>
      </c>
      <c r="K157" s="488">
        <f>SUMIFS('Employee Leaves'!$G:$G,'Employee Leaves'!$A:$A,A157,'Employee Leaves'!$E:$E,"Maternity Leave")</f>
        <v>0</v>
      </c>
      <c r="L157" s="448">
        <f>SUMIFS('Employee Leaves'!$G:$G,'Employee Leaves'!$A:$A,A157,'Employee Leaves'!$E:$E,"Paternity Leave")</f>
        <v>0</v>
      </c>
      <c r="M157" s="448">
        <f>SUMIFS('Employee Leaves'!$G:$G,'Employee Leaves'!$A:$A,A157,'Employee Leaves'!$E:$E,"Sick")</f>
        <v>10</v>
      </c>
      <c r="N157" s="448">
        <f>COUNTIFS('Employee Leaves'!$A:$A,A157,'Employee Leaves'!$E:$E,$M$1)</f>
        <v>2</v>
      </c>
      <c r="O157" s="442">
        <f t="shared" si="11"/>
        <v>10.244977951984321</v>
      </c>
      <c r="P157" s="445">
        <f>SUMIFS('Employee Leaves'!$G:$G,'Employee Leaves'!$A:$A,A157,'Employee Leaves'!$E:$E,"Others")</f>
        <v>0</v>
      </c>
      <c r="Q157" s="485">
        <f>SUMIFS('Employee Leaves'!$G:$G,'Employee Leaves'!$A:$A,A157)</f>
        <v>10</v>
      </c>
      <c r="R157" s="451"/>
      <c r="S157" s="439" t="str">
        <f t="shared" si="12"/>
        <v>-</v>
      </c>
      <c r="T157" s="238">
        <v>48.52</v>
      </c>
      <c r="U157" s="239">
        <f t="shared" si="13"/>
        <v>388.16</v>
      </c>
      <c r="V157" s="239">
        <f t="shared" si="14"/>
        <v>72.78</v>
      </c>
      <c r="W157" s="243" t="s">
        <v>177</v>
      </c>
      <c r="X157" s="241" t="s">
        <v>176</v>
      </c>
    </row>
    <row r="158" spans="1:24" ht="12.75">
      <c r="A158" s="288">
        <v>4083</v>
      </c>
      <c r="B158" s="288" t="s">
        <v>22</v>
      </c>
      <c r="C158" s="288" t="s">
        <v>29</v>
      </c>
      <c r="D158" s="288" t="s">
        <v>9</v>
      </c>
      <c r="E158" s="289">
        <v>44004</v>
      </c>
      <c r="F158" s="290"/>
      <c r="G158" s="447"/>
      <c r="H158" s="448">
        <f>SUMIFS('Employee Leaves'!$G:$G,'Employee Leaves'!$A:$A,A158,'Employee Leaves'!$E:$E,"Holiday")</f>
        <v>0</v>
      </c>
      <c r="I158" s="448">
        <f>COUNTIFS('Employee Leaves'!$A:$A,A158,'Employee Leaves'!$E:$E,$H$1)</f>
        <v>0</v>
      </c>
      <c r="J158" s="442">
        <f t="shared" si="10"/>
        <v>0.24491795248591722</v>
      </c>
      <c r="K158" s="488">
        <f>SUMIFS('Employee Leaves'!$G:$G,'Employee Leaves'!$A:$A,A158,'Employee Leaves'!$E:$E,"Maternity Leave")</f>
        <v>0</v>
      </c>
      <c r="L158" s="448">
        <f>SUMIFS('Employee Leaves'!$G:$G,'Employee Leaves'!$A:$A,A158,'Employee Leaves'!$E:$E,"Paternity Leave")</f>
        <v>0</v>
      </c>
      <c r="M158" s="448">
        <f>SUMIFS('Employee Leaves'!$G:$G,'Employee Leaves'!$A:$A,A158,'Employee Leaves'!$E:$E,"Sick")</f>
        <v>5</v>
      </c>
      <c r="N158" s="448">
        <f>COUNTIFS('Employee Leaves'!$A:$A,A158,'Employee Leaves'!$E:$E,$M$1)</f>
        <v>1</v>
      </c>
      <c r="O158" s="442">
        <f t="shared" si="11"/>
        <v>5.2449179524859169</v>
      </c>
      <c r="P158" s="445">
        <f>SUMIFS('Employee Leaves'!$G:$G,'Employee Leaves'!$A:$A,A158,'Employee Leaves'!$E:$E,"Others")</f>
        <v>0</v>
      </c>
      <c r="Q158" s="485">
        <f>SUMIFS('Employee Leaves'!$G:$G,'Employee Leaves'!$A:$A,A158)</f>
        <v>5</v>
      </c>
      <c r="R158" s="451"/>
      <c r="S158" s="439" t="str">
        <f t="shared" si="12"/>
        <v>-</v>
      </c>
      <c r="T158" s="238">
        <v>45.8</v>
      </c>
      <c r="U158" s="239">
        <f t="shared" si="13"/>
        <v>366.4</v>
      </c>
      <c r="V158" s="239">
        <f t="shared" si="14"/>
        <v>68.699999999999989</v>
      </c>
      <c r="W158" s="243" t="s">
        <v>173</v>
      </c>
      <c r="X158" s="242" t="s">
        <v>172</v>
      </c>
    </row>
    <row r="159" spans="1:24" ht="12.75">
      <c r="A159" s="288">
        <v>4084</v>
      </c>
      <c r="B159" s="288" t="s">
        <v>22</v>
      </c>
      <c r="C159" s="288" t="s">
        <v>26</v>
      </c>
      <c r="D159" s="288" t="s">
        <v>9</v>
      </c>
      <c r="E159" s="289">
        <v>43923</v>
      </c>
      <c r="F159" s="290"/>
      <c r="G159" s="447"/>
      <c r="H159" s="448">
        <f>SUMIFS('Employee Leaves'!$G:$G,'Employee Leaves'!$A:$A,A159,'Employee Leaves'!$E:$E,"Holiday")</f>
        <v>0</v>
      </c>
      <c r="I159" s="448">
        <f>COUNTIFS('Employee Leaves'!$A:$A,A159,'Employee Leaves'!$E:$E,$H$1)</f>
        <v>0</v>
      </c>
      <c r="J159" s="442">
        <f t="shared" si="10"/>
        <v>0.24485798237022527</v>
      </c>
      <c r="K159" s="488">
        <f>SUMIFS('Employee Leaves'!$G:$G,'Employee Leaves'!$A:$A,A159,'Employee Leaves'!$E:$E,"Maternity Leave")</f>
        <v>0</v>
      </c>
      <c r="L159" s="448">
        <f>SUMIFS('Employee Leaves'!$G:$G,'Employee Leaves'!$A:$A,A159,'Employee Leaves'!$E:$E,"Paternity Leave")</f>
        <v>0</v>
      </c>
      <c r="M159" s="448">
        <f>SUMIFS('Employee Leaves'!$G:$G,'Employee Leaves'!$A:$A,A159,'Employee Leaves'!$E:$E,"Sick")</f>
        <v>4</v>
      </c>
      <c r="N159" s="448">
        <f>COUNTIFS('Employee Leaves'!$A:$A,A159,'Employee Leaves'!$E:$E,$M$1)</f>
        <v>1</v>
      </c>
      <c r="O159" s="442">
        <f t="shared" si="11"/>
        <v>4.2448579823702257</v>
      </c>
      <c r="P159" s="445">
        <f>SUMIFS('Employee Leaves'!$G:$G,'Employee Leaves'!$A:$A,A159,'Employee Leaves'!$E:$E,"Others")</f>
        <v>0</v>
      </c>
      <c r="Q159" s="485">
        <f>SUMIFS('Employee Leaves'!$G:$G,'Employee Leaves'!$A:$A,A159)</f>
        <v>4</v>
      </c>
      <c r="R159" s="451"/>
      <c r="S159" s="439" t="str">
        <f t="shared" si="12"/>
        <v>-</v>
      </c>
      <c r="T159" s="238">
        <v>37.049999999999997</v>
      </c>
      <c r="U159" s="239">
        <f t="shared" si="13"/>
        <v>296.39999999999998</v>
      </c>
      <c r="V159" s="239">
        <f t="shared" si="14"/>
        <v>55.574999999999996</v>
      </c>
      <c r="W159" s="243" t="s">
        <v>181</v>
      </c>
      <c r="X159" s="241" t="s">
        <v>180</v>
      </c>
    </row>
    <row r="160" spans="1:24" ht="12.75">
      <c r="A160" s="288">
        <v>4085</v>
      </c>
      <c r="B160" s="288" t="s">
        <v>22</v>
      </c>
      <c r="C160" s="288" t="s">
        <v>33</v>
      </c>
      <c r="D160" s="288" t="s">
        <v>9</v>
      </c>
      <c r="E160" s="289">
        <v>43891</v>
      </c>
      <c r="F160" s="290"/>
      <c r="G160" s="447"/>
      <c r="H160" s="448">
        <f>SUMIFS('Employee Leaves'!$G:$G,'Employee Leaves'!$A:$A,A160,'Employee Leaves'!$E:$E,"Holiday")</f>
        <v>0</v>
      </c>
      <c r="I160" s="448">
        <f>COUNTIFS('Employee Leaves'!$A:$A,A160,'Employee Leaves'!$E:$E,$H$1)</f>
        <v>0</v>
      </c>
      <c r="J160" s="442">
        <f t="shared" si="10"/>
        <v>0.24479804161566707</v>
      </c>
      <c r="K160" s="488">
        <f>SUMIFS('Employee Leaves'!$G:$G,'Employee Leaves'!$A:$A,A160,'Employee Leaves'!$E:$E,"Maternity Leave")</f>
        <v>0</v>
      </c>
      <c r="L160" s="448">
        <f>SUMIFS('Employee Leaves'!$G:$G,'Employee Leaves'!$A:$A,A160,'Employee Leaves'!$E:$E,"Paternity Leave")</f>
        <v>0</v>
      </c>
      <c r="M160" s="448">
        <f>SUMIFS('Employee Leaves'!$G:$G,'Employee Leaves'!$A:$A,A160,'Employee Leaves'!$E:$E,"Sick")</f>
        <v>5</v>
      </c>
      <c r="N160" s="448">
        <f>COUNTIFS('Employee Leaves'!$A:$A,A160,'Employee Leaves'!$E:$E,$M$1)</f>
        <v>1</v>
      </c>
      <c r="O160" s="442">
        <f t="shared" si="11"/>
        <v>5.2447980416156668</v>
      </c>
      <c r="P160" s="445">
        <f>SUMIFS('Employee Leaves'!$G:$G,'Employee Leaves'!$A:$A,A160,'Employee Leaves'!$E:$E,"Others")</f>
        <v>0</v>
      </c>
      <c r="Q160" s="485">
        <f>SUMIFS('Employee Leaves'!$G:$G,'Employee Leaves'!$A:$A,A160)</f>
        <v>5</v>
      </c>
      <c r="R160" s="451"/>
      <c r="S160" s="439" t="str">
        <f t="shared" si="12"/>
        <v>-</v>
      </c>
      <c r="T160" s="238">
        <v>45.8</v>
      </c>
      <c r="U160" s="239">
        <f t="shared" si="13"/>
        <v>366.4</v>
      </c>
      <c r="V160" s="239">
        <f t="shared" si="14"/>
        <v>68.699999999999989</v>
      </c>
      <c r="W160" s="243" t="s">
        <v>173</v>
      </c>
      <c r="X160" s="242" t="s">
        <v>172</v>
      </c>
    </row>
    <row r="161" spans="1:24" ht="12.75">
      <c r="A161" s="288">
        <v>4087</v>
      </c>
      <c r="B161" s="288" t="s">
        <v>22</v>
      </c>
      <c r="C161" s="288" t="s">
        <v>32</v>
      </c>
      <c r="D161" s="288" t="s">
        <v>9</v>
      </c>
      <c r="E161" s="289">
        <v>44183</v>
      </c>
      <c r="F161" s="290">
        <v>44607</v>
      </c>
      <c r="G161" s="447" t="s">
        <v>13</v>
      </c>
      <c r="H161" s="448">
        <f>SUMIFS('Employee Leaves'!$G:$G,'Employee Leaves'!$A:$A,A161,'Employee Leaves'!$E:$E,"Holiday")</f>
        <v>0</v>
      </c>
      <c r="I161" s="448">
        <f>COUNTIFS('Employee Leaves'!$A:$A,A161,'Employee Leaves'!$E:$E,$H$1)</f>
        <v>0</v>
      </c>
      <c r="J161" s="442">
        <f t="shared" si="10"/>
        <v>0.24467824810374358</v>
      </c>
      <c r="K161" s="488">
        <f>SUMIFS('Employee Leaves'!$G:$G,'Employee Leaves'!$A:$A,A161,'Employee Leaves'!$E:$E,"Maternity Leave")</f>
        <v>0</v>
      </c>
      <c r="L161" s="448">
        <f>SUMIFS('Employee Leaves'!$G:$G,'Employee Leaves'!$A:$A,A161,'Employee Leaves'!$E:$E,"Paternity Leave")</f>
        <v>0</v>
      </c>
      <c r="M161" s="448">
        <f>SUMIFS('Employee Leaves'!$G:$G,'Employee Leaves'!$A:$A,A161,'Employee Leaves'!$E:$E,"Sick")</f>
        <v>0</v>
      </c>
      <c r="N161" s="448">
        <f>COUNTIFS('Employee Leaves'!$A:$A,A161,'Employee Leaves'!$E:$E,$M$1)</f>
        <v>0</v>
      </c>
      <c r="O161" s="442">
        <f t="shared" si="11"/>
        <v>0.24467824810374358</v>
      </c>
      <c r="P161" s="445">
        <f>SUMIFS('Employee Leaves'!$G:$G,'Employee Leaves'!$A:$A,A161,'Employee Leaves'!$E:$E,"Others")</f>
        <v>0</v>
      </c>
      <c r="Q161" s="485">
        <f>SUMIFS('Employee Leaves'!$G:$G,'Employee Leaves'!$A:$A,A161)</f>
        <v>0</v>
      </c>
      <c r="R161" s="451"/>
      <c r="S161" s="439">
        <f t="shared" si="12"/>
        <v>424</v>
      </c>
      <c r="T161" s="238">
        <v>48.52</v>
      </c>
      <c r="U161" s="239">
        <f t="shared" si="13"/>
        <v>388.16</v>
      </c>
      <c r="V161" s="239">
        <f t="shared" si="14"/>
        <v>72.78</v>
      </c>
      <c r="W161" s="243" t="s">
        <v>177</v>
      </c>
      <c r="X161" s="241" t="s">
        <v>176</v>
      </c>
    </row>
    <row r="162" spans="1:24" ht="12.75">
      <c r="A162" s="288">
        <v>4088</v>
      </c>
      <c r="B162" s="288" t="s">
        <v>22</v>
      </c>
      <c r="C162" s="288" t="s">
        <v>33</v>
      </c>
      <c r="D162" s="288" t="s">
        <v>9</v>
      </c>
      <c r="E162" s="289">
        <v>44208</v>
      </c>
      <c r="F162" s="290"/>
      <c r="G162" s="447"/>
      <c r="H162" s="448">
        <f>SUMIFS('Employee Leaves'!$G:$G,'Employee Leaves'!$A:$A,A162,'Employee Leaves'!$E:$E,"Holiday")</f>
        <v>0</v>
      </c>
      <c r="I162" s="448">
        <f>COUNTIFS('Employee Leaves'!$A:$A,A162,'Employee Leaves'!$E:$E,$H$1)</f>
        <v>0</v>
      </c>
      <c r="J162" s="442">
        <f t="shared" si="10"/>
        <v>0.2446183953033268</v>
      </c>
      <c r="K162" s="488">
        <f>SUMIFS('Employee Leaves'!$G:$G,'Employee Leaves'!$A:$A,A162,'Employee Leaves'!$E:$E,"Maternity Leave")</f>
        <v>0</v>
      </c>
      <c r="L162" s="448">
        <f>SUMIFS('Employee Leaves'!$G:$G,'Employee Leaves'!$A:$A,A162,'Employee Leaves'!$E:$E,"Paternity Leave")</f>
        <v>0</v>
      </c>
      <c r="M162" s="448">
        <f>SUMIFS('Employee Leaves'!$G:$G,'Employee Leaves'!$A:$A,A162,'Employee Leaves'!$E:$E,"Sick")</f>
        <v>3</v>
      </c>
      <c r="N162" s="448">
        <f>COUNTIFS('Employee Leaves'!$A:$A,A162,'Employee Leaves'!$E:$E,$M$1)</f>
        <v>1</v>
      </c>
      <c r="O162" s="442">
        <f t="shared" si="11"/>
        <v>3.244618395303327</v>
      </c>
      <c r="P162" s="445">
        <f>SUMIFS('Employee Leaves'!$G:$G,'Employee Leaves'!$A:$A,A162,'Employee Leaves'!$E:$E,"Others")</f>
        <v>0</v>
      </c>
      <c r="Q162" s="485">
        <f>SUMIFS('Employee Leaves'!$G:$G,'Employee Leaves'!$A:$A,A162)</f>
        <v>3</v>
      </c>
      <c r="R162" s="451"/>
      <c r="S162" s="439" t="str">
        <f t="shared" si="12"/>
        <v>-</v>
      </c>
      <c r="T162" s="238">
        <v>45.8</v>
      </c>
      <c r="U162" s="239">
        <f t="shared" si="13"/>
        <v>366.4</v>
      </c>
      <c r="V162" s="239">
        <f t="shared" si="14"/>
        <v>68.699999999999989</v>
      </c>
      <c r="W162" s="243" t="s">
        <v>173</v>
      </c>
      <c r="X162" s="242" t="s">
        <v>172</v>
      </c>
    </row>
    <row r="163" spans="1:24" ht="12.75">
      <c r="A163" s="288">
        <v>4090</v>
      </c>
      <c r="B163" s="288" t="s">
        <v>22</v>
      </c>
      <c r="C163" s="288" t="s">
        <v>24</v>
      </c>
      <c r="D163" s="288" t="s">
        <v>9</v>
      </c>
      <c r="E163" s="289">
        <v>44464</v>
      </c>
      <c r="F163" s="290"/>
      <c r="G163" s="447"/>
      <c r="H163" s="448">
        <f>SUMIFS('Employee Leaves'!$G:$G,'Employee Leaves'!$A:$A,A163,'Employee Leaves'!$E:$E,"Holiday")</f>
        <v>0</v>
      </c>
      <c r="I163" s="448">
        <f>COUNTIFS('Employee Leaves'!$A:$A,A163,'Employee Leaves'!$E:$E,$H$1)</f>
        <v>0</v>
      </c>
      <c r="J163" s="442">
        <f t="shared" si="10"/>
        <v>0.24449877750611246</v>
      </c>
      <c r="K163" s="488">
        <f>SUMIFS('Employee Leaves'!$G:$G,'Employee Leaves'!$A:$A,A163,'Employee Leaves'!$E:$E,"Maternity Leave")</f>
        <v>0</v>
      </c>
      <c r="L163" s="448">
        <f>SUMIFS('Employee Leaves'!$G:$G,'Employee Leaves'!$A:$A,A163,'Employee Leaves'!$E:$E,"Paternity Leave")</f>
        <v>0</v>
      </c>
      <c r="M163" s="448">
        <f>SUMIFS('Employee Leaves'!$G:$G,'Employee Leaves'!$A:$A,A163,'Employee Leaves'!$E:$E,"Sick")</f>
        <v>0</v>
      </c>
      <c r="N163" s="448">
        <f>COUNTIFS('Employee Leaves'!$A:$A,A163,'Employee Leaves'!$E:$E,$M$1)</f>
        <v>0</v>
      </c>
      <c r="O163" s="442">
        <f t="shared" si="11"/>
        <v>0.24449877750611246</v>
      </c>
      <c r="P163" s="445">
        <f>SUMIFS('Employee Leaves'!$G:$G,'Employee Leaves'!$A:$A,A163,'Employee Leaves'!$E:$E,"Others")</f>
        <v>0</v>
      </c>
      <c r="Q163" s="485">
        <f>SUMIFS('Employee Leaves'!$G:$G,'Employee Leaves'!$A:$A,A163)</f>
        <v>0</v>
      </c>
      <c r="R163" s="451"/>
      <c r="S163" s="439" t="str">
        <f t="shared" si="12"/>
        <v>-</v>
      </c>
      <c r="T163" s="238">
        <v>48.52</v>
      </c>
      <c r="U163" s="239">
        <f t="shared" si="13"/>
        <v>388.16</v>
      </c>
      <c r="V163" s="239">
        <f t="shared" si="14"/>
        <v>72.78</v>
      </c>
      <c r="W163" s="243" t="s">
        <v>177</v>
      </c>
      <c r="X163" s="241" t="s">
        <v>176</v>
      </c>
    </row>
    <row r="164" spans="1:24" ht="12.75">
      <c r="A164" s="288">
        <v>4091</v>
      </c>
      <c r="B164" s="288" t="s">
        <v>22</v>
      </c>
      <c r="C164" s="288" t="s">
        <v>24</v>
      </c>
      <c r="D164" s="288" t="s">
        <v>9</v>
      </c>
      <c r="E164" s="289">
        <v>44519</v>
      </c>
      <c r="F164" s="290"/>
      <c r="G164" s="447"/>
      <c r="H164" s="448">
        <f>SUMIFS('Employee Leaves'!$G:$G,'Employee Leaves'!$A:$A,A164,'Employee Leaves'!$E:$E,"Holiday")</f>
        <v>0</v>
      </c>
      <c r="I164" s="448">
        <f>COUNTIFS('Employee Leaves'!$A:$A,A164,'Employee Leaves'!$E:$E,$H$1)</f>
        <v>0</v>
      </c>
      <c r="J164" s="442">
        <f t="shared" si="10"/>
        <v>0.24443901246638963</v>
      </c>
      <c r="K164" s="488">
        <f>SUMIFS('Employee Leaves'!$G:$G,'Employee Leaves'!$A:$A,A164,'Employee Leaves'!$E:$E,"Maternity Leave")</f>
        <v>0</v>
      </c>
      <c r="L164" s="448">
        <f>SUMIFS('Employee Leaves'!$G:$G,'Employee Leaves'!$A:$A,A164,'Employee Leaves'!$E:$E,"Paternity Leave")</f>
        <v>0</v>
      </c>
      <c r="M164" s="448">
        <f>SUMIFS('Employee Leaves'!$G:$G,'Employee Leaves'!$A:$A,A164,'Employee Leaves'!$E:$E,"Sick")</f>
        <v>8</v>
      </c>
      <c r="N164" s="448">
        <f>COUNTIFS('Employee Leaves'!$A:$A,A164,'Employee Leaves'!$E:$E,$M$1)</f>
        <v>1</v>
      </c>
      <c r="O164" s="442">
        <f t="shared" si="11"/>
        <v>8.2444390124663904</v>
      </c>
      <c r="P164" s="445">
        <f>SUMIFS('Employee Leaves'!$G:$G,'Employee Leaves'!$A:$A,A164,'Employee Leaves'!$E:$E,"Others")</f>
        <v>0</v>
      </c>
      <c r="Q164" s="485">
        <f>SUMIFS('Employee Leaves'!$G:$G,'Employee Leaves'!$A:$A,A164)</f>
        <v>8</v>
      </c>
      <c r="R164" s="451"/>
      <c r="S164" s="439" t="str">
        <f t="shared" si="12"/>
        <v>-</v>
      </c>
      <c r="T164" s="238">
        <v>48.52</v>
      </c>
      <c r="U164" s="239">
        <f t="shared" si="13"/>
        <v>388.16</v>
      </c>
      <c r="V164" s="239">
        <f t="shared" si="14"/>
        <v>72.78</v>
      </c>
      <c r="W164" s="243" t="s">
        <v>177</v>
      </c>
      <c r="X164" s="241" t="s">
        <v>176</v>
      </c>
    </row>
    <row r="165" spans="1:24" ht="12.75">
      <c r="A165" s="288">
        <v>4092</v>
      </c>
      <c r="B165" s="288" t="s">
        <v>22</v>
      </c>
      <c r="C165" s="288" t="s">
        <v>31</v>
      </c>
      <c r="D165" s="288" t="s">
        <v>9</v>
      </c>
      <c r="E165" s="289">
        <v>44437</v>
      </c>
      <c r="F165" s="290"/>
      <c r="G165" s="447"/>
      <c r="H165" s="448">
        <f>SUMIFS('Employee Leaves'!$G:$G,'Employee Leaves'!$A:$A,A165,'Employee Leaves'!$E:$E,"Holiday")</f>
        <v>0</v>
      </c>
      <c r="I165" s="448">
        <f>COUNTIFS('Employee Leaves'!$A:$A,A165,'Employee Leaves'!$E:$E,$H$1)</f>
        <v>0</v>
      </c>
      <c r="J165" s="442">
        <f t="shared" si="10"/>
        <v>0.24437927663734116</v>
      </c>
      <c r="K165" s="488">
        <f>SUMIFS('Employee Leaves'!$G:$G,'Employee Leaves'!$A:$A,A165,'Employee Leaves'!$E:$E,"Maternity Leave")</f>
        <v>0</v>
      </c>
      <c r="L165" s="448">
        <f>SUMIFS('Employee Leaves'!$G:$G,'Employee Leaves'!$A:$A,A165,'Employee Leaves'!$E:$E,"Paternity Leave")</f>
        <v>0</v>
      </c>
      <c r="M165" s="448">
        <f>SUMIFS('Employee Leaves'!$G:$G,'Employee Leaves'!$A:$A,A165,'Employee Leaves'!$E:$E,"Sick")</f>
        <v>0</v>
      </c>
      <c r="N165" s="448">
        <f>COUNTIFS('Employee Leaves'!$A:$A,A165,'Employee Leaves'!$E:$E,$M$1)</f>
        <v>0</v>
      </c>
      <c r="O165" s="442">
        <f t="shared" si="11"/>
        <v>0.24437927663734116</v>
      </c>
      <c r="P165" s="445">
        <f>SUMIFS('Employee Leaves'!$G:$G,'Employee Leaves'!$A:$A,A165,'Employee Leaves'!$E:$E,"Others")</f>
        <v>0</v>
      </c>
      <c r="Q165" s="485">
        <f>SUMIFS('Employee Leaves'!$G:$G,'Employee Leaves'!$A:$A,A165)</f>
        <v>0</v>
      </c>
      <c r="R165" s="451"/>
      <c r="S165" s="439" t="str">
        <f t="shared" si="12"/>
        <v>-</v>
      </c>
      <c r="T165" s="238">
        <v>45.8</v>
      </c>
      <c r="U165" s="239">
        <f t="shared" si="13"/>
        <v>366.4</v>
      </c>
      <c r="V165" s="239">
        <f t="shared" si="14"/>
        <v>68.699999999999989</v>
      </c>
      <c r="W165" s="243" t="s">
        <v>173</v>
      </c>
      <c r="X165" s="242" t="s">
        <v>172</v>
      </c>
    </row>
    <row r="166" spans="1:24" ht="12.75">
      <c r="A166" s="288">
        <v>4093</v>
      </c>
      <c r="B166" s="288" t="s">
        <v>22</v>
      </c>
      <c r="C166" s="288" t="s">
        <v>31</v>
      </c>
      <c r="D166" s="288" t="s">
        <v>9</v>
      </c>
      <c r="E166" s="289">
        <v>44368</v>
      </c>
      <c r="F166" s="290"/>
      <c r="G166" s="447"/>
      <c r="H166" s="448">
        <f>SUMIFS('Employee Leaves'!$G:$G,'Employee Leaves'!$A:$A,A166,'Employee Leaves'!$E:$E,"Holiday")</f>
        <v>0</v>
      </c>
      <c r="I166" s="448">
        <f>COUNTIFS('Employee Leaves'!$A:$A,A166,'Employee Leaves'!$E:$E,$H$1)</f>
        <v>0</v>
      </c>
      <c r="J166" s="442">
        <f t="shared" si="10"/>
        <v>0.2443195699975568</v>
      </c>
      <c r="K166" s="488">
        <f>SUMIFS('Employee Leaves'!$G:$G,'Employee Leaves'!$A:$A,A166,'Employee Leaves'!$E:$E,"Maternity Leave")</f>
        <v>0</v>
      </c>
      <c r="L166" s="448">
        <f>SUMIFS('Employee Leaves'!$G:$G,'Employee Leaves'!$A:$A,A166,'Employee Leaves'!$E:$E,"Paternity Leave")</f>
        <v>0</v>
      </c>
      <c r="M166" s="448">
        <f>SUMIFS('Employee Leaves'!$G:$G,'Employee Leaves'!$A:$A,A166,'Employee Leaves'!$E:$E,"Sick")</f>
        <v>0</v>
      </c>
      <c r="N166" s="448">
        <f>COUNTIFS('Employee Leaves'!$A:$A,A166,'Employee Leaves'!$E:$E,$M$1)</f>
        <v>0</v>
      </c>
      <c r="O166" s="442">
        <f t="shared" si="11"/>
        <v>0.2443195699975568</v>
      </c>
      <c r="P166" s="445">
        <f>SUMIFS('Employee Leaves'!$G:$G,'Employee Leaves'!$A:$A,A166,'Employee Leaves'!$E:$E,"Others")</f>
        <v>0</v>
      </c>
      <c r="Q166" s="485">
        <f>SUMIFS('Employee Leaves'!$G:$G,'Employee Leaves'!$A:$A,A166)</f>
        <v>0</v>
      </c>
      <c r="R166" s="451"/>
      <c r="S166" s="439" t="str">
        <f t="shared" si="12"/>
        <v>-</v>
      </c>
      <c r="T166" s="238">
        <v>45.8</v>
      </c>
      <c r="U166" s="239">
        <f t="shared" si="13"/>
        <v>366.4</v>
      </c>
      <c r="V166" s="239">
        <f t="shared" si="14"/>
        <v>68.699999999999989</v>
      </c>
      <c r="W166" s="243" t="s">
        <v>173</v>
      </c>
      <c r="X166" s="242" t="s">
        <v>172</v>
      </c>
    </row>
    <row r="167" spans="1:24" ht="12.75">
      <c r="A167" s="288">
        <v>4095</v>
      </c>
      <c r="B167" s="288" t="s">
        <v>22</v>
      </c>
      <c r="C167" s="288" t="s">
        <v>33</v>
      </c>
      <c r="D167" s="288" t="s">
        <v>9</v>
      </c>
      <c r="E167" s="289">
        <v>44628</v>
      </c>
      <c r="F167" s="290"/>
      <c r="G167" s="447"/>
      <c r="H167" s="448">
        <f>SUMIFS('Employee Leaves'!$G:$G,'Employee Leaves'!$A:$A,A167,'Employee Leaves'!$E:$E,"Holiday")</f>
        <v>0</v>
      </c>
      <c r="I167" s="448">
        <f>COUNTIFS('Employee Leaves'!$A:$A,A167,'Employee Leaves'!$E:$E,$H$1)</f>
        <v>0</v>
      </c>
      <c r="J167" s="442">
        <f t="shared" si="10"/>
        <v>0.24420024420024419</v>
      </c>
      <c r="K167" s="488">
        <f>SUMIFS('Employee Leaves'!$G:$G,'Employee Leaves'!$A:$A,A167,'Employee Leaves'!$E:$E,"Maternity Leave")</f>
        <v>0</v>
      </c>
      <c r="L167" s="448">
        <f>SUMIFS('Employee Leaves'!$G:$G,'Employee Leaves'!$A:$A,A167,'Employee Leaves'!$E:$E,"Paternity Leave")</f>
        <v>0</v>
      </c>
      <c r="M167" s="448">
        <f>SUMIFS('Employee Leaves'!$G:$G,'Employee Leaves'!$A:$A,A167,'Employee Leaves'!$E:$E,"Sick")</f>
        <v>0</v>
      </c>
      <c r="N167" s="448">
        <f>COUNTIFS('Employee Leaves'!$A:$A,A167,'Employee Leaves'!$E:$E,$M$1)</f>
        <v>0</v>
      </c>
      <c r="O167" s="442">
        <f t="shared" si="11"/>
        <v>0.24420024420024419</v>
      </c>
      <c r="P167" s="445">
        <f>SUMIFS('Employee Leaves'!$G:$G,'Employee Leaves'!$A:$A,A167,'Employee Leaves'!$E:$E,"Others")</f>
        <v>0</v>
      </c>
      <c r="Q167" s="485">
        <f>SUMIFS('Employee Leaves'!$G:$G,'Employee Leaves'!$A:$A,A167)</f>
        <v>0</v>
      </c>
      <c r="R167" s="451"/>
      <c r="S167" s="439" t="str">
        <f t="shared" si="12"/>
        <v>-</v>
      </c>
      <c r="T167" s="238">
        <v>45.8</v>
      </c>
      <c r="U167" s="239">
        <f t="shared" si="13"/>
        <v>366.4</v>
      </c>
      <c r="V167" s="239">
        <f t="shared" si="14"/>
        <v>68.699999999999989</v>
      </c>
      <c r="W167" s="243" t="s">
        <v>173</v>
      </c>
      <c r="X167" s="242" t="s">
        <v>172</v>
      </c>
    </row>
    <row r="168" spans="1:24" ht="12.75">
      <c r="A168" s="288">
        <v>4096</v>
      </c>
      <c r="B168" s="288" t="s">
        <v>22</v>
      </c>
      <c r="C168" s="288" t="s">
        <v>30</v>
      </c>
      <c r="D168" s="288" t="s">
        <v>9</v>
      </c>
      <c r="E168" s="289">
        <v>44395</v>
      </c>
      <c r="F168" s="290"/>
      <c r="G168" s="447"/>
      <c r="H168" s="448">
        <f>SUMIFS('Employee Leaves'!$G:$G,'Employee Leaves'!$A:$A,A168,'Employee Leaves'!$E:$E,"Holiday")</f>
        <v>0</v>
      </c>
      <c r="I168" s="448">
        <f>COUNTIFS('Employee Leaves'!$A:$A,A168,'Employee Leaves'!$E:$E,$H$1)</f>
        <v>0</v>
      </c>
      <c r="J168" s="442">
        <f t="shared" si="10"/>
        <v>0.244140625</v>
      </c>
      <c r="K168" s="488">
        <f>SUMIFS('Employee Leaves'!$G:$G,'Employee Leaves'!$A:$A,A168,'Employee Leaves'!$E:$E,"Maternity Leave")</f>
        <v>0</v>
      </c>
      <c r="L168" s="448">
        <f>SUMIFS('Employee Leaves'!$G:$G,'Employee Leaves'!$A:$A,A168,'Employee Leaves'!$E:$E,"Paternity Leave")</f>
        <v>0</v>
      </c>
      <c r="M168" s="448">
        <f>SUMIFS('Employee Leaves'!$G:$G,'Employee Leaves'!$A:$A,A168,'Employee Leaves'!$E:$E,"Sick")</f>
        <v>5</v>
      </c>
      <c r="N168" s="448">
        <f>COUNTIFS('Employee Leaves'!$A:$A,A168,'Employee Leaves'!$E:$E,$M$1)</f>
        <v>1</v>
      </c>
      <c r="O168" s="442">
        <f t="shared" si="11"/>
        <v>5.244140625</v>
      </c>
      <c r="P168" s="445">
        <f>SUMIFS('Employee Leaves'!$G:$G,'Employee Leaves'!$A:$A,A168,'Employee Leaves'!$E:$E,"Others")</f>
        <v>0</v>
      </c>
      <c r="Q168" s="485">
        <f>SUMIFS('Employee Leaves'!$G:$G,'Employee Leaves'!$A:$A,A168)</f>
        <v>5</v>
      </c>
      <c r="R168" s="451"/>
      <c r="S168" s="439" t="str">
        <f t="shared" si="12"/>
        <v>-</v>
      </c>
      <c r="T168" s="238">
        <v>23.93</v>
      </c>
      <c r="U168" s="239">
        <f t="shared" si="13"/>
        <v>191.44</v>
      </c>
      <c r="V168" s="239">
        <f t="shared" si="14"/>
        <v>35.894999999999996</v>
      </c>
      <c r="W168" s="243" t="s">
        <v>170</v>
      </c>
      <c r="X168" s="241" t="s">
        <v>169</v>
      </c>
    </row>
    <row r="169" spans="1:24" ht="12.75">
      <c r="A169" s="288">
        <v>4097</v>
      </c>
      <c r="B169" s="288" t="s">
        <v>22</v>
      </c>
      <c r="C169" s="288" t="s">
        <v>32</v>
      </c>
      <c r="D169" s="288" t="s">
        <v>36</v>
      </c>
      <c r="E169" s="289">
        <v>43987</v>
      </c>
      <c r="F169" s="290"/>
      <c r="G169" s="447"/>
      <c r="H169" s="448">
        <f>SUMIFS('Employee Leaves'!$G:$G,'Employee Leaves'!$A:$A,A169,'Employee Leaves'!$E:$E,"Holiday")</f>
        <v>0</v>
      </c>
      <c r="I169" s="448">
        <f>COUNTIFS('Employee Leaves'!$A:$A,A169,'Employee Leaves'!$E:$E,$H$1)</f>
        <v>0</v>
      </c>
      <c r="J169" s="442">
        <f t="shared" si="10"/>
        <v>0.24408103490358798</v>
      </c>
      <c r="K169" s="488">
        <f>SUMIFS('Employee Leaves'!$G:$G,'Employee Leaves'!$A:$A,A169,'Employee Leaves'!$E:$E,"Maternity Leave")</f>
        <v>0</v>
      </c>
      <c r="L169" s="448">
        <f>SUMIFS('Employee Leaves'!$G:$G,'Employee Leaves'!$A:$A,A169,'Employee Leaves'!$E:$E,"Paternity Leave")</f>
        <v>0</v>
      </c>
      <c r="M169" s="448">
        <f>SUMIFS('Employee Leaves'!$G:$G,'Employee Leaves'!$A:$A,A169,'Employee Leaves'!$E:$E,"Sick")</f>
        <v>4</v>
      </c>
      <c r="N169" s="448">
        <f>COUNTIFS('Employee Leaves'!$A:$A,A169,'Employee Leaves'!$E:$E,$M$1)</f>
        <v>1</v>
      </c>
      <c r="O169" s="442">
        <f t="shared" si="11"/>
        <v>4.244081034903588</v>
      </c>
      <c r="P169" s="445">
        <f>SUMIFS('Employee Leaves'!$G:$G,'Employee Leaves'!$A:$A,A169,'Employee Leaves'!$E:$E,"Others")</f>
        <v>0</v>
      </c>
      <c r="Q169" s="485">
        <f>SUMIFS('Employee Leaves'!$G:$G,'Employee Leaves'!$A:$A,A169)</f>
        <v>4</v>
      </c>
      <c r="R169" s="451"/>
      <c r="S169" s="439" t="str">
        <f t="shared" si="12"/>
        <v>-</v>
      </c>
      <c r="T169" s="238">
        <v>48.52</v>
      </c>
      <c r="U169" s="239">
        <f t="shared" si="13"/>
        <v>388.16</v>
      </c>
      <c r="V169" s="239">
        <f t="shared" si="14"/>
        <v>72.78</v>
      </c>
      <c r="W169" s="243" t="s">
        <v>177</v>
      </c>
      <c r="X169" s="241" t="s">
        <v>176</v>
      </c>
    </row>
    <row r="170" spans="1:24" ht="12.75">
      <c r="A170" s="288">
        <v>4098</v>
      </c>
      <c r="B170" s="288" t="s">
        <v>22</v>
      </c>
      <c r="C170" s="288" t="s">
        <v>35</v>
      </c>
      <c r="D170" s="288" t="s">
        <v>9</v>
      </c>
      <c r="E170" s="289">
        <v>44029</v>
      </c>
      <c r="F170" s="290"/>
      <c r="G170" s="447"/>
      <c r="H170" s="448">
        <f>SUMIFS('Employee Leaves'!$G:$G,'Employee Leaves'!$A:$A,A170,'Employee Leaves'!$E:$E,"Holiday")</f>
        <v>0</v>
      </c>
      <c r="I170" s="448">
        <f>COUNTIFS('Employee Leaves'!$A:$A,A170,'Employee Leaves'!$E:$E,$H$1)</f>
        <v>0</v>
      </c>
      <c r="J170" s="442">
        <f t="shared" si="10"/>
        <v>0.2440214738897023</v>
      </c>
      <c r="K170" s="488">
        <f>SUMIFS('Employee Leaves'!$G:$G,'Employee Leaves'!$A:$A,A170,'Employee Leaves'!$E:$E,"Maternity Leave")</f>
        <v>0</v>
      </c>
      <c r="L170" s="448">
        <f>SUMIFS('Employee Leaves'!$G:$G,'Employee Leaves'!$A:$A,A170,'Employee Leaves'!$E:$E,"Paternity Leave")</f>
        <v>0</v>
      </c>
      <c r="M170" s="448">
        <f>SUMIFS('Employee Leaves'!$G:$G,'Employee Leaves'!$A:$A,A170,'Employee Leaves'!$E:$E,"Sick")</f>
        <v>0</v>
      </c>
      <c r="N170" s="448">
        <f>COUNTIFS('Employee Leaves'!$A:$A,A170,'Employee Leaves'!$E:$E,$M$1)</f>
        <v>0</v>
      </c>
      <c r="O170" s="442">
        <f t="shared" si="11"/>
        <v>0.2440214738897023</v>
      </c>
      <c r="P170" s="445">
        <f>SUMIFS('Employee Leaves'!$G:$G,'Employee Leaves'!$A:$A,A170,'Employee Leaves'!$E:$E,"Others")</f>
        <v>0</v>
      </c>
      <c r="Q170" s="485">
        <f>SUMIFS('Employee Leaves'!$G:$G,'Employee Leaves'!$A:$A,A170)</f>
        <v>0</v>
      </c>
      <c r="R170" s="451"/>
      <c r="S170" s="439" t="str">
        <f t="shared" si="12"/>
        <v>-</v>
      </c>
      <c r="T170" s="238">
        <v>38.409999999999997</v>
      </c>
      <c r="U170" s="239">
        <f t="shared" si="13"/>
        <v>307.27999999999997</v>
      </c>
      <c r="V170" s="239">
        <f t="shared" si="14"/>
        <v>57.614999999999995</v>
      </c>
      <c r="W170" s="243" t="s">
        <v>175</v>
      </c>
      <c r="X170" s="241" t="s">
        <v>174</v>
      </c>
    </row>
    <row r="171" spans="1:24" ht="12.75">
      <c r="A171" s="288">
        <v>4099</v>
      </c>
      <c r="B171" s="288" t="s">
        <v>22</v>
      </c>
      <c r="C171" s="288" t="s">
        <v>23</v>
      </c>
      <c r="D171" s="288" t="s">
        <v>9</v>
      </c>
      <c r="E171" s="289">
        <v>44596</v>
      </c>
      <c r="F171" s="290"/>
      <c r="G171" s="447"/>
      <c r="H171" s="448">
        <f>SUMIFS('Employee Leaves'!$G:$G,'Employee Leaves'!$A:$A,A171,'Employee Leaves'!$E:$E,"Holiday")</f>
        <v>0</v>
      </c>
      <c r="I171" s="448">
        <f>COUNTIFS('Employee Leaves'!$A:$A,A171,'Employee Leaves'!$E:$E,$H$1)</f>
        <v>0</v>
      </c>
      <c r="J171" s="442">
        <f t="shared" si="10"/>
        <v>0.24396194193705781</v>
      </c>
      <c r="K171" s="488">
        <f>SUMIFS('Employee Leaves'!$G:$G,'Employee Leaves'!$A:$A,A171,'Employee Leaves'!$E:$E,"Maternity Leave")</f>
        <v>0</v>
      </c>
      <c r="L171" s="448">
        <f>SUMIFS('Employee Leaves'!$G:$G,'Employee Leaves'!$A:$A,A171,'Employee Leaves'!$E:$E,"Paternity Leave")</f>
        <v>0</v>
      </c>
      <c r="M171" s="448">
        <f>SUMIFS('Employee Leaves'!$G:$G,'Employee Leaves'!$A:$A,A171,'Employee Leaves'!$E:$E,"Sick")</f>
        <v>0</v>
      </c>
      <c r="N171" s="448">
        <f>COUNTIFS('Employee Leaves'!$A:$A,A171,'Employee Leaves'!$E:$E,$M$1)</f>
        <v>0</v>
      </c>
      <c r="O171" s="442">
        <f t="shared" si="11"/>
        <v>0.24396194193705781</v>
      </c>
      <c r="P171" s="445">
        <f>SUMIFS('Employee Leaves'!$G:$G,'Employee Leaves'!$A:$A,A171,'Employee Leaves'!$E:$E,"Others")</f>
        <v>0</v>
      </c>
      <c r="Q171" s="485">
        <f>SUMIFS('Employee Leaves'!$G:$G,'Employee Leaves'!$A:$A,A171)</f>
        <v>0</v>
      </c>
      <c r="R171" s="451"/>
      <c r="S171" s="439" t="str">
        <f t="shared" si="12"/>
        <v>-</v>
      </c>
      <c r="T171" s="238">
        <v>45.8</v>
      </c>
      <c r="U171" s="239">
        <f t="shared" si="13"/>
        <v>366.4</v>
      </c>
      <c r="V171" s="239">
        <f t="shared" si="14"/>
        <v>68.699999999999989</v>
      </c>
      <c r="W171" s="243" t="s">
        <v>173</v>
      </c>
      <c r="X171" s="242" t="s">
        <v>172</v>
      </c>
    </row>
    <row r="172" spans="1:24" ht="12.75">
      <c r="A172" s="288">
        <v>4100</v>
      </c>
      <c r="B172" s="288" t="s">
        <v>22</v>
      </c>
      <c r="C172" s="288" t="s">
        <v>34</v>
      </c>
      <c r="D172" s="288" t="s">
        <v>9</v>
      </c>
      <c r="E172" s="289">
        <v>43931</v>
      </c>
      <c r="F172" s="290"/>
      <c r="G172" s="447"/>
      <c r="H172" s="448">
        <f>SUMIFS('Employee Leaves'!$G:$G,'Employee Leaves'!$A:$A,A172,'Employee Leaves'!$E:$E,"Holiday")</f>
        <v>0</v>
      </c>
      <c r="I172" s="448">
        <f>COUNTIFS('Employee Leaves'!$A:$A,A172,'Employee Leaves'!$E:$E,$H$1)</f>
        <v>0</v>
      </c>
      <c r="J172" s="442">
        <f t="shared" si="10"/>
        <v>0.24390243902439024</v>
      </c>
      <c r="K172" s="488">
        <f>SUMIFS('Employee Leaves'!$G:$G,'Employee Leaves'!$A:$A,A172,'Employee Leaves'!$E:$E,"Maternity Leave")</f>
        <v>0</v>
      </c>
      <c r="L172" s="448">
        <f>SUMIFS('Employee Leaves'!$G:$G,'Employee Leaves'!$A:$A,A172,'Employee Leaves'!$E:$E,"Paternity Leave")</f>
        <v>0</v>
      </c>
      <c r="M172" s="448">
        <f>SUMIFS('Employee Leaves'!$G:$G,'Employee Leaves'!$A:$A,A172,'Employee Leaves'!$E:$E,"Sick")</f>
        <v>0</v>
      </c>
      <c r="N172" s="448">
        <f>COUNTIFS('Employee Leaves'!$A:$A,A172,'Employee Leaves'!$E:$E,$M$1)</f>
        <v>0</v>
      </c>
      <c r="O172" s="442">
        <f t="shared" si="11"/>
        <v>0.24390243902439024</v>
      </c>
      <c r="P172" s="445">
        <f>SUMIFS('Employee Leaves'!$G:$G,'Employee Leaves'!$A:$A,A172,'Employee Leaves'!$E:$E,"Others")</f>
        <v>8</v>
      </c>
      <c r="Q172" s="485">
        <f>SUMIFS('Employee Leaves'!$G:$G,'Employee Leaves'!$A:$A,A172)</f>
        <v>8</v>
      </c>
      <c r="R172" s="451"/>
      <c r="S172" s="439" t="str">
        <f t="shared" si="12"/>
        <v>-</v>
      </c>
      <c r="T172" s="238">
        <v>45.8</v>
      </c>
      <c r="U172" s="239">
        <f t="shared" si="13"/>
        <v>366.4</v>
      </c>
      <c r="V172" s="239">
        <f t="shared" si="14"/>
        <v>68.699999999999989</v>
      </c>
      <c r="W172" s="243" t="s">
        <v>179</v>
      </c>
      <c r="X172" s="241" t="s">
        <v>178</v>
      </c>
    </row>
    <row r="173" spans="1:24" ht="12.75">
      <c r="A173" s="288">
        <v>4101</v>
      </c>
      <c r="B173" s="288" t="s">
        <v>22</v>
      </c>
      <c r="C173" s="288" t="s">
        <v>33</v>
      </c>
      <c r="D173" s="288" t="s">
        <v>9</v>
      </c>
      <c r="E173" s="289">
        <v>44010</v>
      </c>
      <c r="F173" s="290"/>
      <c r="G173" s="447"/>
      <c r="H173" s="448">
        <f>SUMIFS('Employee Leaves'!$G:$G,'Employee Leaves'!$A:$A,A173,'Employee Leaves'!$E:$E,"Holiday")</f>
        <v>0</v>
      </c>
      <c r="I173" s="448">
        <f>COUNTIFS('Employee Leaves'!$A:$A,A173,'Employee Leaves'!$E:$E,$H$1)</f>
        <v>0</v>
      </c>
      <c r="J173" s="442">
        <f t="shared" si="10"/>
        <v>0.24384296513045597</v>
      </c>
      <c r="K173" s="488">
        <f>SUMIFS('Employee Leaves'!$G:$G,'Employee Leaves'!$A:$A,A173,'Employee Leaves'!$E:$E,"Maternity Leave")</f>
        <v>0</v>
      </c>
      <c r="L173" s="448">
        <f>SUMIFS('Employee Leaves'!$G:$G,'Employee Leaves'!$A:$A,A173,'Employee Leaves'!$E:$E,"Paternity Leave")</f>
        <v>0</v>
      </c>
      <c r="M173" s="448">
        <f>SUMIFS('Employee Leaves'!$G:$G,'Employee Leaves'!$A:$A,A173,'Employee Leaves'!$E:$E,"Sick")</f>
        <v>0</v>
      </c>
      <c r="N173" s="448">
        <f>COUNTIFS('Employee Leaves'!$A:$A,A173,'Employee Leaves'!$E:$E,$M$1)</f>
        <v>0</v>
      </c>
      <c r="O173" s="442">
        <f t="shared" si="11"/>
        <v>0.24384296513045597</v>
      </c>
      <c r="P173" s="445">
        <f>SUMIFS('Employee Leaves'!$G:$G,'Employee Leaves'!$A:$A,A173,'Employee Leaves'!$E:$E,"Others")</f>
        <v>0</v>
      </c>
      <c r="Q173" s="485">
        <f>SUMIFS('Employee Leaves'!$G:$G,'Employee Leaves'!$A:$A,A173)</f>
        <v>0</v>
      </c>
      <c r="R173" s="451"/>
      <c r="S173" s="439" t="str">
        <f t="shared" si="12"/>
        <v>-</v>
      </c>
      <c r="T173" s="238">
        <v>45.8</v>
      </c>
      <c r="U173" s="239">
        <f t="shared" si="13"/>
        <v>366.4</v>
      </c>
      <c r="V173" s="239">
        <f t="shared" si="14"/>
        <v>68.699999999999989</v>
      </c>
      <c r="W173" s="243" t="s">
        <v>173</v>
      </c>
      <c r="X173" s="242" t="s">
        <v>172</v>
      </c>
    </row>
    <row r="174" spans="1:24" ht="12.75">
      <c r="A174" s="288">
        <v>4102</v>
      </c>
      <c r="B174" s="288" t="s">
        <v>22</v>
      </c>
      <c r="C174" s="288" t="s">
        <v>24</v>
      </c>
      <c r="D174" s="288" t="s">
        <v>36</v>
      </c>
      <c r="E174" s="289">
        <v>44260</v>
      </c>
      <c r="F174" s="290"/>
      <c r="G174" s="447"/>
      <c r="H174" s="448">
        <f>SUMIFS('Employee Leaves'!$G:$G,'Employee Leaves'!$A:$A,A174,'Employee Leaves'!$E:$E,"Holiday")</f>
        <v>0</v>
      </c>
      <c r="I174" s="448">
        <f>COUNTIFS('Employee Leaves'!$A:$A,A174,'Employee Leaves'!$E:$E,$H$1)</f>
        <v>0</v>
      </c>
      <c r="J174" s="442">
        <f t="shared" si="10"/>
        <v>0.24378352023403219</v>
      </c>
      <c r="K174" s="488">
        <f>SUMIFS('Employee Leaves'!$G:$G,'Employee Leaves'!$A:$A,A174,'Employee Leaves'!$E:$E,"Maternity Leave")</f>
        <v>0</v>
      </c>
      <c r="L174" s="448">
        <f>SUMIFS('Employee Leaves'!$G:$G,'Employee Leaves'!$A:$A,A174,'Employee Leaves'!$E:$E,"Paternity Leave")</f>
        <v>0</v>
      </c>
      <c r="M174" s="448">
        <f>SUMIFS('Employee Leaves'!$G:$G,'Employee Leaves'!$A:$A,A174,'Employee Leaves'!$E:$E,"Sick")</f>
        <v>0</v>
      </c>
      <c r="N174" s="448">
        <f>COUNTIFS('Employee Leaves'!$A:$A,A174,'Employee Leaves'!$E:$E,$M$1)</f>
        <v>0</v>
      </c>
      <c r="O174" s="442">
        <f t="shared" si="11"/>
        <v>0.24378352023403219</v>
      </c>
      <c r="P174" s="445">
        <f>SUMIFS('Employee Leaves'!$G:$G,'Employee Leaves'!$A:$A,A174,'Employee Leaves'!$E:$E,"Others")</f>
        <v>0</v>
      </c>
      <c r="Q174" s="485">
        <f>SUMIFS('Employee Leaves'!$G:$G,'Employee Leaves'!$A:$A,A174)</f>
        <v>0</v>
      </c>
      <c r="R174" s="451"/>
      <c r="S174" s="439" t="str">
        <f t="shared" si="12"/>
        <v>-</v>
      </c>
      <c r="T174" s="238">
        <v>48.52</v>
      </c>
      <c r="U174" s="239">
        <f t="shared" si="13"/>
        <v>388.16</v>
      </c>
      <c r="V174" s="239">
        <f t="shared" si="14"/>
        <v>72.78</v>
      </c>
      <c r="W174" s="243" t="s">
        <v>177</v>
      </c>
      <c r="X174" s="241" t="s">
        <v>176</v>
      </c>
    </row>
    <row r="175" spans="1:24" ht="12.75">
      <c r="A175" s="288">
        <v>4103</v>
      </c>
      <c r="B175" s="288" t="s">
        <v>22</v>
      </c>
      <c r="C175" s="288" t="s">
        <v>32</v>
      </c>
      <c r="D175" s="288" t="s">
        <v>9</v>
      </c>
      <c r="E175" s="289">
        <v>43942</v>
      </c>
      <c r="F175" s="290">
        <v>44713</v>
      </c>
      <c r="G175" s="447" t="s">
        <v>13</v>
      </c>
      <c r="H175" s="448">
        <f>SUMIFS('Employee Leaves'!$G:$G,'Employee Leaves'!$A:$A,A175,'Employee Leaves'!$E:$E,"Holiday")</f>
        <v>0</v>
      </c>
      <c r="I175" s="448">
        <f>COUNTIFS('Employee Leaves'!$A:$A,A175,'Employee Leaves'!$E:$E,$H$1)</f>
        <v>0</v>
      </c>
      <c r="J175" s="442">
        <f t="shared" si="10"/>
        <v>0.24372410431391664</v>
      </c>
      <c r="K175" s="488">
        <f>SUMIFS('Employee Leaves'!$G:$G,'Employee Leaves'!$A:$A,A175,'Employee Leaves'!$E:$E,"Maternity Leave")</f>
        <v>0</v>
      </c>
      <c r="L175" s="448">
        <f>SUMIFS('Employee Leaves'!$G:$G,'Employee Leaves'!$A:$A,A175,'Employee Leaves'!$E:$E,"Paternity Leave")</f>
        <v>0</v>
      </c>
      <c r="M175" s="448">
        <f>SUMIFS('Employee Leaves'!$G:$G,'Employee Leaves'!$A:$A,A175,'Employee Leaves'!$E:$E,"Sick")</f>
        <v>0</v>
      </c>
      <c r="N175" s="448">
        <f>COUNTIFS('Employee Leaves'!$A:$A,A175,'Employee Leaves'!$E:$E,$M$1)</f>
        <v>0</v>
      </c>
      <c r="O175" s="442">
        <f t="shared" si="11"/>
        <v>0.24372410431391664</v>
      </c>
      <c r="P175" s="445">
        <f>SUMIFS('Employee Leaves'!$G:$G,'Employee Leaves'!$A:$A,A175,'Employee Leaves'!$E:$E,"Others")</f>
        <v>0</v>
      </c>
      <c r="Q175" s="485">
        <f>SUMIFS('Employee Leaves'!$G:$G,'Employee Leaves'!$A:$A,A175)</f>
        <v>0</v>
      </c>
      <c r="R175" s="451"/>
      <c r="S175" s="439">
        <f t="shared" si="12"/>
        <v>771</v>
      </c>
      <c r="T175" s="238">
        <v>48.52</v>
      </c>
      <c r="U175" s="239">
        <f t="shared" si="13"/>
        <v>388.16</v>
      </c>
      <c r="V175" s="239">
        <f t="shared" si="14"/>
        <v>72.78</v>
      </c>
      <c r="W175" s="243" t="s">
        <v>177</v>
      </c>
      <c r="X175" s="241" t="s">
        <v>176</v>
      </c>
    </row>
    <row r="176" spans="1:24" ht="12.75">
      <c r="A176" s="288">
        <v>4104</v>
      </c>
      <c r="B176" s="288" t="s">
        <v>22</v>
      </c>
      <c r="C176" s="288" t="s">
        <v>30</v>
      </c>
      <c r="D176" s="288" t="s">
        <v>9</v>
      </c>
      <c r="E176" s="289">
        <v>43896</v>
      </c>
      <c r="F176" s="290"/>
      <c r="G176" s="447"/>
      <c r="H176" s="448">
        <f>SUMIFS('Employee Leaves'!$G:$G,'Employee Leaves'!$A:$A,A176,'Employee Leaves'!$E:$E,"Holiday")</f>
        <v>0</v>
      </c>
      <c r="I176" s="448">
        <f>COUNTIFS('Employee Leaves'!$A:$A,A176,'Employee Leaves'!$E:$E,$H$1)</f>
        <v>0</v>
      </c>
      <c r="J176" s="442">
        <f t="shared" si="10"/>
        <v>0.24366471734892786</v>
      </c>
      <c r="K176" s="488">
        <f>SUMIFS('Employee Leaves'!$G:$G,'Employee Leaves'!$A:$A,A176,'Employee Leaves'!$E:$E,"Maternity Leave")</f>
        <v>0</v>
      </c>
      <c r="L176" s="448">
        <f>SUMIFS('Employee Leaves'!$G:$G,'Employee Leaves'!$A:$A,A176,'Employee Leaves'!$E:$E,"Paternity Leave")</f>
        <v>0</v>
      </c>
      <c r="M176" s="448">
        <f>SUMIFS('Employee Leaves'!$G:$G,'Employee Leaves'!$A:$A,A176,'Employee Leaves'!$E:$E,"Sick")</f>
        <v>1</v>
      </c>
      <c r="N176" s="448">
        <f>COUNTIFS('Employee Leaves'!$A:$A,A176,'Employee Leaves'!$E:$E,$M$1)</f>
        <v>1</v>
      </c>
      <c r="O176" s="442">
        <f t="shared" si="11"/>
        <v>1.2436647173489279</v>
      </c>
      <c r="P176" s="445">
        <f>SUMIFS('Employee Leaves'!$G:$G,'Employee Leaves'!$A:$A,A176,'Employee Leaves'!$E:$E,"Others")</f>
        <v>0</v>
      </c>
      <c r="Q176" s="485">
        <f>SUMIFS('Employee Leaves'!$G:$G,'Employee Leaves'!$A:$A,A176)</f>
        <v>1</v>
      </c>
      <c r="R176" s="451"/>
      <c r="S176" s="439" t="str">
        <f t="shared" si="12"/>
        <v>-</v>
      </c>
      <c r="T176" s="238">
        <v>23.93</v>
      </c>
      <c r="U176" s="239">
        <f t="shared" si="13"/>
        <v>191.44</v>
      </c>
      <c r="V176" s="239">
        <f t="shared" si="14"/>
        <v>35.894999999999996</v>
      </c>
      <c r="W176" s="243" t="s">
        <v>170</v>
      </c>
      <c r="X176" s="241" t="s">
        <v>169</v>
      </c>
    </row>
    <row r="177" spans="1:24" ht="12.75">
      <c r="A177" s="288">
        <v>4105</v>
      </c>
      <c r="B177" s="288" t="s">
        <v>22</v>
      </c>
      <c r="C177" s="288" t="s">
        <v>23</v>
      </c>
      <c r="D177" s="288" t="s">
        <v>9</v>
      </c>
      <c r="E177" s="289">
        <v>44366</v>
      </c>
      <c r="F177" s="290"/>
      <c r="G177" s="447"/>
      <c r="H177" s="448">
        <f>SUMIFS('Employee Leaves'!$G:$G,'Employee Leaves'!$A:$A,A177,'Employee Leaves'!$E:$E,"Holiday")</f>
        <v>0</v>
      </c>
      <c r="I177" s="448">
        <f>COUNTIFS('Employee Leaves'!$A:$A,A177,'Employee Leaves'!$E:$E,$H$1)</f>
        <v>0</v>
      </c>
      <c r="J177" s="442">
        <f t="shared" si="10"/>
        <v>0.243605359317905</v>
      </c>
      <c r="K177" s="488">
        <f>SUMIFS('Employee Leaves'!$G:$G,'Employee Leaves'!$A:$A,A177,'Employee Leaves'!$E:$E,"Maternity Leave")</f>
        <v>0</v>
      </c>
      <c r="L177" s="448">
        <f>SUMIFS('Employee Leaves'!$G:$G,'Employee Leaves'!$A:$A,A177,'Employee Leaves'!$E:$E,"Paternity Leave")</f>
        <v>0</v>
      </c>
      <c r="M177" s="448">
        <f>SUMIFS('Employee Leaves'!$G:$G,'Employee Leaves'!$A:$A,A177,'Employee Leaves'!$E:$E,"Sick")</f>
        <v>0</v>
      </c>
      <c r="N177" s="448">
        <f>COUNTIFS('Employee Leaves'!$A:$A,A177,'Employee Leaves'!$E:$E,$M$1)</f>
        <v>0</v>
      </c>
      <c r="O177" s="442">
        <f t="shared" si="11"/>
        <v>0.243605359317905</v>
      </c>
      <c r="P177" s="445">
        <f>SUMIFS('Employee Leaves'!$G:$G,'Employee Leaves'!$A:$A,A177,'Employee Leaves'!$E:$E,"Others")</f>
        <v>0</v>
      </c>
      <c r="Q177" s="485">
        <f>SUMIFS('Employee Leaves'!$G:$G,'Employee Leaves'!$A:$A,A177)</f>
        <v>0</v>
      </c>
      <c r="R177" s="451"/>
      <c r="S177" s="439" t="str">
        <f t="shared" si="12"/>
        <v>-</v>
      </c>
      <c r="T177" s="238">
        <v>45.8</v>
      </c>
      <c r="U177" s="239">
        <f t="shared" si="13"/>
        <v>366.4</v>
      </c>
      <c r="V177" s="239">
        <f t="shared" si="14"/>
        <v>68.699999999999989</v>
      </c>
      <c r="W177" s="243" t="s">
        <v>173</v>
      </c>
      <c r="X177" s="242" t="s">
        <v>172</v>
      </c>
    </row>
    <row r="178" spans="1:24" ht="12.75">
      <c r="A178" s="288">
        <v>4107</v>
      </c>
      <c r="B178" s="288" t="s">
        <v>22</v>
      </c>
      <c r="C178" s="288" t="s">
        <v>30</v>
      </c>
      <c r="D178" s="288" t="s">
        <v>9</v>
      </c>
      <c r="E178" s="289">
        <v>44164</v>
      </c>
      <c r="F178" s="290"/>
      <c r="G178" s="447"/>
      <c r="H178" s="448">
        <f>SUMIFS('Employee Leaves'!$G:$G,'Employee Leaves'!$A:$A,A178,'Employee Leaves'!$E:$E,"Holiday")</f>
        <v>0</v>
      </c>
      <c r="I178" s="448">
        <f>COUNTIFS('Employee Leaves'!$A:$A,A178,'Employee Leaves'!$E:$E,$H$1)</f>
        <v>0</v>
      </c>
      <c r="J178" s="442">
        <f t="shared" si="10"/>
        <v>0.24348672997321646</v>
      </c>
      <c r="K178" s="488">
        <f>SUMIFS('Employee Leaves'!$G:$G,'Employee Leaves'!$A:$A,A178,'Employee Leaves'!$E:$E,"Maternity Leave")</f>
        <v>0</v>
      </c>
      <c r="L178" s="448">
        <f>SUMIFS('Employee Leaves'!$G:$G,'Employee Leaves'!$A:$A,A178,'Employee Leaves'!$E:$E,"Paternity Leave")</f>
        <v>0</v>
      </c>
      <c r="M178" s="448">
        <f>SUMIFS('Employee Leaves'!$G:$G,'Employee Leaves'!$A:$A,A178,'Employee Leaves'!$E:$E,"Sick")</f>
        <v>0</v>
      </c>
      <c r="N178" s="448">
        <f>COUNTIFS('Employee Leaves'!$A:$A,A178,'Employee Leaves'!$E:$E,$M$1)</f>
        <v>0</v>
      </c>
      <c r="O178" s="442">
        <f t="shared" si="11"/>
        <v>0.24348672997321646</v>
      </c>
      <c r="P178" s="445">
        <f>SUMIFS('Employee Leaves'!$G:$G,'Employee Leaves'!$A:$A,A178,'Employee Leaves'!$E:$E,"Others")</f>
        <v>0</v>
      </c>
      <c r="Q178" s="485">
        <f>SUMIFS('Employee Leaves'!$G:$G,'Employee Leaves'!$A:$A,A178)</f>
        <v>0</v>
      </c>
      <c r="R178" s="451"/>
      <c r="S178" s="439" t="str">
        <f t="shared" si="12"/>
        <v>-</v>
      </c>
      <c r="T178" s="238">
        <v>23.93</v>
      </c>
      <c r="U178" s="239">
        <f t="shared" si="13"/>
        <v>191.44</v>
      </c>
      <c r="V178" s="239">
        <f t="shared" si="14"/>
        <v>35.894999999999996</v>
      </c>
      <c r="W178" s="243" t="s">
        <v>170</v>
      </c>
      <c r="X178" s="241" t="s">
        <v>169</v>
      </c>
    </row>
    <row r="179" spans="1:24" ht="12.75">
      <c r="A179" s="288">
        <v>4108</v>
      </c>
      <c r="B179" s="288" t="s">
        <v>22</v>
      </c>
      <c r="C179" s="288" t="s">
        <v>26</v>
      </c>
      <c r="D179" s="288" t="s">
        <v>9</v>
      </c>
      <c r="E179" s="289">
        <v>44217</v>
      </c>
      <c r="F179" s="290"/>
      <c r="G179" s="447"/>
      <c r="H179" s="448">
        <f>SUMIFS('Employee Leaves'!$G:$G,'Employee Leaves'!$A:$A,A179,'Employee Leaves'!$E:$E,"Holiday")</f>
        <v>0</v>
      </c>
      <c r="I179" s="448">
        <f>COUNTIFS('Employee Leaves'!$A:$A,A179,'Employee Leaves'!$E:$E,$H$1)</f>
        <v>0</v>
      </c>
      <c r="J179" s="442">
        <f t="shared" si="10"/>
        <v>0.24342745861733203</v>
      </c>
      <c r="K179" s="488">
        <f>SUMIFS('Employee Leaves'!$G:$G,'Employee Leaves'!$A:$A,A179,'Employee Leaves'!$E:$E,"Maternity Leave")</f>
        <v>0</v>
      </c>
      <c r="L179" s="448">
        <f>SUMIFS('Employee Leaves'!$G:$G,'Employee Leaves'!$A:$A,A179,'Employee Leaves'!$E:$E,"Paternity Leave")</f>
        <v>0</v>
      </c>
      <c r="M179" s="448">
        <f>SUMIFS('Employee Leaves'!$G:$G,'Employee Leaves'!$A:$A,A179,'Employee Leaves'!$E:$E,"Sick")</f>
        <v>0</v>
      </c>
      <c r="N179" s="448">
        <f>COUNTIFS('Employee Leaves'!$A:$A,A179,'Employee Leaves'!$E:$E,$M$1)</f>
        <v>0</v>
      </c>
      <c r="O179" s="442">
        <f t="shared" si="11"/>
        <v>0.24342745861733203</v>
      </c>
      <c r="P179" s="445">
        <f>SUMIFS('Employee Leaves'!$G:$G,'Employee Leaves'!$A:$A,A179,'Employee Leaves'!$E:$E,"Others")</f>
        <v>0</v>
      </c>
      <c r="Q179" s="485">
        <f>SUMIFS('Employee Leaves'!$G:$G,'Employee Leaves'!$A:$A,A179)</f>
        <v>0</v>
      </c>
      <c r="R179" s="451"/>
      <c r="S179" s="439" t="str">
        <f t="shared" si="12"/>
        <v>-</v>
      </c>
      <c r="T179" s="238">
        <v>37.049999999999997</v>
      </c>
      <c r="U179" s="239">
        <f t="shared" si="13"/>
        <v>296.39999999999998</v>
      </c>
      <c r="V179" s="239">
        <f t="shared" si="14"/>
        <v>55.574999999999996</v>
      </c>
      <c r="W179" s="243" t="s">
        <v>181</v>
      </c>
      <c r="X179" s="241" t="s">
        <v>180</v>
      </c>
    </row>
    <row r="180" spans="1:24" ht="12.75">
      <c r="A180" s="288">
        <v>4110</v>
      </c>
      <c r="B180" s="288" t="s">
        <v>22</v>
      </c>
      <c r="C180" s="288" t="s">
        <v>25</v>
      </c>
      <c r="D180" s="288" t="s">
        <v>9</v>
      </c>
      <c r="E180" s="289">
        <v>44315</v>
      </c>
      <c r="F180" s="290"/>
      <c r="G180" s="447"/>
      <c r="H180" s="448">
        <f>SUMIFS('Employee Leaves'!$G:$G,'Employee Leaves'!$A:$A,A180,'Employee Leaves'!$E:$E,"Holiday")</f>
        <v>0</v>
      </c>
      <c r="I180" s="448">
        <f>COUNTIFS('Employee Leaves'!$A:$A,A180,'Employee Leaves'!$E:$E,$H$1)</f>
        <v>0</v>
      </c>
      <c r="J180" s="442">
        <f t="shared" si="10"/>
        <v>0.24330900243309003</v>
      </c>
      <c r="K180" s="488">
        <f>SUMIFS('Employee Leaves'!$G:$G,'Employee Leaves'!$A:$A,A180,'Employee Leaves'!$E:$E,"Maternity Leave")</f>
        <v>0</v>
      </c>
      <c r="L180" s="448">
        <f>SUMIFS('Employee Leaves'!$G:$G,'Employee Leaves'!$A:$A,A180,'Employee Leaves'!$E:$E,"Paternity Leave")</f>
        <v>0</v>
      </c>
      <c r="M180" s="448">
        <f>SUMIFS('Employee Leaves'!$G:$G,'Employee Leaves'!$A:$A,A180,'Employee Leaves'!$E:$E,"Sick")</f>
        <v>0</v>
      </c>
      <c r="N180" s="448">
        <f>COUNTIFS('Employee Leaves'!$A:$A,A180,'Employee Leaves'!$E:$E,$M$1)</f>
        <v>0</v>
      </c>
      <c r="O180" s="442">
        <f t="shared" si="11"/>
        <v>0.24330900243309003</v>
      </c>
      <c r="P180" s="445">
        <f>SUMIFS('Employee Leaves'!$G:$G,'Employee Leaves'!$A:$A,A180,'Employee Leaves'!$E:$E,"Others")</f>
        <v>0</v>
      </c>
      <c r="Q180" s="485">
        <f>SUMIFS('Employee Leaves'!$G:$G,'Employee Leaves'!$A:$A,A180)</f>
        <v>0</v>
      </c>
      <c r="R180" s="451"/>
      <c r="S180" s="439" t="str">
        <f t="shared" si="12"/>
        <v>-</v>
      </c>
      <c r="T180" s="238">
        <v>45.8</v>
      </c>
      <c r="U180" s="239">
        <f t="shared" si="13"/>
        <v>366.4</v>
      </c>
      <c r="V180" s="239">
        <f t="shared" si="14"/>
        <v>68.699999999999989</v>
      </c>
      <c r="W180" s="243" t="s">
        <v>173</v>
      </c>
      <c r="X180" s="242" t="s">
        <v>172</v>
      </c>
    </row>
    <row r="181" spans="1:24" ht="12.75">
      <c r="A181" s="288">
        <v>4111</v>
      </c>
      <c r="B181" s="288" t="s">
        <v>22</v>
      </c>
      <c r="C181" s="288" t="s">
        <v>29</v>
      </c>
      <c r="D181" s="288" t="s">
        <v>9</v>
      </c>
      <c r="E181" s="289">
        <v>44048</v>
      </c>
      <c r="F181" s="290"/>
      <c r="G181" s="447"/>
      <c r="H181" s="448">
        <f>SUMIFS('Employee Leaves'!$G:$G,'Employee Leaves'!$A:$A,A181,'Employee Leaves'!$E:$E,"Holiday")</f>
        <v>0</v>
      </c>
      <c r="I181" s="448">
        <f>COUNTIFS('Employee Leaves'!$A:$A,A181,'Employee Leaves'!$E:$E,$H$1)</f>
        <v>0</v>
      </c>
      <c r="J181" s="442">
        <f t="shared" si="10"/>
        <v>0.24324981756263683</v>
      </c>
      <c r="K181" s="488">
        <f>SUMIFS('Employee Leaves'!$G:$G,'Employee Leaves'!$A:$A,A181,'Employee Leaves'!$E:$E,"Maternity Leave")</f>
        <v>0</v>
      </c>
      <c r="L181" s="448">
        <f>SUMIFS('Employee Leaves'!$G:$G,'Employee Leaves'!$A:$A,A181,'Employee Leaves'!$E:$E,"Paternity Leave")</f>
        <v>0</v>
      </c>
      <c r="M181" s="448">
        <f>SUMIFS('Employee Leaves'!$G:$G,'Employee Leaves'!$A:$A,A181,'Employee Leaves'!$E:$E,"Sick")</f>
        <v>0</v>
      </c>
      <c r="N181" s="448">
        <f>COUNTIFS('Employee Leaves'!$A:$A,A181,'Employee Leaves'!$E:$E,$M$1)</f>
        <v>0</v>
      </c>
      <c r="O181" s="442">
        <f t="shared" si="11"/>
        <v>0.24324981756263683</v>
      </c>
      <c r="P181" s="445">
        <f>SUMIFS('Employee Leaves'!$G:$G,'Employee Leaves'!$A:$A,A181,'Employee Leaves'!$E:$E,"Others")</f>
        <v>0</v>
      </c>
      <c r="Q181" s="485">
        <f>SUMIFS('Employee Leaves'!$G:$G,'Employee Leaves'!$A:$A,A181)</f>
        <v>0</v>
      </c>
      <c r="R181" s="451"/>
      <c r="S181" s="439" t="str">
        <f t="shared" si="12"/>
        <v>-</v>
      </c>
      <c r="T181" s="238">
        <v>45.8</v>
      </c>
      <c r="U181" s="239">
        <f t="shared" si="13"/>
        <v>366.4</v>
      </c>
      <c r="V181" s="239">
        <f t="shared" si="14"/>
        <v>68.699999999999989</v>
      </c>
      <c r="W181" s="243" t="s">
        <v>173</v>
      </c>
      <c r="X181" s="242" t="s">
        <v>172</v>
      </c>
    </row>
    <row r="182" spans="1:24" ht="12.75">
      <c r="A182" s="288">
        <v>4112</v>
      </c>
      <c r="B182" s="288" t="s">
        <v>22</v>
      </c>
      <c r="C182" s="288" t="s">
        <v>23</v>
      </c>
      <c r="D182" s="288" t="s">
        <v>9</v>
      </c>
      <c r="E182" s="289">
        <v>43918</v>
      </c>
      <c r="F182" s="290"/>
      <c r="G182" s="447"/>
      <c r="H182" s="448">
        <f>SUMIFS('Employee Leaves'!$G:$G,'Employee Leaves'!$A:$A,A182,'Employee Leaves'!$E:$E,"Holiday")</f>
        <v>0</v>
      </c>
      <c r="I182" s="448">
        <f>COUNTIFS('Employee Leaves'!$A:$A,A182,'Employee Leaves'!$E:$E,$H$1)</f>
        <v>0</v>
      </c>
      <c r="J182" s="442">
        <f t="shared" si="10"/>
        <v>0.24319066147859922</v>
      </c>
      <c r="K182" s="488">
        <f>SUMIFS('Employee Leaves'!$G:$G,'Employee Leaves'!$A:$A,A182,'Employee Leaves'!$E:$E,"Maternity Leave")</f>
        <v>0</v>
      </c>
      <c r="L182" s="448">
        <f>SUMIFS('Employee Leaves'!$G:$G,'Employee Leaves'!$A:$A,A182,'Employee Leaves'!$E:$E,"Paternity Leave")</f>
        <v>0</v>
      </c>
      <c r="M182" s="448">
        <f>SUMIFS('Employee Leaves'!$G:$G,'Employee Leaves'!$A:$A,A182,'Employee Leaves'!$E:$E,"Sick")</f>
        <v>0</v>
      </c>
      <c r="N182" s="448">
        <f>COUNTIFS('Employee Leaves'!$A:$A,A182,'Employee Leaves'!$E:$E,$M$1)</f>
        <v>0</v>
      </c>
      <c r="O182" s="442">
        <f t="shared" si="11"/>
        <v>0.24319066147859922</v>
      </c>
      <c r="P182" s="445">
        <f>SUMIFS('Employee Leaves'!$G:$G,'Employee Leaves'!$A:$A,A182,'Employee Leaves'!$E:$E,"Others")</f>
        <v>0</v>
      </c>
      <c r="Q182" s="485">
        <f>SUMIFS('Employee Leaves'!$G:$G,'Employee Leaves'!$A:$A,A182)</f>
        <v>0</v>
      </c>
      <c r="R182" s="451"/>
      <c r="S182" s="439" t="str">
        <f t="shared" si="12"/>
        <v>-</v>
      </c>
      <c r="T182" s="238">
        <v>45.8</v>
      </c>
      <c r="U182" s="239">
        <f t="shared" si="13"/>
        <v>366.4</v>
      </c>
      <c r="V182" s="239">
        <f t="shared" si="14"/>
        <v>68.699999999999989</v>
      </c>
      <c r="W182" s="243" t="s">
        <v>173</v>
      </c>
      <c r="X182" s="242" t="s">
        <v>172</v>
      </c>
    </row>
    <row r="183" spans="1:24" ht="12.75">
      <c r="A183" s="288">
        <v>4113</v>
      </c>
      <c r="B183" s="288" t="s">
        <v>22</v>
      </c>
      <c r="C183" s="288" t="s">
        <v>32</v>
      </c>
      <c r="D183" s="288" t="s">
        <v>9</v>
      </c>
      <c r="E183" s="289">
        <v>44141</v>
      </c>
      <c r="F183" s="290">
        <v>44545</v>
      </c>
      <c r="G183" s="447" t="s">
        <v>13</v>
      </c>
      <c r="H183" s="448">
        <f>SUMIFS('Employee Leaves'!$G:$G,'Employee Leaves'!$A:$A,A183,'Employee Leaves'!$E:$E,"Holiday")</f>
        <v>0</v>
      </c>
      <c r="I183" s="448">
        <f>COUNTIFS('Employee Leaves'!$A:$A,A183,'Employee Leaves'!$E:$E,$H$1)</f>
        <v>0</v>
      </c>
      <c r="J183" s="442">
        <f t="shared" si="10"/>
        <v>0.24313153415998054</v>
      </c>
      <c r="K183" s="488">
        <f>SUMIFS('Employee Leaves'!$G:$G,'Employee Leaves'!$A:$A,A183,'Employee Leaves'!$E:$E,"Maternity Leave")</f>
        <v>0</v>
      </c>
      <c r="L183" s="448">
        <f>SUMIFS('Employee Leaves'!$G:$G,'Employee Leaves'!$A:$A,A183,'Employee Leaves'!$E:$E,"Paternity Leave")</f>
        <v>0</v>
      </c>
      <c r="M183" s="448">
        <f>SUMIFS('Employee Leaves'!$G:$G,'Employee Leaves'!$A:$A,A183,'Employee Leaves'!$E:$E,"Sick")</f>
        <v>0</v>
      </c>
      <c r="N183" s="448">
        <f>COUNTIFS('Employee Leaves'!$A:$A,A183,'Employee Leaves'!$E:$E,$M$1)</f>
        <v>0</v>
      </c>
      <c r="O183" s="442">
        <f t="shared" si="11"/>
        <v>0.24313153415998054</v>
      </c>
      <c r="P183" s="445">
        <f>SUMIFS('Employee Leaves'!$G:$G,'Employee Leaves'!$A:$A,A183,'Employee Leaves'!$E:$E,"Others")</f>
        <v>0</v>
      </c>
      <c r="Q183" s="485">
        <f>SUMIFS('Employee Leaves'!$G:$G,'Employee Leaves'!$A:$A,A183)</f>
        <v>0</v>
      </c>
      <c r="R183" s="451"/>
      <c r="S183" s="439">
        <f t="shared" si="12"/>
        <v>404</v>
      </c>
      <c r="T183" s="238">
        <v>48.52</v>
      </c>
      <c r="U183" s="239">
        <f t="shared" si="13"/>
        <v>388.16</v>
      </c>
      <c r="V183" s="239">
        <f t="shared" si="14"/>
        <v>72.78</v>
      </c>
      <c r="W183" s="243" t="s">
        <v>177</v>
      </c>
      <c r="X183" s="241" t="s">
        <v>176</v>
      </c>
    </row>
    <row r="184" spans="1:24" ht="12.75">
      <c r="A184" s="288">
        <v>4114</v>
      </c>
      <c r="B184" s="288" t="s">
        <v>22</v>
      </c>
      <c r="C184" s="288" t="s">
        <v>23</v>
      </c>
      <c r="D184" s="288" t="s">
        <v>9</v>
      </c>
      <c r="E184" s="289">
        <v>44513</v>
      </c>
      <c r="F184" s="290"/>
      <c r="G184" s="447"/>
      <c r="H184" s="448">
        <f>SUMIFS('Employee Leaves'!$G:$G,'Employee Leaves'!$A:$A,A184,'Employee Leaves'!$E:$E,"Holiday")</f>
        <v>0</v>
      </c>
      <c r="I184" s="448">
        <f>COUNTIFS('Employee Leaves'!$A:$A,A184,'Employee Leaves'!$E:$E,$H$1)</f>
        <v>0</v>
      </c>
      <c r="J184" s="442">
        <f t="shared" si="10"/>
        <v>0.24307243558580457</v>
      </c>
      <c r="K184" s="488">
        <f>SUMIFS('Employee Leaves'!$G:$G,'Employee Leaves'!$A:$A,A184,'Employee Leaves'!$E:$E,"Maternity Leave")</f>
        <v>0</v>
      </c>
      <c r="L184" s="448">
        <f>SUMIFS('Employee Leaves'!$G:$G,'Employee Leaves'!$A:$A,A184,'Employee Leaves'!$E:$E,"Paternity Leave")</f>
        <v>0</v>
      </c>
      <c r="M184" s="448">
        <f>SUMIFS('Employee Leaves'!$G:$G,'Employee Leaves'!$A:$A,A184,'Employee Leaves'!$E:$E,"Sick")</f>
        <v>0</v>
      </c>
      <c r="N184" s="448">
        <f>COUNTIFS('Employee Leaves'!$A:$A,A184,'Employee Leaves'!$E:$E,$M$1)</f>
        <v>0</v>
      </c>
      <c r="O184" s="442">
        <f t="shared" si="11"/>
        <v>0.24307243558580457</v>
      </c>
      <c r="P184" s="445">
        <f>SUMIFS('Employee Leaves'!$G:$G,'Employee Leaves'!$A:$A,A184,'Employee Leaves'!$E:$E,"Others")</f>
        <v>0</v>
      </c>
      <c r="Q184" s="485">
        <f>SUMIFS('Employee Leaves'!$G:$G,'Employee Leaves'!$A:$A,A184)</f>
        <v>0</v>
      </c>
      <c r="R184" s="451"/>
      <c r="S184" s="439" t="str">
        <f t="shared" si="12"/>
        <v>-</v>
      </c>
      <c r="T184" s="238">
        <v>45.8</v>
      </c>
      <c r="U184" s="239">
        <f t="shared" si="13"/>
        <v>366.4</v>
      </c>
      <c r="V184" s="239">
        <f t="shared" si="14"/>
        <v>68.699999999999989</v>
      </c>
      <c r="W184" s="243" t="s">
        <v>173</v>
      </c>
      <c r="X184" s="242" t="s">
        <v>172</v>
      </c>
    </row>
    <row r="185" spans="1:24" ht="12.75">
      <c r="A185" s="288">
        <v>4115</v>
      </c>
      <c r="B185" s="288" t="s">
        <v>22</v>
      </c>
      <c r="C185" s="288" t="s">
        <v>24</v>
      </c>
      <c r="D185" s="288" t="s">
        <v>9</v>
      </c>
      <c r="E185" s="289">
        <v>44289</v>
      </c>
      <c r="F185" s="290"/>
      <c r="G185" s="447"/>
      <c r="H185" s="448">
        <f>SUMIFS('Employee Leaves'!$G:$G,'Employee Leaves'!$A:$A,A185,'Employee Leaves'!$E:$E,"Holiday")</f>
        <v>0</v>
      </c>
      <c r="I185" s="448">
        <f>COUNTIFS('Employee Leaves'!$A:$A,A185,'Employee Leaves'!$E:$E,$H$1)</f>
        <v>0</v>
      </c>
      <c r="J185" s="442">
        <f t="shared" si="10"/>
        <v>0.24301336573511542</v>
      </c>
      <c r="K185" s="488">
        <f>SUMIFS('Employee Leaves'!$G:$G,'Employee Leaves'!$A:$A,A185,'Employee Leaves'!$E:$E,"Maternity Leave")</f>
        <v>0</v>
      </c>
      <c r="L185" s="448">
        <f>SUMIFS('Employee Leaves'!$G:$G,'Employee Leaves'!$A:$A,A185,'Employee Leaves'!$E:$E,"Paternity Leave")</f>
        <v>0</v>
      </c>
      <c r="M185" s="448">
        <f>SUMIFS('Employee Leaves'!$G:$G,'Employee Leaves'!$A:$A,A185,'Employee Leaves'!$E:$E,"Sick")</f>
        <v>0</v>
      </c>
      <c r="N185" s="448">
        <f>COUNTIFS('Employee Leaves'!$A:$A,A185,'Employee Leaves'!$E:$E,$M$1)</f>
        <v>0</v>
      </c>
      <c r="O185" s="442">
        <f t="shared" si="11"/>
        <v>0.24301336573511542</v>
      </c>
      <c r="P185" s="445">
        <f>SUMIFS('Employee Leaves'!$G:$G,'Employee Leaves'!$A:$A,A185,'Employee Leaves'!$E:$E,"Others")</f>
        <v>3</v>
      </c>
      <c r="Q185" s="485">
        <f>SUMIFS('Employee Leaves'!$G:$G,'Employee Leaves'!$A:$A,A185)</f>
        <v>3</v>
      </c>
      <c r="R185" s="451"/>
      <c r="S185" s="439" t="str">
        <f t="shared" si="12"/>
        <v>-</v>
      </c>
      <c r="T185" s="238">
        <v>48.52</v>
      </c>
      <c r="U185" s="239">
        <f t="shared" si="13"/>
        <v>388.16</v>
      </c>
      <c r="V185" s="239">
        <f t="shared" si="14"/>
        <v>72.78</v>
      </c>
      <c r="W185" s="243" t="s">
        <v>177</v>
      </c>
      <c r="X185" s="241" t="s">
        <v>176</v>
      </c>
    </row>
    <row r="186" spans="1:24" ht="12.75">
      <c r="A186" s="288">
        <v>4116</v>
      </c>
      <c r="B186" s="288" t="s">
        <v>22</v>
      </c>
      <c r="C186" s="288" t="s">
        <v>32</v>
      </c>
      <c r="D186" s="288" t="s">
        <v>9</v>
      </c>
      <c r="E186" s="289">
        <v>44604</v>
      </c>
      <c r="F186" s="290"/>
      <c r="G186" s="447"/>
      <c r="H186" s="448">
        <f>SUMIFS('Employee Leaves'!$G:$G,'Employee Leaves'!$A:$A,A186,'Employee Leaves'!$E:$E,"Holiday")</f>
        <v>0</v>
      </c>
      <c r="I186" s="448">
        <f>COUNTIFS('Employee Leaves'!$A:$A,A186,'Employee Leaves'!$E:$E,$H$1)</f>
        <v>0</v>
      </c>
      <c r="J186" s="442">
        <f t="shared" si="10"/>
        <v>0.24295432458697766</v>
      </c>
      <c r="K186" s="488">
        <f>SUMIFS('Employee Leaves'!$G:$G,'Employee Leaves'!$A:$A,A186,'Employee Leaves'!$E:$E,"Maternity Leave")</f>
        <v>0</v>
      </c>
      <c r="L186" s="448">
        <f>SUMIFS('Employee Leaves'!$G:$G,'Employee Leaves'!$A:$A,A186,'Employee Leaves'!$E:$E,"Paternity Leave")</f>
        <v>0</v>
      </c>
      <c r="M186" s="448">
        <f>SUMIFS('Employee Leaves'!$G:$G,'Employee Leaves'!$A:$A,A186,'Employee Leaves'!$E:$E,"Sick")</f>
        <v>0</v>
      </c>
      <c r="N186" s="448">
        <f>COUNTIFS('Employee Leaves'!$A:$A,A186,'Employee Leaves'!$E:$E,$M$1)</f>
        <v>0</v>
      </c>
      <c r="O186" s="442">
        <f t="shared" si="11"/>
        <v>0.24295432458697766</v>
      </c>
      <c r="P186" s="445">
        <f>SUMIFS('Employee Leaves'!$G:$G,'Employee Leaves'!$A:$A,A186,'Employee Leaves'!$E:$E,"Others")</f>
        <v>0</v>
      </c>
      <c r="Q186" s="485">
        <f>SUMIFS('Employee Leaves'!$G:$G,'Employee Leaves'!$A:$A,A186)</f>
        <v>0</v>
      </c>
      <c r="R186" s="451"/>
      <c r="S186" s="439" t="str">
        <f t="shared" si="12"/>
        <v>-</v>
      </c>
      <c r="T186" s="238">
        <v>48.52</v>
      </c>
      <c r="U186" s="239">
        <f t="shared" si="13"/>
        <v>388.16</v>
      </c>
      <c r="V186" s="239">
        <f t="shared" si="14"/>
        <v>72.78</v>
      </c>
      <c r="W186" s="243" t="s">
        <v>177</v>
      </c>
      <c r="X186" s="241" t="s">
        <v>176</v>
      </c>
    </row>
    <row r="187" spans="1:24" ht="12.75">
      <c r="A187" s="288">
        <v>4117</v>
      </c>
      <c r="B187" s="288" t="s">
        <v>22</v>
      </c>
      <c r="C187" s="288" t="s">
        <v>32</v>
      </c>
      <c r="D187" s="288" t="s">
        <v>36</v>
      </c>
      <c r="E187" s="289">
        <v>43882</v>
      </c>
      <c r="F187" s="290">
        <v>44682</v>
      </c>
      <c r="G187" s="447" t="s">
        <v>14</v>
      </c>
      <c r="H187" s="448">
        <f>SUMIFS('Employee Leaves'!$G:$G,'Employee Leaves'!$A:$A,A187,'Employee Leaves'!$E:$E,"Holiday")</f>
        <v>0</v>
      </c>
      <c r="I187" s="448">
        <f>COUNTIFS('Employee Leaves'!$A:$A,A187,'Employee Leaves'!$E:$E,$H$1)</f>
        <v>0</v>
      </c>
      <c r="J187" s="442">
        <f t="shared" si="10"/>
        <v>0.24289531212047608</v>
      </c>
      <c r="K187" s="488">
        <f>SUMIFS('Employee Leaves'!$G:$G,'Employee Leaves'!$A:$A,A187,'Employee Leaves'!$E:$E,"Maternity Leave")</f>
        <v>0</v>
      </c>
      <c r="L187" s="448">
        <f>SUMIFS('Employee Leaves'!$G:$G,'Employee Leaves'!$A:$A,A187,'Employee Leaves'!$E:$E,"Paternity Leave")</f>
        <v>0</v>
      </c>
      <c r="M187" s="448">
        <f>SUMIFS('Employee Leaves'!$G:$G,'Employee Leaves'!$A:$A,A187,'Employee Leaves'!$E:$E,"Sick")</f>
        <v>0</v>
      </c>
      <c r="N187" s="448">
        <f>COUNTIFS('Employee Leaves'!$A:$A,A187,'Employee Leaves'!$E:$E,$M$1)</f>
        <v>0</v>
      </c>
      <c r="O187" s="442">
        <f t="shared" si="11"/>
        <v>0.24289531212047608</v>
      </c>
      <c r="P187" s="445">
        <f>SUMIFS('Employee Leaves'!$G:$G,'Employee Leaves'!$A:$A,A187,'Employee Leaves'!$E:$E,"Others")</f>
        <v>0</v>
      </c>
      <c r="Q187" s="485">
        <f>SUMIFS('Employee Leaves'!$G:$G,'Employee Leaves'!$A:$A,A187)</f>
        <v>0</v>
      </c>
      <c r="R187" s="451"/>
      <c r="S187" s="439">
        <f t="shared" si="12"/>
        <v>800</v>
      </c>
      <c r="T187" s="238">
        <v>48.52</v>
      </c>
      <c r="U187" s="239">
        <f t="shared" si="13"/>
        <v>388.16</v>
      </c>
      <c r="V187" s="239">
        <f t="shared" si="14"/>
        <v>72.78</v>
      </c>
      <c r="W187" s="243" t="s">
        <v>177</v>
      </c>
      <c r="X187" s="241" t="s">
        <v>176</v>
      </c>
    </row>
    <row r="188" spans="1:24" ht="12.75">
      <c r="A188" s="288">
        <v>4119</v>
      </c>
      <c r="B188" s="288" t="s">
        <v>22</v>
      </c>
      <c r="C188" s="288" t="s">
        <v>35</v>
      </c>
      <c r="D188" s="288" t="s">
        <v>9</v>
      </c>
      <c r="E188" s="289">
        <v>44489</v>
      </c>
      <c r="F188" s="290"/>
      <c r="G188" s="447"/>
      <c r="H188" s="448">
        <f>SUMIFS('Employee Leaves'!$G:$G,'Employee Leaves'!$A:$A,A188,'Employee Leaves'!$E:$E,"Holiday")</f>
        <v>0</v>
      </c>
      <c r="I188" s="448">
        <f>COUNTIFS('Employee Leaves'!$A:$A,A188,'Employee Leaves'!$E:$E,$H$1)</f>
        <v>0</v>
      </c>
      <c r="J188" s="442">
        <f t="shared" si="10"/>
        <v>0.24277737314882253</v>
      </c>
      <c r="K188" s="488">
        <f>SUMIFS('Employee Leaves'!$G:$G,'Employee Leaves'!$A:$A,A188,'Employee Leaves'!$E:$E,"Maternity Leave")</f>
        <v>0</v>
      </c>
      <c r="L188" s="448">
        <f>SUMIFS('Employee Leaves'!$G:$G,'Employee Leaves'!$A:$A,A188,'Employee Leaves'!$E:$E,"Paternity Leave")</f>
        <v>0</v>
      </c>
      <c r="M188" s="448">
        <f>SUMIFS('Employee Leaves'!$G:$G,'Employee Leaves'!$A:$A,A188,'Employee Leaves'!$E:$E,"Sick")</f>
        <v>0</v>
      </c>
      <c r="N188" s="448">
        <f>COUNTIFS('Employee Leaves'!$A:$A,A188,'Employee Leaves'!$E:$E,$M$1)</f>
        <v>0</v>
      </c>
      <c r="O188" s="442">
        <f t="shared" si="11"/>
        <v>0.24277737314882253</v>
      </c>
      <c r="P188" s="445">
        <f>SUMIFS('Employee Leaves'!$G:$G,'Employee Leaves'!$A:$A,A188,'Employee Leaves'!$E:$E,"Others")</f>
        <v>0</v>
      </c>
      <c r="Q188" s="485">
        <f>SUMIFS('Employee Leaves'!$G:$G,'Employee Leaves'!$A:$A,A188)</f>
        <v>0</v>
      </c>
      <c r="R188" s="451"/>
      <c r="S188" s="439" t="str">
        <f t="shared" si="12"/>
        <v>-</v>
      </c>
      <c r="T188" s="238">
        <v>38.409999999999997</v>
      </c>
      <c r="U188" s="239">
        <f t="shared" si="13"/>
        <v>307.27999999999997</v>
      </c>
      <c r="V188" s="239">
        <f t="shared" si="14"/>
        <v>57.614999999999995</v>
      </c>
      <c r="W188" s="243" t="s">
        <v>175</v>
      </c>
      <c r="X188" s="241" t="s">
        <v>174</v>
      </c>
    </row>
    <row r="189" spans="1:24" ht="12.75">
      <c r="A189" s="288">
        <v>4120</v>
      </c>
      <c r="B189" s="288" t="s">
        <v>22</v>
      </c>
      <c r="C189" s="288" t="s">
        <v>24</v>
      </c>
      <c r="D189" s="288" t="s">
        <v>9</v>
      </c>
      <c r="E189" s="289">
        <v>44469</v>
      </c>
      <c r="F189" s="290"/>
      <c r="G189" s="447"/>
      <c r="H189" s="448">
        <f>SUMIFS('Employee Leaves'!$G:$G,'Employee Leaves'!$A:$A,A189,'Employee Leaves'!$E:$E,"Holiday")</f>
        <v>0</v>
      </c>
      <c r="I189" s="448">
        <f>COUNTIFS('Employee Leaves'!$A:$A,A189,'Employee Leaves'!$E:$E,$H$1)</f>
        <v>0</v>
      </c>
      <c r="J189" s="442">
        <f t="shared" si="10"/>
        <v>0.24271844660194175</v>
      </c>
      <c r="K189" s="488">
        <f>SUMIFS('Employee Leaves'!$G:$G,'Employee Leaves'!$A:$A,A189,'Employee Leaves'!$E:$E,"Maternity Leave")</f>
        <v>0</v>
      </c>
      <c r="L189" s="448">
        <f>SUMIFS('Employee Leaves'!$G:$G,'Employee Leaves'!$A:$A,A189,'Employee Leaves'!$E:$E,"Paternity Leave")</f>
        <v>0</v>
      </c>
      <c r="M189" s="448">
        <f>SUMIFS('Employee Leaves'!$G:$G,'Employee Leaves'!$A:$A,A189,'Employee Leaves'!$E:$E,"Sick")</f>
        <v>0</v>
      </c>
      <c r="N189" s="448">
        <f>COUNTIFS('Employee Leaves'!$A:$A,A189,'Employee Leaves'!$E:$E,$M$1)</f>
        <v>0</v>
      </c>
      <c r="O189" s="442">
        <f t="shared" si="11"/>
        <v>0.24271844660194175</v>
      </c>
      <c r="P189" s="445">
        <f>SUMIFS('Employee Leaves'!$G:$G,'Employee Leaves'!$A:$A,A189,'Employee Leaves'!$E:$E,"Others")</f>
        <v>0</v>
      </c>
      <c r="Q189" s="485">
        <f>SUMIFS('Employee Leaves'!$G:$G,'Employee Leaves'!$A:$A,A189)</f>
        <v>0</v>
      </c>
      <c r="R189" s="451"/>
      <c r="S189" s="439" t="str">
        <f t="shared" si="12"/>
        <v>-</v>
      </c>
      <c r="T189" s="238">
        <v>48.52</v>
      </c>
      <c r="U189" s="239">
        <f t="shared" si="13"/>
        <v>388.16</v>
      </c>
      <c r="V189" s="239">
        <f t="shared" si="14"/>
        <v>72.78</v>
      </c>
      <c r="W189" s="243" t="s">
        <v>177</v>
      </c>
      <c r="X189" s="241" t="s">
        <v>176</v>
      </c>
    </row>
    <row r="190" spans="1:24" ht="12.75">
      <c r="A190" s="288">
        <v>4121</v>
      </c>
      <c r="B190" s="288" t="s">
        <v>22</v>
      </c>
      <c r="C190" s="288" t="s">
        <v>31</v>
      </c>
      <c r="D190" s="288" t="s">
        <v>9</v>
      </c>
      <c r="E190" s="289">
        <v>43927</v>
      </c>
      <c r="F190" s="290"/>
      <c r="G190" s="447"/>
      <c r="H190" s="448">
        <f>SUMIFS('Employee Leaves'!$G:$G,'Employee Leaves'!$A:$A,A190,'Employee Leaves'!$E:$E,"Holiday")</f>
        <v>0</v>
      </c>
      <c r="I190" s="448">
        <f>COUNTIFS('Employee Leaves'!$A:$A,A190,'Employee Leaves'!$E:$E,$H$1)</f>
        <v>0</v>
      </c>
      <c r="J190" s="442">
        <f t="shared" si="10"/>
        <v>0.24265954865323949</v>
      </c>
      <c r="K190" s="488">
        <f>SUMIFS('Employee Leaves'!$G:$G,'Employee Leaves'!$A:$A,A190,'Employee Leaves'!$E:$E,"Maternity Leave")</f>
        <v>0</v>
      </c>
      <c r="L190" s="448">
        <f>SUMIFS('Employee Leaves'!$G:$G,'Employee Leaves'!$A:$A,A190,'Employee Leaves'!$E:$E,"Paternity Leave")</f>
        <v>0</v>
      </c>
      <c r="M190" s="448">
        <f>SUMIFS('Employee Leaves'!$G:$G,'Employee Leaves'!$A:$A,A190,'Employee Leaves'!$E:$E,"Sick")</f>
        <v>12</v>
      </c>
      <c r="N190" s="448">
        <f>COUNTIFS('Employee Leaves'!$A:$A,A190,'Employee Leaves'!$E:$E,$M$1)</f>
        <v>1</v>
      </c>
      <c r="O190" s="442">
        <f t="shared" si="11"/>
        <v>12.24265954865324</v>
      </c>
      <c r="P190" s="445">
        <f>SUMIFS('Employee Leaves'!$G:$G,'Employee Leaves'!$A:$A,A190,'Employee Leaves'!$E:$E,"Others")</f>
        <v>0</v>
      </c>
      <c r="Q190" s="485">
        <f>SUMIFS('Employee Leaves'!$G:$G,'Employee Leaves'!$A:$A,A190)</f>
        <v>12</v>
      </c>
      <c r="R190" s="451"/>
      <c r="S190" s="439" t="str">
        <f t="shared" si="12"/>
        <v>-</v>
      </c>
      <c r="T190" s="238">
        <v>45.8</v>
      </c>
      <c r="U190" s="239">
        <f t="shared" si="13"/>
        <v>366.4</v>
      </c>
      <c r="V190" s="239">
        <f t="shared" si="14"/>
        <v>68.699999999999989</v>
      </c>
      <c r="W190" s="243" t="s">
        <v>173</v>
      </c>
      <c r="X190" s="242" t="s">
        <v>172</v>
      </c>
    </row>
    <row r="191" spans="1:24" ht="12.75">
      <c r="A191" s="288">
        <v>5002</v>
      </c>
      <c r="B191" s="288" t="s">
        <v>37</v>
      </c>
      <c r="C191" s="288" t="s">
        <v>39</v>
      </c>
      <c r="D191" s="288" t="s">
        <v>9</v>
      </c>
      <c r="E191" s="289">
        <v>43886</v>
      </c>
      <c r="F191" s="290"/>
      <c r="G191" s="447"/>
      <c r="H191" s="448">
        <f>SUMIFS('Employee Leaves'!$G:$G,'Employee Leaves'!$A:$A,A191,'Employee Leaves'!$E:$E,"Holiday")</f>
        <v>0</v>
      </c>
      <c r="I191" s="448">
        <f>COUNTIFS('Employee Leaves'!$A:$A,A191,'Employee Leaves'!$E:$E,$H$1)</f>
        <v>0</v>
      </c>
      <c r="J191" s="442">
        <f t="shared" si="10"/>
        <v>0.19992003198720512</v>
      </c>
      <c r="K191" s="488">
        <f>SUMIFS('Employee Leaves'!$G:$G,'Employee Leaves'!$A:$A,A191,'Employee Leaves'!$E:$E,"Maternity Leave")</f>
        <v>0</v>
      </c>
      <c r="L191" s="448">
        <f>SUMIFS('Employee Leaves'!$G:$G,'Employee Leaves'!$A:$A,A191,'Employee Leaves'!$E:$E,"Paternity Leave")</f>
        <v>0</v>
      </c>
      <c r="M191" s="448">
        <f>SUMIFS('Employee Leaves'!$G:$G,'Employee Leaves'!$A:$A,A191,'Employee Leaves'!$E:$E,"Sick")</f>
        <v>3</v>
      </c>
      <c r="N191" s="448">
        <f>COUNTIFS('Employee Leaves'!$A:$A,A191,'Employee Leaves'!$E:$E,$M$1)</f>
        <v>1</v>
      </c>
      <c r="O191" s="442">
        <f t="shared" si="11"/>
        <v>3.199920031987205</v>
      </c>
      <c r="P191" s="445">
        <f>SUMIFS('Employee Leaves'!$G:$G,'Employee Leaves'!$A:$A,A191,'Employee Leaves'!$E:$E,"Others")</f>
        <v>0</v>
      </c>
      <c r="Q191" s="485">
        <f>SUMIFS('Employee Leaves'!$G:$G,'Employee Leaves'!$A:$A,A191)</f>
        <v>3</v>
      </c>
      <c r="R191" s="451"/>
      <c r="S191" s="439" t="str">
        <f t="shared" si="12"/>
        <v>-</v>
      </c>
      <c r="T191" s="238">
        <v>17.75</v>
      </c>
      <c r="U191" s="239">
        <f t="shared" si="13"/>
        <v>142</v>
      </c>
      <c r="V191" s="239">
        <f t="shared" si="14"/>
        <v>26.625</v>
      </c>
      <c r="W191" s="240" t="s">
        <v>146</v>
      </c>
      <c r="X191" s="241" t="s">
        <v>151</v>
      </c>
    </row>
    <row r="192" spans="1:24" ht="12.75">
      <c r="A192" s="288">
        <v>5003</v>
      </c>
      <c r="B192" s="288" t="s">
        <v>37</v>
      </c>
      <c r="C192" s="288" t="s">
        <v>39</v>
      </c>
      <c r="D192" s="288" t="s">
        <v>9</v>
      </c>
      <c r="E192" s="289">
        <v>44574</v>
      </c>
      <c r="F192" s="290">
        <v>44682</v>
      </c>
      <c r="G192" s="447" t="s">
        <v>13</v>
      </c>
      <c r="H192" s="448">
        <f>SUMIFS('Employee Leaves'!$G:$G,'Employee Leaves'!$A:$A,A192,'Employee Leaves'!$E:$E,"Holiday")</f>
        <v>0</v>
      </c>
      <c r="I192" s="448">
        <f>COUNTIFS('Employee Leaves'!$A:$A,A192,'Employee Leaves'!$E:$E,$H$1)</f>
        <v>0</v>
      </c>
      <c r="J192" s="442">
        <f t="shared" si="10"/>
        <v>0.19988007195682592</v>
      </c>
      <c r="K192" s="488">
        <f>SUMIFS('Employee Leaves'!$G:$G,'Employee Leaves'!$A:$A,A192,'Employee Leaves'!$E:$E,"Maternity Leave")</f>
        <v>0</v>
      </c>
      <c r="L192" s="448">
        <f>SUMIFS('Employee Leaves'!$G:$G,'Employee Leaves'!$A:$A,A192,'Employee Leaves'!$E:$E,"Paternity Leave")</f>
        <v>0</v>
      </c>
      <c r="M192" s="448">
        <f>SUMIFS('Employee Leaves'!$G:$G,'Employee Leaves'!$A:$A,A192,'Employee Leaves'!$E:$E,"Sick")</f>
        <v>0</v>
      </c>
      <c r="N192" s="448">
        <f>COUNTIFS('Employee Leaves'!$A:$A,A192,'Employee Leaves'!$E:$E,$M$1)</f>
        <v>0</v>
      </c>
      <c r="O192" s="442">
        <f t="shared" si="11"/>
        <v>0.19988007195682592</v>
      </c>
      <c r="P192" s="445">
        <f>SUMIFS('Employee Leaves'!$G:$G,'Employee Leaves'!$A:$A,A192,'Employee Leaves'!$E:$E,"Others")</f>
        <v>0</v>
      </c>
      <c r="Q192" s="485">
        <f>SUMIFS('Employee Leaves'!$G:$G,'Employee Leaves'!$A:$A,A192)</f>
        <v>0</v>
      </c>
      <c r="R192" s="451"/>
      <c r="S192" s="439">
        <f t="shared" si="12"/>
        <v>108</v>
      </c>
      <c r="T192" s="238">
        <v>17.75</v>
      </c>
      <c r="U192" s="239">
        <f t="shared" si="13"/>
        <v>142</v>
      </c>
      <c r="V192" s="239">
        <f t="shared" si="14"/>
        <v>26.625</v>
      </c>
      <c r="W192" s="240" t="s">
        <v>146</v>
      </c>
      <c r="X192" s="241" t="s">
        <v>151</v>
      </c>
    </row>
    <row r="193" spans="1:24" ht="12.75">
      <c r="A193" s="288">
        <v>5004</v>
      </c>
      <c r="B193" s="288" t="s">
        <v>37</v>
      </c>
      <c r="C193" s="288" t="s">
        <v>38</v>
      </c>
      <c r="D193" s="288" t="s">
        <v>9</v>
      </c>
      <c r="E193" s="289">
        <v>44611</v>
      </c>
      <c r="F193" s="288"/>
      <c r="G193" s="447"/>
      <c r="H193" s="448">
        <f>SUMIFS('Employee Leaves'!$G:$G,'Employee Leaves'!$A:$A,A193,'Employee Leaves'!$E:$E,"Holiday")</f>
        <v>0</v>
      </c>
      <c r="I193" s="448">
        <f>COUNTIFS('Employee Leaves'!$A:$A,A193,'Employee Leaves'!$E:$E,$H$1)</f>
        <v>0</v>
      </c>
      <c r="J193" s="442">
        <f t="shared" si="10"/>
        <v>0.19984012789768185</v>
      </c>
      <c r="K193" s="488">
        <f>SUMIFS('Employee Leaves'!$G:$G,'Employee Leaves'!$A:$A,A193,'Employee Leaves'!$E:$E,"Maternity Leave")</f>
        <v>0</v>
      </c>
      <c r="L193" s="448">
        <f>SUMIFS('Employee Leaves'!$G:$G,'Employee Leaves'!$A:$A,A193,'Employee Leaves'!$E:$E,"Paternity Leave")</f>
        <v>0</v>
      </c>
      <c r="M193" s="448">
        <f>SUMIFS('Employee Leaves'!$G:$G,'Employee Leaves'!$A:$A,A193,'Employee Leaves'!$E:$E,"Sick")</f>
        <v>0</v>
      </c>
      <c r="N193" s="448">
        <f>COUNTIFS('Employee Leaves'!$A:$A,A193,'Employee Leaves'!$E:$E,$M$1)</f>
        <v>0</v>
      </c>
      <c r="O193" s="442">
        <f t="shared" si="11"/>
        <v>0.19984012789768185</v>
      </c>
      <c r="P193" s="445">
        <f>SUMIFS('Employee Leaves'!$G:$G,'Employee Leaves'!$A:$A,A193,'Employee Leaves'!$E:$E,"Others")</f>
        <v>0</v>
      </c>
      <c r="Q193" s="485">
        <f>SUMIFS('Employee Leaves'!$G:$G,'Employee Leaves'!$A:$A,A193)</f>
        <v>0</v>
      </c>
      <c r="R193" s="451"/>
      <c r="S193" s="439" t="str">
        <f t="shared" si="12"/>
        <v>-</v>
      </c>
      <c r="T193" s="238">
        <v>17.75</v>
      </c>
      <c r="U193" s="239">
        <f t="shared" si="13"/>
        <v>142</v>
      </c>
      <c r="V193" s="239">
        <f t="shared" si="14"/>
        <v>26.625</v>
      </c>
      <c r="W193" s="240" t="s">
        <v>146</v>
      </c>
      <c r="X193" s="241" t="s">
        <v>151</v>
      </c>
    </row>
    <row r="194" spans="1:24" ht="12.75">
      <c r="A194" s="288">
        <v>5006</v>
      </c>
      <c r="B194" s="288" t="s">
        <v>37</v>
      </c>
      <c r="C194" s="288" t="s">
        <v>39</v>
      </c>
      <c r="D194" s="288" t="s">
        <v>16</v>
      </c>
      <c r="E194" s="289">
        <v>44167</v>
      </c>
      <c r="F194" s="288"/>
      <c r="G194" s="447"/>
      <c r="H194" s="448">
        <f>SUMIFS('Employee Leaves'!$G:$G,'Employee Leaves'!$A:$A,A194,'Employee Leaves'!$E:$E,"Holiday")</f>
        <v>0</v>
      </c>
      <c r="I194" s="448">
        <f>COUNTIFS('Employee Leaves'!$A:$A,A194,'Employee Leaves'!$E:$E,$H$1)</f>
        <v>0</v>
      </c>
      <c r="J194" s="442">
        <f t="shared" ref="J194:J211" si="15">H194+(1000/A194)</f>
        <v>0.19976028765481421</v>
      </c>
      <c r="K194" s="488">
        <f>SUMIFS('Employee Leaves'!$G:$G,'Employee Leaves'!$A:$A,A194,'Employee Leaves'!$E:$E,"Maternity Leave")</f>
        <v>0</v>
      </c>
      <c r="L194" s="448">
        <f>SUMIFS('Employee Leaves'!$G:$G,'Employee Leaves'!$A:$A,A194,'Employee Leaves'!$E:$E,"Paternity Leave")</f>
        <v>0</v>
      </c>
      <c r="M194" s="448">
        <f>SUMIFS('Employee Leaves'!$G:$G,'Employee Leaves'!$A:$A,A194,'Employee Leaves'!$E:$E,"Sick")</f>
        <v>0</v>
      </c>
      <c r="N194" s="448">
        <f>COUNTIFS('Employee Leaves'!$A:$A,A194,'Employee Leaves'!$E:$E,$M$1)</f>
        <v>0</v>
      </c>
      <c r="O194" s="442">
        <f t="shared" ref="O194:O211" si="16">M194+(1000/A194)</f>
        <v>0.19976028765481421</v>
      </c>
      <c r="P194" s="445">
        <f>SUMIFS('Employee Leaves'!$G:$G,'Employee Leaves'!$A:$A,A194,'Employee Leaves'!$E:$E,"Others")</f>
        <v>0</v>
      </c>
      <c r="Q194" s="485">
        <f>SUMIFS('Employee Leaves'!$G:$G,'Employee Leaves'!$A:$A,A194)</f>
        <v>0</v>
      </c>
      <c r="R194" s="451"/>
      <c r="S194" s="439" t="str">
        <f t="shared" ref="S194:S211" si="17">IF(F194-E194&lt;0,"-",F194-E194)</f>
        <v>-</v>
      </c>
      <c r="T194" s="238">
        <v>17.75</v>
      </c>
      <c r="U194" s="239">
        <f t="shared" ref="U194:U211" si="18">T194*8</f>
        <v>142</v>
      </c>
      <c r="V194" s="239">
        <f t="shared" ref="V194:V211" si="19">T194*1.5</f>
        <v>26.625</v>
      </c>
      <c r="W194" s="240" t="s">
        <v>146</v>
      </c>
      <c r="X194" s="241" t="s">
        <v>151</v>
      </c>
    </row>
    <row r="195" spans="1:24" ht="12.75">
      <c r="A195" s="288">
        <v>5007</v>
      </c>
      <c r="B195" s="288" t="s">
        <v>37</v>
      </c>
      <c r="C195" s="288" t="s">
        <v>39</v>
      </c>
      <c r="D195" s="288" t="s">
        <v>9</v>
      </c>
      <c r="E195" s="289">
        <v>44442</v>
      </c>
      <c r="F195" s="288"/>
      <c r="G195" s="447"/>
      <c r="H195" s="448">
        <f>SUMIFS('Employee Leaves'!$G:$G,'Employee Leaves'!$A:$A,A195,'Employee Leaves'!$E:$E,"Holiday")</f>
        <v>0</v>
      </c>
      <c r="I195" s="448">
        <f>COUNTIFS('Employee Leaves'!$A:$A,A195,'Employee Leaves'!$E:$E,$H$1)</f>
        <v>0</v>
      </c>
      <c r="J195" s="442">
        <f t="shared" si="15"/>
        <v>0.19972039145196724</v>
      </c>
      <c r="K195" s="488">
        <f>SUMIFS('Employee Leaves'!$G:$G,'Employee Leaves'!$A:$A,A195,'Employee Leaves'!$E:$E,"Maternity Leave")</f>
        <v>0</v>
      </c>
      <c r="L195" s="448">
        <f>SUMIFS('Employee Leaves'!$G:$G,'Employee Leaves'!$A:$A,A195,'Employee Leaves'!$E:$E,"Paternity Leave")</f>
        <v>0</v>
      </c>
      <c r="M195" s="448">
        <f>SUMIFS('Employee Leaves'!$G:$G,'Employee Leaves'!$A:$A,A195,'Employee Leaves'!$E:$E,"Sick")</f>
        <v>0</v>
      </c>
      <c r="N195" s="448">
        <f>COUNTIFS('Employee Leaves'!$A:$A,A195,'Employee Leaves'!$E:$E,$M$1)</f>
        <v>0</v>
      </c>
      <c r="O195" s="442">
        <f t="shared" si="16"/>
        <v>0.19972039145196724</v>
      </c>
      <c r="P195" s="445">
        <f>SUMIFS('Employee Leaves'!$G:$G,'Employee Leaves'!$A:$A,A195,'Employee Leaves'!$E:$E,"Others")</f>
        <v>0</v>
      </c>
      <c r="Q195" s="485">
        <f>SUMIFS('Employee Leaves'!$G:$G,'Employee Leaves'!$A:$A,A195)</f>
        <v>0</v>
      </c>
      <c r="R195" s="451"/>
      <c r="S195" s="439" t="str">
        <f t="shared" si="17"/>
        <v>-</v>
      </c>
      <c r="T195" s="238">
        <v>17.75</v>
      </c>
      <c r="U195" s="239">
        <f t="shared" si="18"/>
        <v>142</v>
      </c>
      <c r="V195" s="239">
        <f t="shared" si="19"/>
        <v>26.625</v>
      </c>
      <c r="W195" s="240" t="s">
        <v>146</v>
      </c>
      <c r="X195" s="241" t="s">
        <v>151</v>
      </c>
    </row>
    <row r="196" spans="1:24" ht="12.75">
      <c r="A196" s="288">
        <v>5009</v>
      </c>
      <c r="B196" s="288" t="s">
        <v>37</v>
      </c>
      <c r="C196" s="288" t="s">
        <v>39</v>
      </c>
      <c r="D196" s="288" t="s">
        <v>9</v>
      </c>
      <c r="E196" s="289">
        <v>44123</v>
      </c>
      <c r="F196" s="290">
        <v>44621</v>
      </c>
      <c r="G196" s="447" t="s">
        <v>13</v>
      </c>
      <c r="H196" s="448">
        <f>SUMIFS('Employee Leaves'!$G:$G,'Employee Leaves'!$A:$A,A196,'Employee Leaves'!$E:$E,"Holiday")</f>
        <v>0</v>
      </c>
      <c r="I196" s="448">
        <f>COUNTIFS('Employee Leaves'!$A:$A,A196,'Employee Leaves'!$E:$E,$H$1)</f>
        <v>0</v>
      </c>
      <c r="J196" s="442">
        <f t="shared" si="15"/>
        <v>0.19964064683569574</v>
      </c>
      <c r="K196" s="488">
        <f>SUMIFS('Employee Leaves'!$G:$G,'Employee Leaves'!$A:$A,A196,'Employee Leaves'!$E:$E,"Maternity Leave")</f>
        <v>0</v>
      </c>
      <c r="L196" s="448">
        <f>SUMIFS('Employee Leaves'!$G:$G,'Employee Leaves'!$A:$A,A196,'Employee Leaves'!$E:$E,"Paternity Leave")</f>
        <v>0</v>
      </c>
      <c r="M196" s="448">
        <f>SUMIFS('Employee Leaves'!$G:$G,'Employee Leaves'!$A:$A,A196,'Employee Leaves'!$E:$E,"Sick")</f>
        <v>0</v>
      </c>
      <c r="N196" s="448">
        <f>COUNTIFS('Employee Leaves'!$A:$A,A196,'Employee Leaves'!$E:$E,$M$1)</f>
        <v>0</v>
      </c>
      <c r="O196" s="442">
        <f t="shared" si="16"/>
        <v>0.19964064683569574</v>
      </c>
      <c r="P196" s="445">
        <f>SUMIFS('Employee Leaves'!$G:$G,'Employee Leaves'!$A:$A,A196,'Employee Leaves'!$E:$E,"Others")</f>
        <v>0</v>
      </c>
      <c r="Q196" s="485">
        <f>SUMIFS('Employee Leaves'!$G:$G,'Employee Leaves'!$A:$A,A196)</f>
        <v>0</v>
      </c>
      <c r="R196" s="451"/>
      <c r="S196" s="439">
        <f t="shared" si="17"/>
        <v>498</v>
      </c>
      <c r="T196" s="238">
        <v>17.75</v>
      </c>
      <c r="U196" s="239">
        <f t="shared" si="18"/>
        <v>142</v>
      </c>
      <c r="V196" s="239">
        <f t="shared" si="19"/>
        <v>26.625</v>
      </c>
      <c r="W196" s="240" t="s">
        <v>146</v>
      </c>
      <c r="X196" s="241" t="s">
        <v>151</v>
      </c>
    </row>
    <row r="197" spans="1:24" ht="12.75">
      <c r="A197" s="288">
        <v>5010</v>
      </c>
      <c r="B197" s="288" t="s">
        <v>37</v>
      </c>
      <c r="C197" s="288" t="s">
        <v>38</v>
      </c>
      <c r="D197" s="288" t="s">
        <v>16</v>
      </c>
      <c r="E197" s="289">
        <v>44447</v>
      </c>
      <c r="F197" s="290"/>
      <c r="G197" s="447"/>
      <c r="H197" s="448">
        <f>SUMIFS('Employee Leaves'!$G:$G,'Employee Leaves'!$A:$A,A197,'Employee Leaves'!$E:$E,"Holiday")</f>
        <v>0</v>
      </c>
      <c r="I197" s="448">
        <f>COUNTIFS('Employee Leaves'!$A:$A,A197,'Employee Leaves'!$E:$E,$H$1)</f>
        <v>0</v>
      </c>
      <c r="J197" s="442">
        <f t="shared" si="15"/>
        <v>0.19960079840319361</v>
      </c>
      <c r="K197" s="488">
        <f>SUMIFS('Employee Leaves'!$G:$G,'Employee Leaves'!$A:$A,A197,'Employee Leaves'!$E:$E,"Maternity Leave")</f>
        <v>0</v>
      </c>
      <c r="L197" s="448">
        <f>SUMIFS('Employee Leaves'!$G:$G,'Employee Leaves'!$A:$A,A197,'Employee Leaves'!$E:$E,"Paternity Leave")</f>
        <v>0</v>
      </c>
      <c r="M197" s="448">
        <f>SUMIFS('Employee Leaves'!$G:$G,'Employee Leaves'!$A:$A,A197,'Employee Leaves'!$E:$E,"Sick")</f>
        <v>0</v>
      </c>
      <c r="N197" s="448">
        <f>COUNTIFS('Employee Leaves'!$A:$A,A197,'Employee Leaves'!$E:$E,$M$1)</f>
        <v>0</v>
      </c>
      <c r="O197" s="442">
        <f t="shared" si="16"/>
        <v>0.19960079840319361</v>
      </c>
      <c r="P197" s="445">
        <f>SUMIFS('Employee Leaves'!$G:$G,'Employee Leaves'!$A:$A,A197,'Employee Leaves'!$E:$E,"Others")</f>
        <v>0</v>
      </c>
      <c r="Q197" s="485">
        <f>SUMIFS('Employee Leaves'!$G:$G,'Employee Leaves'!$A:$A,A197)</f>
        <v>0</v>
      </c>
      <c r="R197" s="451"/>
      <c r="S197" s="439" t="str">
        <f t="shared" si="17"/>
        <v>-</v>
      </c>
      <c r="T197" s="238">
        <v>17.75</v>
      </c>
      <c r="U197" s="239">
        <f t="shared" si="18"/>
        <v>142</v>
      </c>
      <c r="V197" s="239">
        <f t="shared" si="19"/>
        <v>26.625</v>
      </c>
      <c r="W197" s="240" t="s">
        <v>146</v>
      </c>
      <c r="X197" s="241" t="s">
        <v>151</v>
      </c>
    </row>
    <row r="198" spans="1:24" ht="12.75">
      <c r="A198" s="288">
        <v>5011</v>
      </c>
      <c r="B198" s="288" t="s">
        <v>37</v>
      </c>
      <c r="C198" s="288" t="s">
        <v>39</v>
      </c>
      <c r="D198" s="288" t="s">
        <v>9</v>
      </c>
      <c r="E198" s="289">
        <v>44348</v>
      </c>
      <c r="F198" s="290"/>
      <c r="G198" s="447"/>
      <c r="H198" s="448">
        <f>SUMIFS('Employee Leaves'!$G:$G,'Employee Leaves'!$A:$A,A198,'Employee Leaves'!$E:$E,"Holiday")</f>
        <v>0</v>
      </c>
      <c r="I198" s="448">
        <f>COUNTIFS('Employee Leaves'!$A:$A,A198,'Employee Leaves'!$E:$E,$H$1)</f>
        <v>0</v>
      </c>
      <c r="J198" s="442">
        <f t="shared" si="15"/>
        <v>0.19956096587507482</v>
      </c>
      <c r="K198" s="488">
        <f>SUMIFS('Employee Leaves'!$G:$G,'Employee Leaves'!$A:$A,A198,'Employee Leaves'!$E:$E,"Maternity Leave")</f>
        <v>0</v>
      </c>
      <c r="L198" s="448">
        <f>SUMIFS('Employee Leaves'!$G:$G,'Employee Leaves'!$A:$A,A198,'Employee Leaves'!$E:$E,"Paternity Leave")</f>
        <v>0</v>
      </c>
      <c r="M198" s="448">
        <f>SUMIFS('Employee Leaves'!$G:$G,'Employee Leaves'!$A:$A,A198,'Employee Leaves'!$E:$E,"Sick")</f>
        <v>0</v>
      </c>
      <c r="N198" s="448">
        <f>COUNTIFS('Employee Leaves'!$A:$A,A198,'Employee Leaves'!$E:$E,$M$1)</f>
        <v>0</v>
      </c>
      <c r="O198" s="442">
        <f t="shared" si="16"/>
        <v>0.19956096587507482</v>
      </c>
      <c r="P198" s="445">
        <f>SUMIFS('Employee Leaves'!$G:$G,'Employee Leaves'!$A:$A,A198,'Employee Leaves'!$E:$E,"Others")</f>
        <v>0</v>
      </c>
      <c r="Q198" s="485">
        <f>SUMIFS('Employee Leaves'!$G:$G,'Employee Leaves'!$A:$A,A198)</f>
        <v>0</v>
      </c>
      <c r="R198" s="451"/>
      <c r="S198" s="439" t="str">
        <f t="shared" si="17"/>
        <v>-</v>
      </c>
      <c r="T198" s="238">
        <v>17.75</v>
      </c>
      <c r="U198" s="239">
        <f t="shared" si="18"/>
        <v>142</v>
      </c>
      <c r="V198" s="239">
        <f t="shared" si="19"/>
        <v>26.625</v>
      </c>
      <c r="W198" s="240" t="s">
        <v>146</v>
      </c>
      <c r="X198" s="241" t="s">
        <v>151</v>
      </c>
    </row>
    <row r="199" spans="1:24" ht="12.75">
      <c r="A199" s="288">
        <v>5012</v>
      </c>
      <c r="B199" s="288" t="s">
        <v>37</v>
      </c>
      <c r="C199" s="288" t="s">
        <v>39</v>
      </c>
      <c r="D199" s="288" t="s">
        <v>9</v>
      </c>
      <c r="E199" s="289">
        <v>44403</v>
      </c>
      <c r="F199" s="290"/>
      <c r="G199" s="447"/>
      <c r="H199" s="448">
        <f>SUMIFS('Employee Leaves'!$G:$G,'Employee Leaves'!$A:$A,A199,'Employee Leaves'!$E:$E,"Holiday")</f>
        <v>0</v>
      </c>
      <c r="I199" s="448">
        <f>COUNTIFS('Employee Leaves'!$A:$A,A199,'Employee Leaves'!$E:$E,$H$1)</f>
        <v>0</v>
      </c>
      <c r="J199" s="442">
        <f t="shared" si="15"/>
        <v>0.19952114924181963</v>
      </c>
      <c r="K199" s="488">
        <f>SUMIFS('Employee Leaves'!$G:$G,'Employee Leaves'!$A:$A,A199,'Employee Leaves'!$E:$E,"Maternity Leave")</f>
        <v>0</v>
      </c>
      <c r="L199" s="448">
        <f>SUMIFS('Employee Leaves'!$G:$G,'Employee Leaves'!$A:$A,A199,'Employee Leaves'!$E:$E,"Paternity Leave")</f>
        <v>0</v>
      </c>
      <c r="M199" s="448">
        <f>SUMIFS('Employee Leaves'!$G:$G,'Employee Leaves'!$A:$A,A199,'Employee Leaves'!$E:$E,"Sick")</f>
        <v>5</v>
      </c>
      <c r="N199" s="448">
        <f>COUNTIFS('Employee Leaves'!$A:$A,A199,'Employee Leaves'!$E:$E,$M$1)</f>
        <v>1</v>
      </c>
      <c r="O199" s="442">
        <f t="shared" si="16"/>
        <v>5.1995211492418196</v>
      </c>
      <c r="P199" s="445">
        <f>SUMIFS('Employee Leaves'!$G:$G,'Employee Leaves'!$A:$A,A199,'Employee Leaves'!$E:$E,"Others")</f>
        <v>0</v>
      </c>
      <c r="Q199" s="485">
        <f>SUMIFS('Employee Leaves'!$G:$G,'Employee Leaves'!$A:$A,A199)</f>
        <v>5</v>
      </c>
      <c r="R199" s="451"/>
      <c r="S199" s="439" t="str">
        <f t="shared" si="17"/>
        <v>-</v>
      </c>
      <c r="T199" s="238">
        <v>17.75</v>
      </c>
      <c r="U199" s="239">
        <f t="shared" si="18"/>
        <v>142</v>
      </c>
      <c r="V199" s="239">
        <f t="shared" si="19"/>
        <v>26.625</v>
      </c>
      <c r="W199" s="240" t="s">
        <v>146</v>
      </c>
      <c r="X199" s="241" t="s">
        <v>151</v>
      </c>
    </row>
    <row r="200" spans="1:24" ht="12.75">
      <c r="A200" s="288">
        <v>5013</v>
      </c>
      <c r="B200" s="288" t="s">
        <v>37</v>
      </c>
      <c r="C200" s="288" t="s">
        <v>39</v>
      </c>
      <c r="D200" s="288" t="s">
        <v>9</v>
      </c>
      <c r="E200" s="289">
        <v>43883</v>
      </c>
      <c r="F200" s="290">
        <v>44180</v>
      </c>
      <c r="G200" s="447" t="s">
        <v>14</v>
      </c>
      <c r="H200" s="448">
        <f>SUMIFS('Employee Leaves'!$G:$G,'Employee Leaves'!$A:$A,A200,'Employee Leaves'!$E:$E,"Holiday")</f>
        <v>0</v>
      </c>
      <c r="I200" s="448">
        <f>COUNTIFS('Employee Leaves'!$A:$A,A200,'Employee Leaves'!$E:$E,$H$1)</f>
        <v>0</v>
      </c>
      <c r="J200" s="442">
        <f t="shared" si="15"/>
        <v>0.19948134849391583</v>
      </c>
      <c r="K200" s="488">
        <f>SUMIFS('Employee Leaves'!$G:$G,'Employee Leaves'!$A:$A,A200,'Employee Leaves'!$E:$E,"Maternity Leave")</f>
        <v>0</v>
      </c>
      <c r="L200" s="448">
        <f>SUMIFS('Employee Leaves'!$G:$G,'Employee Leaves'!$A:$A,A200,'Employee Leaves'!$E:$E,"Paternity Leave")</f>
        <v>0</v>
      </c>
      <c r="M200" s="448">
        <f>SUMIFS('Employee Leaves'!$G:$G,'Employee Leaves'!$A:$A,A200,'Employee Leaves'!$E:$E,"Sick")</f>
        <v>0</v>
      </c>
      <c r="N200" s="448">
        <f>COUNTIFS('Employee Leaves'!$A:$A,A200,'Employee Leaves'!$E:$E,$M$1)</f>
        <v>0</v>
      </c>
      <c r="O200" s="442">
        <f t="shared" si="16"/>
        <v>0.19948134849391583</v>
      </c>
      <c r="P200" s="445">
        <f>SUMIFS('Employee Leaves'!$G:$G,'Employee Leaves'!$A:$A,A200,'Employee Leaves'!$E:$E,"Others")</f>
        <v>0</v>
      </c>
      <c r="Q200" s="485">
        <f>SUMIFS('Employee Leaves'!$G:$G,'Employee Leaves'!$A:$A,A200)</f>
        <v>0</v>
      </c>
      <c r="R200" s="451"/>
      <c r="S200" s="439">
        <f t="shared" si="17"/>
        <v>297</v>
      </c>
      <c r="T200" s="238">
        <v>17.75</v>
      </c>
      <c r="U200" s="239">
        <f t="shared" si="18"/>
        <v>142</v>
      </c>
      <c r="V200" s="239">
        <f t="shared" si="19"/>
        <v>26.625</v>
      </c>
      <c r="W200" s="240" t="s">
        <v>146</v>
      </c>
      <c r="X200" s="241" t="s">
        <v>151</v>
      </c>
    </row>
    <row r="201" spans="1:24" ht="12.75">
      <c r="A201" s="288">
        <v>5014</v>
      </c>
      <c r="B201" s="288" t="s">
        <v>37</v>
      </c>
      <c r="C201" s="288" t="s">
        <v>39</v>
      </c>
      <c r="D201" s="288" t="s">
        <v>9</v>
      </c>
      <c r="E201" s="289">
        <v>43862</v>
      </c>
      <c r="F201" s="290">
        <v>44511</v>
      </c>
      <c r="G201" s="447" t="s">
        <v>14</v>
      </c>
      <c r="H201" s="448">
        <f>SUMIFS('Employee Leaves'!$G:$G,'Employee Leaves'!$A:$A,A201,'Employee Leaves'!$E:$E,"Holiday")</f>
        <v>0</v>
      </c>
      <c r="I201" s="448">
        <f>COUNTIFS('Employee Leaves'!$A:$A,A201,'Employee Leaves'!$E:$E,$H$1)</f>
        <v>0</v>
      </c>
      <c r="J201" s="442">
        <f t="shared" si="15"/>
        <v>0.1994415636218588</v>
      </c>
      <c r="K201" s="488">
        <f>SUMIFS('Employee Leaves'!$G:$G,'Employee Leaves'!$A:$A,A201,'Employee Leaves'!$E:$E,"Maternity Leave")</f>
        <v>0</v>
      </c>
      <c r="L201" s="448">
        <f>SUMIFS('Employee Leaves'!$G:$G,'Employee Leaves'!$A:$A,A201,'Employee Leaves'!$E:$E,"Paternity Leave")</f>
        <v>0</v>
      </c>
      <c r="M201" s="448">
        <f>SUMIFS('Employee Leaves'!$G:$G,'Employee Leaves'!$A:$A,A201,'Employee Leaves'!$E:$E,"Sick")</f>
        <v>10</v>
      </c>
      <c r="N201" s="448">
        <f>COUNTIFS('Employee Leaves'!$A:$A,A201,'Employee Leaves'!$E:$E,$M$1)</f>
        <v>1</v>
      </c>
      <c r="O201" s="442">
        <f t="shared" si="16"/>
        <v>10.199441563621859</v>
      </c>
      <c r="P201" s="445">
        <f>SUMIFS('Employee Leaves'!$G:$G,'Employee Leaves'!$A:$A,A201,'Employee Leaves'!$E:$E,"Others")</f>
        <v>0</v>
      </c>
      <c r="Q201" s="485">
        <f>SUMIFS('Employee Leaves'!$G:$G,'Employee Leaves'!$A:$A,A201)</f>
        <v>10</v>
      </c>
      <c r="R201" s="451"/>
      <c r="S201" s="439">
        <f t="shared" si="17"/>
        <v>649</v>
      </c>
      <c r="T201" s="238">
        <v>17.75</v>
      </c>
      <c r="U201" s="239">
        <f t="shared" si="18"/>
        <v>142</v>
      </c>
      <c r="V201" s="239">
        <f t="shared" si="19"/>
        <v>26.625</v>
      </c>
      <c r="W201" s="240" t="s">
        <v>146</v>
      </c>
      <c r="X201" s="241" t="s">
        <v>151</v>
      </c>
    </row>
    <row r="202" spans="1:24" ht="12.75">
      <c r="A202" s="288">
        <v>5015</v>
      </c>
      <c r="B202" s="288" t="s">
        <v>37</v>
      </c>
      <c r="C202" s="288" t="s">
        <v>39</v>
      </c>
      <c r="D202" s="288" t="s">
        <v>9</v>
      </c>
      <c r="E202" s="289">
        <v>44468</v>
      </c>
      <c r="F202" s="290"/>
      <c r="G202" s="447"/>
      <c r="H202" s="448">
        <f>SUMIFS('Employee Leaves'!$G:$G,'Employee Leaves'!$A:$A,A202,'Employee Leaves'!$E:$E,"Holiday")</f>
        <v>0</v>
      </c>
      <c r="I202" s="448">
        <f>COUNTIFS('Employee Leaves'!$A:$A,A202,'Employee Leaves'!$E:$E,$H$1)</f>
        <v>0</v>
      </c>
      <c r="J202" s="442">
        <f t="shared" si="15"/>
        <v>0.19940179461615154</v>
      </c>
      <c r="K202" s="488">
        <f>SUMIFS('Employee Leaves'!$G:$G,'Employee Leaves'!$A:$A,A202,'Employee Leaves'!$E:$E,"Maternity Leave")</f>
        <v>0</v>
      </c>
      <c r="L202" s="448">
        <f>SUMIFS('Employee Leaves'!$G:$G,'Employee Leaves'!$A:$A,A202,'Employee Leaves'!$E:$E,"Paternity Leave")</f>
        <v>0</v>
      </c>
      <c r="M202" s="448">
        <f>SUMIFS('Employee Leaves'!$G:$G,'Employee Leaves'!$A:$A,A202,'Employee Leaves'!$E:$E,"Sick")</f>
        <v>0</v>
      </c>
      <c r="N202" s="448">
        <f>COUNTIFS('Employee Leaves'!$A:$A,A202,'Employee Leaves'!$E:$E,$M$1)</f>
        <v>0</v>
      </c>
      <c r="O202" s="442">
        <f t="shared" si="16"/>
        <v>0.19940179461615154</v>
      </c>
      <c r="P202" s="445">
        <f>SUMIFS('Employee Leaves'!$G:$G,'Employee Leaves'!$A:$A,A202,'Employee Leaves'!$E:$E,"Others")</f>
        <v>0</v>
      </c>
      <c r="Q202" s="485">
        <f>SUMIFS('Employee Leaves'!$G:$G,'Employee Leaves'!$A:$A,A202)</f>
        <v>0</v>
      </c>
      <c r="R202" s="451"/>
      <c r="S202" s="439" t="str">
        <f t="shared" si="17"/>
        <v>-</v>
      </c>
      <c r="T202" s="238">
        <v>17.75</v>
      </c>
      <c r="U202" s="239">
        <f t="shared" si="18"/>
        <v>142</v>
      </c>
      <c r="V202" s="239">
        <f t="shared" si="19"/>
        <v>26.625</v>
      </c>
      <c r="W202" s="240" t="s">
        <v>146</v>
      </c>
      <c r="X202" s="241" t="s">
        <v>151</v>
      </c>
    </row>
    <row r="203" spans="1:24" ht="12.75">
      <c r="A203" s="288">
        <v>5018</v>
      </c>
      <c r="B203" s="288" t="s">
        <v>37</v>
      </c>
      <c r="C203" s="288" t="s">
        <v>38</v>
      </c>
      <c r="D203" s="288" t="s">
        <v>9</v>
      </c>
      <c r="E203" s="289">
        <v>44536</v>
      </c>
      <c r="F203" s="290">
        <v>44680</v>
      </c>
      <c r="G203" s="447" t="s">
        <v>14</v>
      </c>
      <c r="H203" s="448">
        <f>SUMIFS('Employee Leaves'!$G:$G,'Employee Leaves'!$A:$A,A203,'Employee Leaves'!$E:$E,"Holiday")</f>
        <v>0</v>
      </c>
      <c r="I203" s="448">
        <f>COUNTIFS('Employee Leaves'!$A:$A,A203,'Employee Leaves'!$E:$E,$H$1)</f>
        <v>0</v>
      </c>
      <c r="J203" s="442">
        <f t="shared" si="15"/>
        <v>0.19928258270227181</v>
      </c>
      <c r="K203" s="488">
        <f>SUMIFS('Employee Leaves'!$G:$G,'Employee Leaves'!$A:$A,A203,'Employee Leaves'!$E:$E,"Maternity Leave")</f>
        <v>0</v>
      </c>
      <c r="L203" s="448">
        <f>SUMIFS('Employee Leaves'!$G:$G,'Employee Leaves'!$A:$A,A203,'Employee Leaves'!$E:$E,"Paternity Leave")</f>
        <v>0</v>
      </c>
      <c r="M203" s="448">
        <f>SUMIFS('Employee Leaves'!$G:$G,'Employee Leaves'!$A:$A,A203,'Employee Leaves'!$E:$E,"Sick")</f>
        <v>0</v>
      </c>
      <c r="N203" s="448">
        <f>COUNTIFS('Employee Leaves'!$A:$A,A203,'Employee Leaves'!$E:$E,$M$1)</f>
        <v>0</v>
      </c>
      <c r="O203" s="442">
        <f t="shared" si="16"/>
        <v>0.19928258270227181</v>
      </c>
      <c r="P203" s="445">
        <f>SUMIFS('Employee Leaves'!$G:$G,'Employee Leaves'!$A:$A,A203,'Employee Leaves'!$E:$E,"Others")</f>
        <v>0</v>
      </c>
      <c r="Q203" s="485">
        <f>SUMIFS('Employee Leaves'!$G:$G,'Employee Leaves'!$A:$A,A203)</f>
        <v>0</v>
      </c>
      <c r="R203" s="451"/>
      <c r="S203" s="439">
        <f t="shared" si="17"/>
        <v>144</v>
      </c>
      <c r="T203" s="238">
        <v>17.75</v>
      </c>
      <c r="U203" s="239">
        <f t="shared" si="18"/>
        <v>142</v>
      </c>
      <c r="V203" s="239">
        <f t="shared" si="19"/>
        <v>26.625</v>
      </c>
      <c r="W203" s="240" t="s">
        <v>146</v>
      </c>
      <c r="X203" s="241" t="s">
        <v>151</v>
      </c>
    </row>
    <row r="204" spans="1:24" ht="12.75">
      <c r="A204" s="288">
        <v>5019</v>
      </c>
      <c r="B204" s="288" t="s">
        <v>37</v>
      </c>
      <c r="C204" s="288" t="s">
        <v>39</v>
      </c>
      <c r="D204" s="288" t="s">
        <v>9</v>
      </c>
      <c r="E204" s="289">
        <v>44606</v>
      </c>
      <c r="F204" s="290">
        <v>44682</v>
      </c>
      <c r="G204" s="447" t="s">
        <v>13</v>
      </c>
      <c r="H204" s="448">
        <f>SUMIFS('Employee Leaves'!$G:$G,'Employee Leaves'!$A:$A,A204,'Employee Leaves'!$E:$E,"Holiday")</f>
        <v>0</v>
      </c>
      <c r="I204" s="448">
        <f>COUNTIFS('Employee Leaves'!$A:$A,A204,'Employee Leaves'!$E:$E,$H$1)</f>
        <v>0</v>
      </c>
      <c r="J204" s="442">
        <f t="shared" si="15"/>
        <v>0.19924287706714486</v>
      </c>
      <c r="K204" s="488">
        <f>SUMIFS('Employee Leaves'!$G:$G,'Employee Leaves'!$A:$A,A204,'Employee Leaves'!$E:$E,"Maternity Leave")</f>
        <v>0</v>
      </c>
      <c r="L204" s="448">
        <f>SUMIFS('Employee Leaves'!$G:$G,'Employee Leaves'!$A:$A,A204,'Employee Leaves'!$E:$E,"Paternity Leave")</f>
        <v>0</v>
      </c>
      <c r="M204" s="448">
        <f>SUMIFS('Employee Leaves'!$G:$G,'Employee Leaves'!$A:$A,A204,'Employee Leaves'!$E:$E,"Sick")</f>
        <v>0</v>
      </c>
      <c r="N204" s="448">
        <f>COUNTIFS('Employee Leaves'!$A:$A,A204,'Employee Leaves'!$E:$E,$M$1)</f>
        <v>0</v>
      </c>
      <c r="O204" s="442">
        <f t="shared" si="16"/>
        <v>0.19924287706714486</v>
      </c>
      <c r="P204" s="445">
        <f>SUMIFS('Employee Leaves'!$G:$G,'Employee Leaves'!$A:$A,A204,'Employee Leaves'!$E:$E,"Others")</f>
        <v>0</v>
      </c>
      <c r="Q204" s="485">
        <f>SUMIFS('Employee Leaves'!$G:$G,'Employee Leaves'!$A:$A,A204)</f>
        <v>0</v>
      </c>
      <c r="R204" s="451"/>
      <c r="S204" s="439">
        <f t="shared" si="17"/>
        <v>76</v>
      </c>
      <c r="T204" s="238">
        <v>17.75</v>
      </c>
      <c r="U204" s="239">
        <f t="shared" si="18"/>
        <v>142</v>
      </c>
      <c r="V204" s="239">
        <f t="shared" si="19"/>
        <v>26.625</v>
      </c>
      <c r="W204" s="240" t="s">
        <v>146</v>
      </c>
      <c r="X204" s="241" t="s">
        <v>151</v>
      </c>
    </row>
    <row r="205" spans="1:24" ht="12.75">
      <c r="A205" s="288">
        <v>5020</v>
      </c>
      <c r="B205" s="288" t="s">
        <v>37</v>
      </c>
      <c r="C205" s="288" t="s">
        <v>38</v>
      </c>
      <c r="D205" s="288" t="s">
        <v>9</v>
      </c>
      <c r="E205" s="289">
        <v>44436</v>
      </c>
      <c r="F205" s="290"/>
      <c r="G205" s="447"/>
      <c r="H205" s="448">
        <f>SUMIFS('Employee Leaves'!$G:$G,'Employee Leaves'!$A:$A,A205,'Employee Leaves'!$E:$E,"Holiday")</f>
        <v>0</v>
      </c>
      <c r="I205" s="448">
        <f>COUNTIFS('Employee Leaves'!$A:$A,A205,'Employee Leaves'!$E:$E,$H$1)</f>
        <v>0</v>
      </c>
      <c r="J205" s="442">
        <f t="shared" si="15"/>
        <v>0.19920318725099601</v>
      </c>
      <c r="K205" s="488">
        <f>SUMIFS('Employee Leaves'!$G:$G,'Employee Leaves'!$A:$A,A205,'Employee Leaves'!$E:$E,"Maternity Leave")</f>
        <v>0</v>
      </c>
      <c r="L205" s="448">
        <f>SUMIFS('Employee Leaves'!$G:$G,'Employee Leaves'!$A:$A,A205,'Employee Leaves'!$E:$E,"Paternity Leave")</f>
        <v>0</v>
      </c>
      <c r="M205" s="448">
        <f>SUMIFS('Employee Leaves'!$G:$G,'Employee Leaves'!$A:$A,A205,'Employee Leaves'!$E:$E,"Sick")</f>
        <v>5</v>
      </c>
      <c r="N205" s="448">
        <f>COUNTIFS('Employee Leaves'!$A:$A,A205,'Employee Leaves'!$E:$E,$M$1)</f>
        <v>1</v>
      </c>
      <c r="O205" s="442">
        <f t="shared" si="16"/>
        <v>5.1992031872509958</v>
      </c>
      <c r="P205" s="445">
        <f>SUMIFS('Employee Leaves'!$G:$G,'Employee Leaves'!$A:$A,A205,'Employee Leaves'!$E:$E,"Others")</f>
        <v>0</v>
      </c>
      <c r="Q205" s="485">
        <f>SUMIFS('Employee Leaves'!$G:$G,'Employee Leaves'!$A:$A,A205)</f>
        <v>5</v>
      </c>
      <c r="R205" s="451"/>
      <c r="S205" s="439" t="str">
        <f t="shared" si="17"/>
        <v>-</v>
      </c>
      <c r="T205" s="238">
        <v>17.75</v>
      </c>
      <c r="U205" s="239">
        <f t="shared" si="18"/>
        <v>142</v>
      </c>
      <c r="V205" s="239">
        <f t="shared" si="19"/>
        <v>26.625</v>
      </c>
      <c r="W205" s="240" t="s">
        <v>146</v>
      </c>
      <c r="X205" s="241" t="s">
        <v>151</v>
      </c>
    </row>
    <row r="206" spans="1:24" ht="12.75">
      <c r="A206" s="288">
        <v>5021</v>
      </c>
      <c r="B206" s="288" t="s">
        <v>37</v>
      </c>
      <c r="C206" s="288" t="s">
        <v>39</v>
      </c>
      <c r="D206" s="288" t="s">
        <v>9</v>
      </c>
      <c r="E206" s="289">
        <v>44569</v>
      </c>
      <c r="F206" s="290"/>
      <c r="G206" s="447"/>
      <c r="H206" s="448">
        <f>SUMIFS('Employee Leaves'!$G:$G,'Employee Leaves'!$A:$A,A206,'Employee Leaves'!$E:$E,"Holiday")</f>
        <v>0</v>
      </c>
      <c r="I206" s="448">
        <f>COUNTIFS('Employee Leaves'!$A:$A,A206,'Employee Leaves'!$E:$E,$H$1)</f>
        <v>0</v>
      </c>
      <c r="J206" s="442">
        <f t="shared" si="15"/>
        <v>0.19916351324437362</v>
      </c>
      <c r="K206" s="488">
        <f>SUMIFS('Employee Leaves'!$G:$G,'Employee Leaves'!$A:$A,A206,'Employee Leaves'!$E:$E,"Maternity Leave")</f>
        <v>0</v>
      </c>
      <c r="L206" s="448">
        <f>SUMIFS('Employee Leaves'!$G:$G,'Employee Leaves'!$A:$A,A206,'Employee Leaves'!$E:$E,"Paternity Leave")</f>
        <v>0</v>
      </c>
      <c r="M206" s="448">
        <f>SUMIFS('Employee Leaves'!$G:$G,'Employee Leaves'!$A:$A,A206,'Employee Leaves'!$E:$E,"Sick")</f>
        <v>5</v>
      </c>
      <c r="N206" s="448">
        <f>COUNTIFS('Employee Leaves'!$A:$A,A206,'Employee Leaves'!$E:$E,$M$1)</f>
        <v>1</v>
      </c>
      <c r="O206" s="442">
        <f t="shared" si="16"/>
        <v>5.1991635132443736</v>
      </c>
      <c r="P206" s="445">
        <f>SUMIFS('Employee Leaves'!$G:$G,'Employee Leaves'!$A:$A,A206,'Employee Leaves'!$E:$E,"Others")</f>
        <v>0</v>
      </c>
      <c r="Q206" s="485">
        <f>SUMIFS('Employee Leaves'!$G:$G,'Employee Leaves'!$A:$A,A206)</f>
        <v>5</v>
      </c>
      <c r="R206" s="451"/>
      <c r="S206" s="439" t="str">
        <f t="shared" si="17"/>
        <v>-</v>
      </c>
      <c r="T206" s="238">
        <v>17.75</v>
      </c>
      <c r="U206" s="239">
        <f t="shared" si="18"/>
        <v>142</v>
      </c>
      <c r="V206" s="239">
        <f t="shared" si="19"/>
        <v>26.625</v>
      </c>
      <c r="W206" s="240" t="s">
        <v>146</v>
      </c>
      <c r="X206" s="241" t="s">
        <v>151</v>
      </c>
    </row>
    <row r="207" spans="1:24" ht="12.75">
      <c r="A207" s="288">
        <v>5022</v>
      </c>
      <c r="B207" s="288" t="s">
        <v>37</v>
      </c>
      <c r="C207" s="288" t="s">
        <v>39</v>
      </c>
      <c r="D207" s="288" t="s">
        <v>9</v>
      </c>
      <c r="E207" s="289">
        <v>44153</v>
      </c>
      <c r="F207" s="290">
        <v>44550</v>
      </c>
      <c r="G207" s="447" t="s">
        <v>13</v>
      </c>
      <c r="H207" s="448">
        <f>SUMIFS('Employee Leaves'!$G:$G,'Employee Leaves'!$A:$A,A207,'Employee Leaves'!$E:$E,"Holiday")</f>
        <v>0</v>
      </c>
      <c r="I207" s="448">
        <f>COUNTIFS('Employee Leaves'!$A:$A,A207,'Employee Leaves'!$E:$E,$H$1)</f>
        <v>0</v>
      </c>
      <c r="J207" s="442">
        <f t="shared" si="15"/>
        <v>0.19912385503783353</v>
      </c>
      <c r="K207" s="488">
        <f>SUMIFS('Employee Leaves'!$G:$G,'Employee Leaves'!$A:$A,A207,'Employee Leaves'!$E:$E,"Maternity Leave")</f>
        <v>0</v>
      </c>
      <c r="L207" s="448">
        <f>SUMIFS('Employee Leaves'!$G:$G,'Employee Leaves'!$A:$A,A207,'Employee Leaves'!$E:$E,"Paternity Leave")</f>
        <v>0</v>
      </c>
      <c r="M207" s="448">
        <f>SUMIFS('Employee Leaves'!$G:$G,'Employee Leaves'!$A:$A,A207,'Employee Leaves'!$E:$E,"Sick")</f>
        <v>0</v>
      </c>
      <c r="N207" s="448">
        <f>COUNTIFS('Employee Leaves'!$A:$A,A207,'Employee Leaves'!$E:$E,$M$1)</f>
        <v>0</v>
      </c>
      <c r="O207" s="442">
        <f t="shared" si="16"/>
        <v>0.19912385503783353</v>
      </c>
      <c r="P207" s="445">
        <f>SUMIFS('Employee Leaves'!$G:$G,'Employee Leaves'!$A:$A,A207,'Employee Leaves'!$E:$E,"Others")</f>
        <v>0</v>
      </c>
      <c r="Q207" s="485">
        <f>SUMIFS('Employee Leaves'!$G:$G,'Employee Leaves'!$A:$A,A207)</f>
        <v>0</v>
      </c>
      <c r="R207" s="451"/>
      <c r="S207" s="439">
        <f t="shared" si="17"/>
        <v>397</v>
      </c>
      <c r="T207" s="238">
        <v>17.75</v>
      </c>
      <c r="U207" s="239">
        <f t="shared" si="18"/>
        <v>142</v>
      </c>
      <c r="V207" s="239">
        <f t="shared" si="19"/>
        <v>26.625</v>
      </c>
      <c r="W207" s="240" t="s">
        <v>146</v>
      </c>
      <c r="X207" s="241" t="s">
        <v>151</v>
      </c>
    </row>
    <row r="208" spans="1:24" ht="12.75">
      <c r="A208" s="288">
        <v>5023</v>
      </c>
      <c r="B208" s="288" t="s">
        <v>37</v>
      </c>
      <c r="C208" s="288" t="s">
        <v>38</v>
      </c>
      <c r="D208" s="288" t="s">
        <v>9</v>
      </c>
      <c r="E208" s="289">
        <v>44506</v>
      </c>
      <c r="F208" s="290"/>
      <c r="G208" s="447"/>
      <c r="H208" s="448">
        <f>SUMIFS('Employee Leaves'!$G:$G,'Employee Leaves'!$A:$A,A208,'Employee Leaves'!$E:$E,"Holiday")</f>
        <v>0</v>
      </c>
      <c r="I208" s="448">
        <f>COUNTIFS('Employee Leaves'!$A:$A,A208,'Employee Leaves'!$E:$E,$H$1)</f>
        <v>0</v>
      </c>
      <c r="J208" s="442">
        <f t="shared" si="15"/>
        <v>0.19908421262193909</v>
      </c>
      <c r="K208" s="488">
        <f>SUMIFS('Employee Leaves'!$G:$G,'Employee Leaves'!$A:$A,A208,'Employee Leaves'!$E:$E,"Maternity Leave")</f>
        <v>0</v>
      </c>
      <c r="L208" s="448">
        <f>SUMIFS('Employee Leaves'!$G:$G,'Employee Leaves'!$A:$A,A208,'Employee Leaves'!$E:$E,"Paternity Leave")</f>
        <v>0</v>
      </c>
      <c r="M208" s="448">
        <f>SUMIFS('Employee Leaves'!$G:$G,'Employee Leaves'!$A:$A,A208,'Employee Leaves'!$E:$E,"Sick")</f>
        <v>9</v>
      </c>
      <c r="N208" s="448">
        <f>COUNTIFS('Employee Leaves'!$A:$A,A208,'Employee Leaves'!$E:$E,$M$1)</f>
        <v>1</v>
      </c>
      <c r="O208" s="442">
        <f t="shared" si="16"/>
        <v>9.1990842126219388</v>
      </c>
      <c r="P208" s="445">
        <f>SUMIFS('Employee Leaves'!$G:$G,'Employee Leaves'!$A:$A,A208,'Employee Leaves'!$E:$E,"Others")</f>
        <v>0</v>
      </c>
      <c r="Q208" s="485">
        <f>SUMIFS('Employee Leaves'!$G:$G,'Employee Leaves'!$A:$A,A208)</f>
        <v>9</v>
      </c>
      <c r="R208" s="451"/>
      <c r="S208" s="439" t="str">
        <f t="shared" si="17"/>
        <v>-</v>
      </c>
      <c r="T208" s="238">
        <v>17.75</v>
      </c>
      <c r="U208" s="239">
        <f t="shared" si="18"/>
        <v>142</v>
      </c>
      <c r="V208" s="239">
        <f t="shared" si="19"/>
        <v>26.625</v>
      </c>
      <c r="W208" s="240" t="s">
        <v>146</v>
      </c>
      <c r="X208" s="241" t="s">
        <v>151</v>
      </c>
    </row>
    <row r="209" spans="1:24" ht="12.75">
      <c r="A209" s="288">
        <v>5025</v>
      </c>
      <c r="B209" s="288" t="s">
        <v>37</v>
      </c>
      <c r="C209" s="288" t="s">
        <v>39</v>
      </c>
      <c r="D209" s="288" t="s">
        <v>9</v>
      </c>
      <c r="E209" s="289">
        <v>44428</v>
      </c>
      <c r="F209" s="290">
        <v>44576</v>
      </c>
      <c r="G209" s="447" t="s">
        <v>14</v>
      </c>
      <c r="H209" s="448">
        <f>SUMIFS('Employee Leaves'!$G:$G,'Employee Leaves'!$A:$A,A209,'Employee Leaves'!$E:$E,"Holiday")</f>
        <v>0</v>
      </c>
      <c r="I209" s="448">
        <f>COUNTIFS('Employee Leaves'!$A:$A,A209,'Employee Leaves'!$E:$E,$H$1)</f>
        <v>0</v>
      </c>
      <c r="J209" s="442">
        <f t="shared" si="15"/>
        <v>0.19900497512437812</v>
      </c>
      <c r="K209" s="488">
        <f>SUMIFS('Employee Leaves'!$G:$G,'Employee Leaves'!$A:$A,A209,'Employee Leaves'!$E:$E,"Maternity Leave")</f>
        <v>0</v>
      </c>
      <c r="L209" s="448">
        <f>SUMIFS('Employee Leaves'!$G:$G,'Employee Leaves'!$A:$A,A209,'Employee Leaves'!$E:$E,"Paternity Leave")</f>
        <v>0</v>
      </c>
      <c r="M209" s="448">
        <f>SUMIFS('Employee Leaves'!$G:$G,'Employee Leaves'!$A:$A,A209,'Employee Leaves'!$E:$E,"Sick")</f>
        <v>0</v>
      </c>
      <c r="N209" s="448">
        <f>COUNTIFS('Employee Leaves'!$A:$A,A209,'Employee Leaves'!$E:$E,$M$1)</f>
        <v>0</v>
      </c>
      <c r="O209" s="442">
        <f t="shared" si="16"/>
        <v>0.19900497512437812</v>
      </c>
      <c r="P209" s="445">
        <f>SUMIFS('Employee Leaves'!$G:$G,'Employee Leaves'!$A:$A,A209,'Employee Leaves'!$E:$E,"Others")</f>
        <v>0</v>
      </c>
      <c r="Q209" s="485">
        <f>SUMIFS('Employee Leaves'!$G:$G,'Employee Leaves'!$A:$A,A209)</f>
        <v>0</v>
      </c>
      <c r="R209" s="451"/>
      <c r="S209" s="439">
        <f t="shared" si="17"/>
        <v>148</v>
      </c>
      <c r="T209" s="238">
        <v>17.75</v>
      </c>
      <c r="U209" s="239">
        <f t="shared" si="18"/>
        <v>142</v>
      </c>
      <c r="V209" s="239">
        <f t="shared" si="19"/>
        <v>26.625</v>
      </c>
      <c r="W209" s="240" t="s">
        <v>146</v>
      </c>
      <c r="X209" s="241" t="s">
        <v>151</v>
      </c>
    </row>
    <row r="210" spans="1:24" ht="12.75">
      <c r="A210" s="288">
        <v>5026</v>
      </c>
      <c r="B210" s="288" t="s">
        <v>37</v>
      </c>
      <c r="C210" s="288" t="s">
        <v>39</v>
      </c>
      <c r="D210" s="288" t="s">
        <v>17</v>
      </c>
      <c r="E210" s="289">
        <v>44319</v>
      </c>
      <c r="F210" s="290"/>
      <c r="G210" s="447"/>
      <c r="H210" s="448">
        <f>SUMIFS('Employee Leaves'!$G:$G,'Employee Leaves'!$A:$A,A210,'Employee Leaves'!$E:$E,"Holiday")</f>
        <v>0</v>
      </c>
      <c r="I210" s="448">
        <f>COUNTIFS('Employee Leaves'!$A:$A,A210,'Employee Leaves'!$E:$E,$H$1)</f>
        <v>0</v>
      </c>
      <c r="J210" s="442">
        <f t="shared" si="15"/>
        <v>0.19896538002387584</v>
      </c>
      <c r="K210" s="488">
        <f>SUMIFS('Employee Leaves'!$G:$G,'Employee Leaves'!$A:$A,A210,'Employee Leaves'!$E:$E,"Maternity Leave")</f>
        <v>0</v>
      </c>
      <c r="L210" s="448">
        <f>SUMIFS('Employee Leaves'!$G:$G,'Employee Leaves'!$A:$A,A210,'Employee Leaves'!$E:$E,"Paternity Leave")</f>
        <v>0</v>
      </c>
      <c r="M210" s="448">
        <f>SUMIFS('Employee Leaves'!$G:$G,'Employee Leaves'!$A:$A,A210,'Employee Leaves'!$E:$E,"Sick")</f>
        <v>7</v>
      </c>
      <c r="N210" s="448">
        <f>COUNTIFS('Employee Leaves'!$A:$A,A210,'Employee Leaves'!$E:$E,$M$1)</f>
        <v>1</v>
      </c>
      <c r="O210" s="442">
        <f t="shared" si="16"/>
        <v>7.1989653800238758</v>
      </c>
      <c r="P210" s="445">
        <f>SUMIFS('Employee Leaves'!$G:$G,'Employee Leaves'!$A:$A,A210,'Employee Leaves'!$E:$E,"Others")</f>
        <v>0</v>
      </c>
      <c r="Q210" s="485">
        <f>SUMIFS('Employee Leaves'!$G:$G,'Employee Leaves'!$A:$A,A210)</f>
        <v>7</v>
      </c>
      <c r="R210" s="451"/>
      <c r="S210" s="439" t="str">
        <f t="shared" si="17"/>
        <v>-</v>
      </c>
      <c r="T210" s="238">
        <v>17.75</v>
      </c>
      <c r="U210" s="239">
        <f t="shared" si="18"/>
        <v>142</v>
      </c>
      <c r="V210" s="239">
        <f t="shared" si="19"/>
        <v>26.625</v>
      </c>
      <c r="W210" s="240" t="s">
        <v>146</v>
      </c>
      <c r="X210" s="241" t="s">
        <v>151</v>
      </c>
    </row>
    <row r="211" spans="1:24" ht="13.5" thickBot="1">
      <c r="A211" s="288">
        <v>5028</v>
      </c>
      <c r="B211" s="288" t="s">
        <v>37</v>
      </c>
      <c r="C211" s="288" t="s">
        <v>38</v>
      </c>
      <c r="D211" s="288" t="s">
        <v>17</v>
      </c>
      <c r="E211" s="289">
        <v>44165</v>
      </c>
      <c r="F211" s="290"/>
      <c r="G211" s="447"/>
      <c r="H211" s="449">
        <f>SUMIFS('Employee Leaves'!$G:$G,'Employee Leaves'!$A:$A,A211,'Employee Leaves'!$E:$E,"Holiday")</f>
        <v>0</v>
      </c>
      <c r="I211" s="449">
        <f>COUNTIFS('Employee Leaves'!$A:$A,A211,'Employee Leaves'!$E:$E,$H$1)</f>
        <v>0</v>
      </c>
      <c r="J211" s="443">
        <f t="shared" si="15"/>
        <v>0.19888623707239458</v>
      </c>
      <c r="K211" s="489">
        <f>SUMIFS('Employee Leaves'!$G:$G,'Employee Leaves'!$A:$A,A211,'Employee Leaves'!$E:$E,"Maternity Leave")</f>
        <v>0</v>
      </c>
      <c r="L211" s="449">
        <f>SUMIFS('Employee Leaves'!$G:$G,'Employee Leaves'!$A:$A,A211,'Employee Leaves'!$E:$E,"Paternity Leave")</f>
        <v>16</v>
      </c>
      <c r="M211" s="449">
        <f>SUMIFS('Employee Leaves'!$G:$G,'Employee Leaves'!$A:$A,A211,'Employee Leaves'!$E:$E,"Sick")</f>
        <v>0</v>
      </c>
      <c r="N211" s="449">
        <f>COUNTIFS('Employee Leaves'!$A:$A,A211,'Employee Leaves'!$E:$E,$M$1)</f>
        <v>0</v>
      </c>
      <c r="O211" s="443">
        <f t="shared" si="16"/>
        <v>0.19888623707239458</v>
      </c>
      <c r="P211" s="446">
        <f>SUMIFS('Employee Leaves'!$G:$G,'Employee Leaves'!$A:$A,A211,'Employee Leaves'!$E:$E,"Others")</f>
        <v>0</v>
      </c>
      <c r="Q211" s="486">
        <f>SUMIFS('Employee Leaves'!$G:$G,'Employee Leaves'!$A:$A,A211)</f>
        <v>16</v>
      </c>
      <c r="R211" s="452"/>
      <c r="S211" s="440" t="str">
        <f t="shared" si="17"/>
        <v>-</v>
      </c>
      <c r="T211" s="244">
        <v>17.75</v>
      </c>
      <c r="U211" s="245">
        <f t="shared" si="18"/>
        <v>142</v>
      </c>
      <c r="V211" s="245">
        <f t="shared" si="19"/>
        <v>26.625</v>
      </c>
      <c r="W211" s="434" t="s">
        <v>146</v>
      </c>
      <c r="X211" s="246" t="s">
        <v>151</v>
      </c>
    </row>
  </sheetData>
  <autoFilter ref="A1:X1" xr:uid="{00000000-0001-0000-0000-000000000000}">
    <sortState xmlns:xlrd2="http://schemas.microsoft.com/office/spreadsheetml/2017/richdata2" ref="A2:X211">
      <sortCondition descending="1" ref="J1"/>
    </sortState>
  </autoFilter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Z145"/>
  <sheetViews>
    <sheetView zoomScaleNormal="100" workbookViewId="0">
      <selection activeCell="H3" sqref="H3"/>
    </sheetView>
  </sheetViews>
  <sheetFormatPr defaultColWidth="12.5703125" defaultRowHeight="15.75" customHeight="1"/>
  <cols>
    <col min="1" max="1" width="14.5703125" customWidth="1"/>
    <col min="2" max="2" width="21.28515625" customWidth="1"/>
    <col min="3" max="3" width="19.5703125" customWidth="1"/>
    <col min="5" max="5" width="16.140625" customWidth="1"/>
    <col min="6" max="6" width="16.28515625" customWidth="1"/>
    <col min="7" max="9" width="15.28515625" customWidth="1"/>
    <col min="10" max="10" width="2.85546875" customWidth="1"/>
    <col min="11" max="11" width="23.5703125" customWidth="1"/>
    <col min="12" max="12" width="24.85546875" customWidth="1"/>
    <col min="13" max="13" width="20.5703125" customWidth="1"/>
    <col min="14" max="14" width="17.42578125" customWidth="1"/>
    <col min="15" max="15" width="17.140625" bestFit="1" customWidth="1"/>
    <col min="16" max="16" width="15" customWidth="1"/>
    <col min="17" max="17" width="21" bestFit="1" customWidth="1"/>
    <col min="18" max="18" width="17.42578125" bestFit="1" customWidth="1"/>
    <col min="19" max="19" width="14.5703125" customWidth="1"/>
    <col min="20" max="20" width="12.85546875" customWidth="1"/>
    <col min="21" max="21" width="11.7109375" customWidth="1"/>
    <col min="22" max="22" width="10.42578125" customWidth="1"/>
    <col min="23" max="23" width="8.140625" customWidth="1"/>
    <col min="24" max="24" width="9.85546875" bestFit="1" customWidth="1"/>
    <col min="25" max="25" width="8.28515625" bestFit="1" customWidth="1"/>
    <col min="26" max="26" width="12.140625" bestFit="1" customWidth="1"/>
    <col min="27" max="27" width="5.5703125" bestFit="1" customWidth="1"/>
    <col min="28" max="28" width="21.42578125" bestFit="1" customWidth="1"/>
    <col min="29" max="29" width="6.140625" bestFit="1" customWidth="1"/>
    <col min="30" max="30" width="15.28515625" bestFit="1" customWidth="1"/>
    <col min="31" max="31" width="4.7109375" bestFit="1" customWidth="1"/>
    <col min="32" max="32" width="9" bestFit="1" customWidth="1"/>
    <col min="33" max="33" width="13.28515625" bestFit="1" customWidth="1"/>
    <col min="34" max="34" width="8.28515625" bestFit="1" customWidth="1"/>
    <col min="35" max="35" width="17.5703125" bestFit="1" customWidth="1"/>
    <col min="36" max="36" width="9.5703125" bestFit="1" customWidth="1"/>
    <col min="37" max="37" width="11.7109375" bestFit="1" customWidth="1"/>
  </cols>
  <sheetData>
    <row r="1" spans="1:26" ht="13.5" thickBot="1">
      <c r="A1" s="67" t="s">
        <v>0</v>
      </c>
      <c r="B1" s="67" t="s">
        <v>1</v>
      </c>
      <c r="C1" s="67" t="s">
        <v>2</v>
      </c>
      <c r="D1" s="67" t="s">
        <v>3</v>
      </c>
      <c r="E1" s="67" t="s">
        <v>80</v>
      </c>
      <c r="F1" s="67" t="s">
        <v>81</v>
      </c>
      <c r="G1" s="67" t="s">
        <v>82</v>
      </c>
      <c r="H1" s="161" t="s">
        <v>107</v>
      </c>
      <c r="I1" s="162" t="s">
        <v>122</v>
      </c>
    </row>
    <row r="2" spans="1:26" ht="12.75" customHeight="1">
      <c r="A2" s="65">
        <v>1001</v>
      </c>
      <c r="B2" s="163" t="s">
        <v>7</v>
      </c>
      <c r="C2" s="163" t="s">
        <v>8</v>
      </c>
      <c r="D2" s="163" t="s">
        <v>9</v>
      </c>
      <c r="E2" s="163" t="s">
        <v>86</v>
      </c>
      <c r="F2" s="163" t="s">
        <v>93</v>
      </c>
      <c r="G2" s="165">
        <v>5</v>
      </c>
      <c r="H2" s="65">
        <f>MONTH(DATEVALUE(F2&amp;"1"))</f>
        <v>6</v>
      </c>
      <c r="I2" s="164">
        <v>2021</v>
      </c>
      <c r="K2" s="652"/>
      <c r="L2" s="188"/>
      <c r="M2" s="188"/>
      <c r="N2" s="188"/>
      <c r="O2" s="654"/>
      <c r="P2" s="654"/>
      <c r="Q2" s="654"/>
      <c r="R2" s="654"/>
      <c r="S2" s="653"/>
      <c r="T2" s="655"/>
    </row>
    <row r="3" spans="1:26" ht="12.75" customHeight="1">
      <c r="A3" s="66">
        <v>1003</v>
      </c>
      <c r="B3" s="28" t="s">
        <v>7</v>
      </c>
      <c r="C3" s="28" t="s">
        <v>10</v>
      </c>
      <c r="D3" s="28" t="s">
        <v>9</v>
      </c>
      <c r="E3" s="28" t="s">
        <v>87</v>
      </c>
      <c r="F3" s="28" t="s">
        <v>91</v>
      </c>
      <c r="G3" s="166">
        <v>4</v>
      </c>
      <c r="H3" s="66">
        <f t="shared" ref="H2:H33" si="0">MONTH(DATEVALUE(F3&amp;"1"))</f>
        <v>4</v>
      </c>
      <c r="I3" s="155">
        <v>2021</v>
      </c>
      <c r="K3" s="652"/>
      <c r="L3" s="649"/>
      <c r="M3" s="644"/>
      <c r="N3" s="644"/>
      <c r="O3" s="654"/>
      <c r="P3" s="644"/>
      <c r="Q3" s="644"/>
      <c r="R3" s="654"/>
      <c r="S3" s="653"/>
      <c r="T3" s="655"/>
    </row>
    <row r="4" spans="1:26" ht="12.75">
      <c r="A4" s="66">
        <v>1005</v>
      </c>
      <c r="B4" s="28" t="s">
        <v>7</v>
      </c>
      <c r="C4" s="28" t="s">
        <v>11</v>
      </c>
      <c r="D4" s="28" t="s">
        <v>9</v>
      </c>
      <c r="E4" s="28" t="s">
        <v>87</v>
      </c>
      <c r="F4" s="28" t="s">
        <v>93</v>
      </c>
      <c r="G4" s="166">
        <v>6</v>
      </c>
      <c r="H4" s="66">
        <f t="shared" si="0"/>
        <v>6</v>
      </c>
      <c r="I4" s="155">
        <v>2021</v>
      </c>
      <c r="K4" s="648"/>
      <c r="L4" s="2"/>
      <c r="M4" s="2"/>
      <c r="N4" s="2"/>
      <c r="O4" s="2"/>
      <c r="P4" s="2"/>
      <c r="Q4" s="2"/>
      <c r="R4" s="2"/>
      <c r="S4" s="644"/>
      <c r="T4" s="307"/>
    </row>
    <row r="5" spans="1:26" ht="12.75">
      <c r="A5" s="66">
        <v>1008</v>
      </c>
      <c r="B5" s="28" t="s">
        <v>7</v>
      </c>
      <c r="C5" s="28" t="s">
        <v>12</v>
      </c>
      <c r="D5" s="28" t="s">
        <v>9</v>
      </c>
      <c r="E5" s="28" t="s">
        <v>86</v>
      </c>
      <c r="F5" s="28" t="s">
        <v>93</v>
      </c>
      <c r="G5" s="64">
        <v>5</v>
      </c>
      <c r="H5" s="66">
        <f t="shared" si="0"/>
        <v>6</v>
      </c>
      <c r="I5" s="155">
        <v>2021</v>
      </c>
      <c r="K5" s="648"/>
      <c r="L5" s="2"/>
      <c r="M5" s="2"/>
      <c r="N5" s="2"/>
      <c r="O5" s="2"/>
      <c r="P5" s="2"/>
      <c r="Q5" s="2"/>
      <c r="R5" s="2"/>
      <c r="S5" s="644"/>
      <c r="T5" s="307"/>
    </row>
    <row r="6" spans="1:26" ht="12.75">
      <c r="A6" s="66">
        <v>1011</v>
      </c>
      <c r="B6" s="28" t="s">
        <v>7</v>
      </c>
      <c r="C6" s="28" t="s">
        <v>10</v>
      </c>
      <c r="D6" s="28" t="s">
        <v>9</v>
      </c>
      <c r="E6" s="28" t="s">
        <v>87</v>
      </c>
      <c r="F6" s="28" t="s">
        <v>91</v>
      </c>
      <c r="G6" s="166">
        <v>6</v>
      </c>
      <c r="H6" s="66">
        <f t="shared" si="0"/>
        <v>4</v>
      </c>
      <c r="I6" s="155">
        <v>2021</v>
      </c>
      <c r="K6" s="648"/>
      <c r="L6" s="2"/>
      <c r="M6" s="2"/>
      <c r="N6" s="2"/>
      <c r="O6" s="2"/>
      <c r="P6" s="2"/>
      <c r="Q6" s="2"/>
      <c r="R6" s="2"/>
      <c r="S6" s="644"/>
      <c r="T6" s="307"/>
    </row>
    <row r="7" spans="1:26" ht="12.75">
      <c r="A7" s="66">
        <v>1012</v>
      </c>
      <c r="B7" s="28" t="s">
        <v>7</v>
      </c>
      <c r="C7" s="28" t="s">
        <v>8</v>
      </c>
      <c r="D7" s="28" t="s">
        <v>9</v>
      </c>
      <c r="E7" s="28" t="s">
        <v>86</v>
      </c>
      <c r="F7" s="28" t="s">
        <v>84</v>
      </c>
      <c r="G7" s="64">
        <v>10</v>
      </c>
      <c r="H7" s="66">
        <f t="shared" si="0"/>
        <v>1</v>
      </c>
      <c r="I7" s="155">
        <v>2021</v>
      </c>
      <c r="K7" s="648"/>
      <c r="L7" s="2"/>
      <c r="M7" s="2"/>
      <c r="N7" s="2"/>
      <c r="O7" s="2"/>
      <c r="P7" s="2"/>
      <c r="Q7" s="2"/>
      <c r="R7" s="2"/>
      <c r="S7" s="644"/>
      <c r="T7" s="307"/>
    </row>
    <row r="8" spans="1:26" ht="12.75">
      <c r="A8" s="66">
        <v>1014</v>
      </c>
      <c r="B8" s="28" t="s">
        <v>7</v>
      </c>
      <c r="C8" s="28" t="s">
        <v>11</v>
      </c>
      <c r="D8" s="28" t="s">
        <v>9</v>
      </c>
      <c r="E8" s="28" t="s">
        <v>87</v>
      </c>
      <c r="F8" s="28" t="s">
        <v>90</v>
      </c>
      <c r="G8" s="64">
        <v>3</v>
      </c>
      <c r="H8" s="66">
        <f t="shared" si="0"/>
        <v>3</v>
      </c>
      <c r="I8" s="155">
        <v>2021</v>
      </c>
      <c r="K8" s="648"/>
      <c r="L8" s="2"/>
      <c r="M8" s="2"/>
      <c r="N8" s="2"/>
      <c r="O8" s="2"/>
      <c r="P8" s="2"/>
      <c r="Q8" s="2"/>
      <c r="R8" s="2"/>
      <c r="S8" s="644"/>
      <c r="T8" s="307"/>
    </row>
    <row r="9" spans="1:26" ht="12.75">
      <c r="A9" s="66">
        <v>1015</v>
      </c>
      <c r="B9" s="28" t="s">
        <v>7</v>
      </c>
      <c r="C9" s="28" t="s">
        <v>10</v>
      </c>
      <c r="D9" s="28" t="s">
        <v>9</v>
      </c>
      <c r="E9" s="28" t="s">
        <v>88</v>
      </c>
      <c r="F9" s="28" t="s">
        <v>84</v>
      </c>
      <c r="G9" s="64">
        <v>3</v>
      </c>
      <c r="H9" s="66">
        <f t="shared" si="0"/>
        <v>1</v>
      </c>
      <c r="I9" s="155">
        <v>2021</v>
      </c>
      <c r="K9" s="648"/>
      <c r="L9" s="2"/>
      <c r="M9" s="2"/>
      <c r="N9" s="2"/>
      <c r="O9" s="2"/>
      <c r="P9" s="2"/>
      <c r="Q9" s="2"/>
      <c r="R9" s="2"/>
      <c r="S9" s="644"/>
      <c r="T9" s="307"/>
    </row>
    <row r="10" spans="1:26" ht="12.75">
      <c r="A10" s="66">
        <v>1016</v>
      </c>
      <c r="B10" s="28" t="s">
        <v>7</v>
      </c>
      <c r="C10" s="28" t="s">
        <v>11</v>
      </c>
      <c r="D10" s="28" t="s">
        <v>9</v>
      </c>
      <c r="E10" s="28" t="s">
        <v>86</v>
      </c>
      <c r="F10" s="28" t="s">
        <v>92</v>
      </c>
      <c r="G10" s="64">
        <v>5</v>
      </c>
      <c r="H10" s="66">
        <f t="shared" si="0"/>
        <v>5</v>
      </c>
      <c r="I10" s="155">
        <v>2021</v>
      </c>
      <c r="K10" s="648"/>
      <c r="L10" s="2"/>
      <c r="M10" s="2"/>
      <c r="N10" s="2"/>
      <c r="O10" s="2"/>
      <c r="P10" s="2"/>
      <c r="Q10" s="2"/>
      <c r="R10" s="2"/>
      <c r="S10" s="644"/>
      <c r="T10" s="307"/>
    </row>
    <row r="11" spans="1:26" ht="12.75">
      <c r="A11" s="66">
        <v>1016</v>
      </c>
      <c r="B11" s="28" t="s">
        <v>7</v>
      </c>
      <c r="C11" s="28" t="s">
        <v>11</v>
      </c>
      <c r="D11" s="28" t="s">
        <v>9</v>
      </c>
      <c r="E11" s="28" t="s">
        <v>88</v>
      </c>
      <c r="F11" s="28" t="s">
        <v>84</v>
      </c>
      <c r="G11" s="64">
        <v>2</v>
      </c>
      <c r="H11" s="66">
        <f t="shared" si="0"/>
        <v>1</v>
      </c>
      <c r="I11" s="155">
        <v>2021</v>
      </c>
      <c r="K11" s="648"/>
      <c r="L11" s="2"/>
      <c r="M11" s="2"/>
      <c r="N11" s="2"/>
      <c r="O11" s="2"/>
      <c r="P11" s="2"/>
      <c r="Q11" s="2"/>
      <c r="R11" s="2"/>
      <c r="S11" s="644"/>
      <c r="T11" s="307"/>
    </row>
    <row r="12" spans="1:26" ht="12.75">
      <c r="A12" s="66">
        <v>1018</v>
      </c>
      <c r="B12" s="28" t="s">
        <v>7</v>
      </c>
      <c r="C12" s="28" t="s">
        <v>10</v>
      </c>
      <c r="D12" s="28" t="s">
        <v>9</v>
      </c>
      <c r="E12" s="28" t="s">
        <v>87</v>
      </c>
      <c r="F12" s="28" t="s">
        <v>92</v>
      </c>
      <c r="G12" s="166">
        <v>6</v>
      </c>
      <c r="H12" s="66">
        <f t="shared" si="0"/>
        <v>5</v>
      </c>
      <c r="I12" s="155">
        <v>2021</v>
      </c>
      <c r="K12" s="648"/>
      <c r="L12" s="2"/>
      <c r="M12" s="2"/>
      <c r="N12" s="2"/>
      <c r="O12" s="2"/>
      <c r="P12" s="2"/>
      <c r="Q12" s="2"/>
      <c r="R12" s="2"/>
      <c r="S12" s="644"/>
      <c r="T12" s="307"/>
    </row>
    <row r="13" spans="1:26" ht="13.5" customHeight="1">
      <c r="A13" s="66">
        <v>1020</v>
      </c>
      <c r="B13" s="28" t="s">
        <v>7</v>
      </c>
      <c r="C13" s="28" t="s">
        <v>8</v>
      </c>
      <c r="D13" s="28" t="s">
        <v>9</v>
      </c>
      <c r="E13" s="28" t="s">
        <v>87</v>
      </c>
      <c r="F13" s="28" t="s">
        <v>84</v>
      </c>
      <c r="G13" s="64">
        <v>6</v>
      </c>
      <c r="H13" s="66">
        <f t="shared" si="0"/>
        <v>1</v>
      </c>
      <c r="I13" s="155">
        <v>2021</v>
      </c>
      <c r="K13" s="648"/>
      <c r="L13" s="2"/>
      <c r="M13" s="2"/>
      <c r="N13" s="2"/>
      <c r="O13" s="2"/>
      <c r="P13" s="2"/>
      <c r="Q13" s="2"/>
      <c r="R13" s="2"/>
      <c r="S13" s="644"/>
      <c r="T13" s="307"/>
    </row>
    <row r="14" spans="1:26" ht="12.75">
      <c r="A14" s="66">
        <v>1020</v>
      </c>
      <c r="B14" s="28" t="s">
        <v>7</v>
      </c>
      <c r="C14" s="28" t="s">
        <v>8</v>
      </c>
      <c r="D14" s="28" t="s">
        <v>9</v>
      </c>
      <c r="E14" s="28" t="s">
        <v>87</v>
      </c>
      <c r="F14" s="28" t="s">
        <v>90</v>
      </c>
      <c r="G14" s="64">
        <v>4</v>
      </c>
      <c r="H14" s="66">
        <f t="shared" si="0"/>
        <v>3</v>
      </c>
      <c r="I14" s="155">
        <v>2021</v>
      </c>
      <c r="K14" s="648"/>
      <c r="L14" s="2"/>
      <c r="M14" s="2"/>
      <c r="N14" s="2"/>
      <c r="O14" s="2"/>
      <c r="P14" s="2"/>
      <c r="Q14" s="2"/>
      <c r="R14" s="2"/>
      <c r="S14" s="644"/>
      <c r="T14" s="307"/>
    </row>
    <row r="15" spans="1:26" ht="12.75">
      <c r="A15" s="66">
        <v>1023</v>
      </c>
      <c r="B15" s="28" t="s">
        <v>7</v>
      </c>
      <c r="C15" s="28" t="s">
        <v>10</v>
      </c>
      <c r="D15" s="28" t="s">
        <v>9</v>
      </c>
      <c r="E15" s="28" t="s">
        <v>87</v>
      </c>
      <c r="F15" s="28" t="s">
        <v>90</v>
      </c>
      <c r="G15" s="64">
        <v>6</v>
      </c>
      <c r="H15" s="66">
        <f t="shared" si="0"/>
        <v>3</v>
      </c>
      <c r="I15" s="155">
        <v>2021</v>
      </c>
      <c r="K15" s="648"/>
      <c r="L15" s="2"/>
      <c r="M15" s="2"/>
      <c r="N15" s="2"/>
      <c r="O15" s="2"/>
      <c r="P15" s="2"/>
      <c r="Q15" s="2"/>
      <c r="R15" s="2"/>
      <c r="S15" s="644"/>
      <c r="T15" s="307"/>
      <c r="Z15" t="s">
        <v>108</v>
      </c>
    </row>
    <row r="16" spans="1:26" ht="12.75">
      <c r="A16" s="66">
        <v>2001</v>
      </c>
      <c r="B16" s="28" t="s">
        <v>15</v>
      </c>
      <c r="C16" s="28" t="s">
        <v>15</v>
      </c>
      <c r="D16" s="28" t="s">
        <v>9</v>
      </c>
      <c r="E16" s="28" t="s">
        <v>86</v>
      </c>
      <c r="F16" s="28" t="s">
        <v>93</v>
      </c>
      <c r="G16" s="64">
        <v>7</v>
      </c>
      <c r="H16" s="66">
        <f t="shared" si="0"/>
        <v>6</v>
      </c>
      <c r="I16" s="155">
        <v>2021</v>
      </c>
      <c r="K16" s="649"/>
      <c r="L16" s="644"/>
      <c r="M16" s="644"/>
      <c r="N16" s="644"/>
      <c r="O16" s="644"/>
      <c r="P16" s="644"/>
      <c r="Q16" s="644"/>
      <c r="R16" s="644"/>
      <c r="S16" s="644"/>
    </row>
    <row r="17" spans="1:20" ht="12.75">
      <c r="A17" s="66">
        <v>2003</v>
      </c>
      <c r="B17" s="28" t="s">
        <v>15</v>
      </c>
      <c r="C17" s="28" t="s">
        <v>15</v>
      </c>
      <c r="D17" s="28" t="s">
        <v>16</v>
      </c>
      <c r="E17" s="28" t="s">
        <v>83</v>
      </c>
      <c r="F17" s="28" t="s">
        <v>84</v>
      </c>
      <c r="G17" s="64">
        <v>21</v>
      </c>
      <c r="H17" s="66">
        <f t="shared" si="0"/>
        <v>1</v>
      </c>
      <c r="I17" s="155">
        <v>2021</v>
      </c>
    </row>
    <row r="18" spans="1:20" ht="12.75" customHeight="1">
      <c r="A18" s="66">
        <v>2003</v>
      </c>
      <c r="B18" s="28" t="s">
        <v>15</v>
      </c>
      <c r="C18" s="28" t="s">
        <v>15</v>
      </c>
      <c r="D18" s="28" t="s">
        <v>16</v>
      </c>
      <c r="E18" s="28" t="s">
        <v>83</v>
      </c>
      <c r="F18" s="28" t="s">
        <v>89</v>
      </c>
      <c r="G18" s="64">
        <v>20</v>
      </c>
      <c r="H18" s="66">
        <f t="shared" si="0"/>
        <v>2</v>
      </c>
      <c r="I18" s="155">
        <v>2021</v>
      </c>
      <c r="K18" s="652"/>
      <c r="L18" s="188"/>
      <c r="M18" s="188"/>
      <c r="N18" s="188"/>
      <c r="O18" s="654"/>
      <c r="P18" s="654"/>
      <c r="Q18" s="654"/>
      <c r="R18" s="654"/>
      <c r="S18" s="653"/>
      <c r="T18" s="655"/>
    </row>
    <row r="19" spans="1:20" ht="12.75" customHeight="1">
      <c r="A19" s="66">
        <v>2003</v>
      </c>
      <c r="B19" s="28" t="s">
        <v>15</v>
      </c>
      <c r="C19" s="28" t="s">
        <v>15</v>
      </c>
      <c r="D19" s="28" t="s">
        <v>16</v>
      </c>
      <c r="E19" s="28" t="s">
        <v>83</v>
      </c>
      <c r="F19" s="28" t="s">
        <v>90</v>
      </c>
      <c r="G19" s="64">
        <v>14</v>
      </c>
      <c r="H19" s="66">
        <f t="shared" si="0"/>
        <v>3</v>
      </c>
      <c r="I19" s="155">
        <v>2021</v>
      </c>
      <c r="K19" s="652"/>
      <c r="L19" s="649"/>
      <c r="M19" s="644"/>
      <c r="N19" s="644"/>
      <c r="O19" s="654"/>
      <c r="P19" s="644"/>
      <c r="Q19" s="644"/>
      <c r="R19" s="654"/>
      <c r="S19" s="653"/>
      <c r="T19" s="655"/>
    </row>
    <row r="20" spans="1:20" ht="12.75">
      <c r="A20" s="66">
        <v>2003</v>
      </c>
      <c r="B20" s="28" t="s">
        <v>15</v>
      </c>
      <c r="C20" s="28" t="s">
        <v>15</v>
      </c>
      <c r="D20" s="28" t="s">
        <v>16</v>
      </c>
      <c r="E20" s="28" t="s">
        <v>87</v>
      </c>
      <c r="F20" s="28" t="s">
        <v>93</v>
      </c>
      <c r="G20" s="166">
        <v>7</v>
      </c>
      <c r="H20" s="66">
        <f t="shared" si="0"/>
        <v>6</v>
      </c>
      <c r="I20" s="155">
        <v>2021</v>
      </c>
      <c r="K20" s="648"/>
      <c r="L20" s="2"/>
      <c r="M20" s="2"/>
      <c r="N20" s="2"/>
      <c r="O20" s="2"/>
      <c r="P20" s="2"/>
      <c r="Q20" s="2"/>
      <c r="R20" s="2"/>
      <c r="S20" s="644"/>
      <c r="T20" s="307"/>
    </row>
    <row r="21" spans="1:20" ht="12.75">
      <c r="A21" s="66">
        <v>2006</v>
      </c>
      <c r="B21" s="28" t="s">
        <v>15</v>
      </c>
      <c r="C21" s="28" t="s">
        <v>15</v>
      </c>
      <c r="D21" s="28" t="s">
        <v>16</v>
      </c>
      <c r="E21" s="28" t="s">
        <v>86</v>
      </c>
      <c r="F21" s="28" t="s">
        <v>93</v>
      </c>
      <c r="G21" s="64">
        <v>4</v>
      </c>
      <c r="H21" s="66">
        <f t="shared" si="0"/>
        <v>6</v>
      </c>
      <c r="I21" s="155">
        <v>2021</v>
      </c>
      <c r="K21" s="648"/>
      <c r="L21" s="2"/>
      <c r="M21" s="2"/>
      <c r="N21" s="2"/>
      <c r="O21" s="2"/>
      <c r="P21" s="2"/>
      <c r="Q21" s="2"/>
      <c r="R21" s="2"/>
      <c r="S21" s="644"/>
      <c r="T21" s="307"/>
    </row>
    <row r="22" spans="1:20" ht="12.75">
      <c r="A22" s="66">
        <v>2008</v>
      </c>
      <c r="B22" s="28" t="s">
        <v>15</v>
      </c>
      <c r="C22" s="28" t="s">
        <v>15</v>
      </c>
      <c r="D22" s="28" t="s">
        <v>9</v>
      </c>
      <c r="E22" s="28" t="s">
        <v>87</v>
      </c>
      <c r="F22" s="28" t="s">
        <v>90</v>
      </c>
      <c r="G22" s="64">
        <v>7</v>
      </c>
      <c r="H22" s="66">
        <f t="shared" si="0"/>
        <v>3</v>
      </c>
      <c r="I22" s="155">
        <v>2021</v>
      </c>
      <c r="K22" s="648"/>
      <c r="L22" s="2"/>
      <c r="M22" s="2"/>
      <c r="N22" s="2"/>
      <c r="O22" s="2"/>
      <c r="P22" s="2"/>
      <c r="Q22" s="2"/>
      <c r="R22" s="2"/>
      <c r="S22" s="644"/>
      <c r="T22" s="307"/>
    </row>
    <row r="23" spans="1:20" ht="12.75">
      <c r="A23" s="66">
        <v>2010</v>
      </c>
      <c r="B23" s="28" t="s">
        <v>15</v>
      </c>
      <c r="C23" s="28" t="s">
        <v>15</v>
      </c>
      <c r="D23" s="28" t="s">
        <v>9</v>
      </c>
      <c r="E23" s="28" t="s">
        <v>86</v>
      </c>
      <c r="F23" s="28" t="s">
        <v>91</v>
      </c>
      <c r="G23" s="166">
        <v>5</v>
      </c>
      <c r="H23" s="66">
        <f t="shared" si="0"/>
        <v>4</v>
      </c>
      <c r="I23" s="155">
        <v>2021</v>
      </c>
      <c r="K23" s="648"/>
      <c r="L23" s="2"/>
      <c r="M23" s="2"/>
      <c r="N23" s="2"/>
      <c r="O23" s="2"/>
      <c r="P23" s="2"/>
      <c r="Q23" s="2"/>
      <c r="R23" s="2"/>
      <c r="S23" s="644"/>
      <c r="T23" s="307"/>
    </row>
    <row r="24" spans="1:20" ht="12.75">
      <c r="A24" s="66">
        <v>2011</v>
      </c>
      <c r="B24" s="28" t="s">
        <v>15</v>
      </c>
      <c r="C24" s="28" t="s">
        <v>15</v>
      </c>
      <c r="D24" s="28" t="s">
        <v>9</v>
      </c>
      <c r="E24" s="28" t="s">
        <v>86</v>
      </c>
      <c r="F24" s="28" t="s">
        <v>84</v>
      </c>
      <c r="G24" s="64">
        <v>7</v>
      </c>
      <c r="H24" s="66">
        <f t="shared" si="0"/>
        <v>1</v>
      </c>
      <c r="I24" s="155">
        <v>2021</v>
      </c>
      <c r="K24" s="648"/>
      <c r="L24" s="2"/>
      <c r="M24" s="2"/>
      <c r="N24" s="2"/>
      <c r="O24" s="2"/>
      <c r="P24" s="2"/>
      <c r="Q24" s="2"/>
      <c r="R24" s="2"/>
      <c r="S24" s="644"/>
      <c r="T24" s="307"/>
    </row>
    <row r="25" spans="1:20" ht="12.75">
      <c r="A25" s="66">
        <v>2011</v>
      </c>
      <c r="B25" s="28" t="s">
        <v>15</v>
      </c>
      <c r="C25" s="28" t="s">
        <v>15</v>
      </c>
      <c r="D25" s="28" t="s">
        <v>9</v>
      </c>
      <c r="E25" s="28" t="s">
        <v>86</v>
      </c>
      <c r="F25" s="28" t="s">
        <v>89</v>
      </c>
      <c r="G25" s="64">
        <v>6</v>
      </c>
      <c r="H25" s="66">
        <f t="shared" si="0"/>
        <v>2</v>
      </c>
      <c r="I25" s="155">
        <v>2021</v>
      </c>
      <c r="K25" s="648"/>
      <c r="L25" s="2"/>
      <c r="M25" s="2"/>
      <c r="N25" s="2"/>
      <c r="O25" s="2"/>
      <c r="P25" s="2"/>
      <c r="Q25" s="2"/>
      <c r="R25" s="2"/>
      <c r="S25" s="644"/>
      <c r="T25" s="307"/>
    </row>
    <row r="26" spans="1:20" ht="12.75">
      <c r="A26" s="66">
        <v>2012</v>
      </c>
      <c r="B26" s="28" t="s">
        <v>15</v>
      </c>
      <c r="C26" s="28" t="s">
        <v>15</v>
      </c>
      <c r="D26" s="28" t="s">
        <v>9</v>
      </c>
      <c r="E26" s="28" t="s">
        <v>87</v>
      </c>
      <c r="F26" s="28" t="s">
        <v>90</v>
      </c>
      <c r="G26" s="64">
        <v>9</v>
      </c>
      <c r="H26" s="66">
        <f t="shared" si="0"/>
        <v>3</v>
      </c>
      <c r="I26" s="155">
        <v>2021</v>
      </c>
      <c r="K26" s="648"/>
      <c r="L26" s="2"/>
      <c r="M26" s="2"/>
      <c r="N26" s="2"/>
      <c r="O26" s="2"/>
      <c r="P26" s="2"/>
      <c r="Q26" s="2"/>
      <c r="R26" s="2"/>
      <c r="S26" s="644"/>
      <c r="T26" s="307"/>
    </row>
    <row r="27" spans="1:20" ht="12.75">
      <c r="A27" s="66">
        <v>2013</v>
      </c>
      <c r="B27" s="28" t="s">
        <v>15</v>
      </c>
      <c r="C27" s="28" t="s">
        <v>15</v>
      </c>
      <c r="D27" s="28" t="s">
        <v>9</v>
      </c>
      <c r="E27" s="28" t="s">
        <v>87</v>
      </c>
      <c r="F27" s="28" t="s">
        <v>89</v>
      </c>
      <c r="G27" s="64">
        <v>6</v>
      </c>
      <c r="H27" s="66">
        <f t="shared" si="0"/>
        <v>2</v>
      </c>
      <c r="I27" s="155">
        <v>2021</v>
      </c>
      <c r="K27" s="648"/>
      <c r="L27" s="2"/>
      <c r="M27" s="2"/>
      <c r="N27" s="2"/>
      <c r="O27" s="2"/>
      <c r="P27" s="2"/>
      <c r="Q27" s="2"/>
      <c r="R27" s="2"/>
      <c r="S27" s="644"/>
      <c r="T27" s="307"/>
    </row>
    <row r="28" spans="1:20" ht="12.75">
      <c r="A28" s="66">
        <v>2013</v>
      </c>
      <c r="B28" s="28" t="s">
        <v>15</v>
      </c>
      <c r="C28" s="28" t="s">
        <v>15</v>
      </c>
      <c r="D28" s="28" t="s">
        <v>9</v>
      </c>
      <c r="E28" s="28" t="s">
        <v>87</v>
      </c>
      <c r="F28" s="28" t="s">
        <v>90</v>
      </c>
      <c r="G28" s="64">
        <v>10</v>
      </c>
      <c r="H28" s="66">
        <f t="shared" si="0"/>
        <v>3</v>
      </c>
      <c r="I28" s="155">
        <v>2021</v>
      </c>
      <c r="K28" s="648"/>
      <c r="L28" s="2"/>
      <c r="M28" s="2"/>
      <c r="N28" s="2"/>
      <c r="O28" s="2"/>
      <c r="P28" s="2"/>
      <c r="Q28" s="2"/>
      <c r="R28" s="2"/>
      <c r="S28" s="644"/>
      <c r="T28" s="307"/>
    </row>
    <row r="29" spans="1:20" ht="12.75">
      <c r="A29" s="66">
        <v>2015</v>
      </c>
      <c r="B29" s="28" t="s">
        <v>15</v>
      </c>
      <c r="C29" s="28" t="s">
        <v>15</v>
      </c>
      <c r="D29" s="28" t="s">
        <v>17</v>
      </c>
      <c r="E29" s="28" t="s">
        <v>86</v>
      </c>
      <c r="F29" s="28" t="s">
        <v>92</v>
      </c>
      <c r="G29" s="64">
        <v>8</v>
      </c>
      <c r="H29" s="66">
        <f t="shared" si="0"/>
        <v>5</v>
      </c>
      <c r="I29" s="155">
        <v>2021</v>
      </c>
      <c r="K29" s="648"/>
      <c r="L29" s="2"/>
      <c r="M29" s="2"/>
      <c r="N29" s="2"/>
      <c r="O29" s="2"/>
      <c r="P29" s="2"/>
      <c r="Q29" s="2"/>
      <c r="R29" s="2"/>
      <c r="S29" s="644"/>
      <c r="T29" s="307"/>
    </row>
    <row r="30" spans="1:20" ht="12.75">
      <c r="A30" s="66">
        <v>2016</v>
      </c>
      <c r="B30" s="28" t="s">
        <v>15</v>
      </c>
      <c r="C30" s="28" t="s">
        <v>15</v>
      </c>
      <c r="D30" s="28" t="s">
        <v>16</v>
      </c>
      <c r="E30" s="28" t="s">
        <v>86</v>
      </c>
      <c r="F30" s="28" t="s">
        <v>89</v>
      </c>
      <c r="G30" s="64">
        <v>5</v>
      </c>
      <c r="H30" s="66">
        <f t="shared" si="0"/>
        <v>2</v>
      </c>
      <c r="I30" s="155">
        <v>2021</v>
      </c>
      <c r="K30" s="648"/>
      <c r="L30" s="2"/>
      <c r="M30" s="2"/>
      <c r="N30" s="2"/>
      <c r="O30" s="2"/>
      <c r="P30" s="2"/>
      <c r="Q30" s="2"/>
      <c r="R30" s="2"/>
      <c r="S30" s="644"/>
      <c r="T30" s="307"/>
    </row>
    <row r="31" spans="1:20" ht="12.75">
      <c r="A31" s="66">
        <v>2017</v>
      </c>
      <c r="B31" s="28" t="s">
        <v>15</v>
      </c>
      <c r="C31" s="28" t="s">
        <v>15</v>
      </c>
      <c r="D31" s="28" t="s">
        <v>9</v>
      </c>
      <c r="E31" s="28" t="s">
        <v>86</v>
      </c>
      <c r="F31" s="28" t="s">
        <v>93</v>
      </c>
      <c r="G31" s="64">
        <v>10</v>
      </c>
      <c r="H31" s="66">
        <f t="shared" si="0"/>
        <v>6</v>
      </c>
      <c r="I31" s="155">
        <v>2021</v>
      </c>
      <c r="K31" s="648"/>
      <c r="L31" s="2"/>
      <c r="M31" s="2"/>
      <c r="N31" s="2"/>
      <c r="O31" s="2"/>
      <c r="P31" s="2"/>
      <c r="Q31" s="2"/>
      <c r="R31" s="2"/>
      <c r="S31" s="644"/>
      <c r="T31" s="307"/>
    </row>
    <row r="32" spans="1:20" ht="12.75">
      <c r="A32" s="66">
        <v>2019</v>
      </c>
      <c r="B32" s="28" t="s">
        <v>15</v>
      </c>
      <c r="C32" s="28" t="s">
        <v>15</v>
      </c>
      <c r="D32" s="28" t="s">
        <v>9</v>
      </c>
      <c r="E32" s="28" t="s">
        <v>86</v>
      </c>
      <c r="F32" s="28" t="s">
        <v>90</v>
      </c>
      <c r="G32" s="64">
        <v>5</v>
      </c>
      <c r="H32" s="66">
        <f t="shared" si="0"/>
        <v>3</v>
      </c>
      <c r="I32" s="155">
        <v>2021</v>
      </c>
      <c r="K32" s="649"/>
      <c r="L32" s="644"/>
      <c r="M32" s="644"/>
      <c r="N32" s="644"/>
      <c r="O32" s="644"/>
      <c r="P32" s="644"/>
      <c r="Q32" s="644"/>
      <c r="R32" s="644"/>
      <c r="S32" s="644"/>
    </row>
    <row r="33" spans="1:24" ht="12.75">
      <c r="A33" s="66">
        <v>2021</v>
      </c>
      <c r="B33" s="28" t="s">
        <v>15</v>
      </c>
      <c r="C33" s="28" t="s">
        <v>15</v>
      </c>
      <c r="D33" s="28" t="s">
        <v>9</v>
      </c>
      <c r="E33" s="28" t="s">
        <v>86</v>
      </c>
      <c r="F33" s="28" t="s">
        <v>91</v>
      </c>
      <c r="G33" s="64">
        <v>10</v>
      </c>
      <c r="H33" s="66">
        <f t="shared" si="0"/>
        <v>4</v>
      </c>
      <c r="I33" s="155">
        <v>2021</v>
      </c>
    </row>
    <row r="34" spans="1:24" ht="12.75">
      <c r="A34" s="66">
        <v>2022</v>
      </c>
      <c r="B34" s="28" t="s">
        <v>15</v>
      </c>
      <c r="C34" s="28" t="s">
        <v>15</v>
      </c>
      <c r="D34" s="28" t="s">
        <v>9</v>
      </c>
      <c r="E34" s="28" t="s">
        <v>86</v>
      </c>
      <c r="F34" s="28" t="s">
        <v>89</v>
      </c>
      <c r="G34" s="64">
        <v>7</v>
      </c>
      <c r="H34" s="66">
        <f t="shared" ref="H34:H65" si="1">MONTH(DATEVALUE(F34&amp;"1"))</f>
        <v>2</v>
      </c>
      <c r="I34" s="155">
        <v>2021</v>
      </c>
    </row>
    <row r="35" spans="1:24" ht="12.75">
      <c r="A35" s="66">
        <v>3001</v>
      </c>
      <c r="B35" s="28" t="s">
        <v>18</v>
      </c>
      <c r="C35" s="28" t="s">
        <v>19</v>
      </c>
      <c r="D35" s="28" t="s">
        <v>9</v>
      </c>
      <c r="E35" s="28" t="s">
        <v>86</v>
      </c>
      <c r="F35" s="28" t="s">
        <v>84</v>
      </c>
      <c r="G35" s="64">
        <v>5</v>
      </c>
      <c r="H35" s="66">
        <f t="shared" si="1"/>
        <v>1</v>
      </c>
      <c r="I35" s="155">
        <v>2021</v>
      </c>
      <c r="K35" s="7"/>
      <c r="M35" s="7"/>
    </row>
    <row r="36" spans="1:24" ht="12.75">
      <c r="A36" s="66">
        <v>3001</v>
      </c>
      <c r="B36" s="28" t="s">
        <v>18</v>
      </c>
      <c r="C36" s="28" t="s">
        <v>19</v>
      </c>
      <c r="D36" s="28" t="s">
        <v>9</v>
      </c>
      <c r="E36" s="28" t="s">
        <v>87</v>
      </c>
      <c r="F36" s="28" t="s">
        <v>84</v>
      </c>
      <c r="G36" s="64">
        <v>2</v>
      </c>
      <c r="H36" s="66">
        <f t="shared" si="1"/>
        <v>1</v>
      </c>
      <c r="I36" s="155">
        <v>2021</v>
      </c>
      <c r="K36" s="7"/>
    </row>
    <row r="37" spans="1:24" ht="12.75">
      <c r="A37" s="66">
        <v>3002</v>
      </c>
      <c r="B37" s="28" t="s">
        <v>18</v>
      </c>
      <c r="C37" s="28" t="s">
        <v>20</v>
      </c>
      <c r="D37" s="28" t="s">
        <v>9</v>
      </c>
      <c r="E37" s="28" t="s">
        <v>87</v>
      </c>
      <c r="F37" s="28" t="s">
        <v>93</v>
      </c>
      <c r="G37" s="166">
        <v>8</v>
      </c>
      <c r="H37" s="66">
        <f t="shared" si="1"/>
        <v>6</v>
      </c>
      <c r="I37" s="155">
        <v>2021</v>
      </c>
      <c r="K37" s="644"/>
      <c r="L37" s="644"/>
      <c r="M37" s="644"/>
      <c r="N37" s="644"/>
      <c r="O37" s="644"/>
      <c r="P37" s="644"/>
      <c r="Q37" s="644"/>
      <c r="R37" s="644"/>
      <c r="S37" s="644"/>
      <c r="T37" s="644"/>
      <c r="U37" s="644"/>
      <c r="V37" s="644"/>
      <c r="W37" s="644"/>
      <c r="X37" s="644"/>
    </row>
    <row r="38" spans="1:24" ht="12.75">
      <c r="A38" s="66">
        <v>3004</v>
      </c>
      <c r="B38" s="28" t="s">
        <v>18</v>
      </c>
      <c r="C38" s="28" t="s">
        <v>20</v>
      </c>
      <c r="D38" s="28" t="s">
        <v>9</v>
      </c>
      <c r="E38" s="28" t="s">
        <v>87</v>
      </c>
      <c r="F38" s="28" t="s">
        <v>93</v>
      </c>
      <c r="G38" s="166">
        <v>9</v>
      </c>
      <c r="H38" s="66">
        <f t="shared" si="1"/>
        <v>6</v>
      </c>
      <c r="I38" s="155">
        <v>2021</v>
      </c>
      <c r="K38" s="645"/>
      <c r="L38" s="646"/>
      <c r="M38" s="2"/>
      <c r="N38" s="2"/>
      <c r="O38" s="2"/>
      <c r="P38" s="2"/>
      <c r="Q38" s="306"/>
      <c r="R38" s="306"/>
      <c r="S38" s="2"/>
      <c r="T38" s="2"/>
      <c r="U38" s="2"/>
      <c r="V38" s="2"/>
      <c r="W38" s="2"/>
      <c r="X38" s="2"/>
    </row>
    <row r="39" spans="1:24" ht="12.75">
      <c r="A39" s="66">
        <v>3009</v>
      </c>
      <c r="B39" s="28" t="s">
        <v>18</v>
      </c>
      <c r="C39" s="28" t="s">
        <v>19</v>
      </c>
      <c r="D39" s="28" t="s">
        <v>9</v>
      </c>
      <c r="E39" s="28" t="s">
        <v>86</v>
      </c>
      <c r="F39" s="28" t="s">
        <v>89</v>
      </c>
      <c r="G39" s="64">
        <v>10</v>
      </c>
      <c r="H39" s="66">
        <f t="shared" si="1"/>
        <v>2</v>
      </c>
      <c r="I39" s="155">
        <v>2021</v>
      </c>
      <c r="K39" s="645"/>
      <c r="L39" s="646"/>
      <c r="M39" s="2"/>
      <c r="N39" s="2"/>
      <c r="O39" s="2"/>
      <c r="P39" s="2"/>
      <c r="Q39" s="306"/>
      <c r="R39" s="306"/>
      <c r="S39" s="2"/>
      <c r="T39" s="2"/>
      <c r="U39" s="2"/>
      <c r="V39" s="2"/>
      <c r="W39" s="2"/>
      <c r="X39" s="2"/>
    </row>
    <row r="40" spans="1:24" ht="12.75">
      <c r="A40" s="66">
        <v>3011</v>
      </c>
      <c r="B40" s="28" t="s">
        <v>18</v>
      </c>
      <c r="C40" s="28" t="s">
        <v>21</v>
      </c>
      <c r="D40" s="28" t="s">
        <v>9</v>
      </c>
      <c r="E40" s="28" t="s">
        <v>86</v>
      </c>
      <c r="F40" s="28" t="s">
        <v>89</v>
      </c>
      <c r="G40" s="64">
        <v>5</v>
      </c>
      <c r="H40" s="66">
        <f t="shared" si="1"/>
        <v>2</v>
      </c>
      <c r="I40" s="155">
        <v>2021</v>
      </c>
      <c r="K40" s="645"/>
      <c r="L40" s="646"/>
      <c r="M40" s="2"/>
      <c r="N40" s="2"/>
      <c r="O40" s="2"/>
      <c r="P40" s="2"/>
      <c r="Q40" s="306"/>
      <c r="R40" s="306"/>
      <c r="S40" s="2"/>
      <c r="T40" s="2"/>
      <c r="U40" s="2"/>
      <c r="V40" s="2"/>
      <c r="W40" s="2"/>
      <c r="X40" s="2"/>
    </row>
    <row r="41" spans="1:24" ht="12.75">
      <c r="A41" s="66">
        <v>3012</v>
      </c>
      <c r="B41" s="28" t="s">
        <v>18</v>
      </c>
      <c r="C41" s="28" t="s">
        <v>20</v>
      </c>
      <c r="D41" s="28" t="s">
        <v>9</v>
      </c>
      <c r="E41" s="28" t="s">
        <v>86</v>
      </c>
      <c r="F41" s="28" t="s">
        <v>89</v>
      </c>
      <c r="G41" s="64">
        <v>7</v>
      </c>
      <c r="H41" s="66">
        <f t="shared" si="1"/>
        <v>2</v>
      </c>
      <c r="I41" s="155">
        <v>2021</v>
      </c>
      <c r="K41" s="645"/>
      <c r="L41" s="646"/>
      <c r="M41" s="2"/>
      <c r="N41" s="2"/>
      <c r="O41" s="2"/>
      <c r="P41" s="2"/>
      <c r="Q41" s="306"/>
      <c r="R41" s="306"/>
      <c r="S41" s="2"/>
      <c r="T41" s="2"/>
      <c r="U41" s="2"/>
      <c r="V41" s="2"/>
      <c r="W41" s="2"/>
      <c r="X41" s="2"/>
    </row>
    <row r="42" spans="1:24" ht="12.75">
      <c r="A42" s="66">
        <v>3012</v>
      </c>
      <c r="B42" s="28" t="s">
        <v>18</v>
      </c>
      <c r="C42" s="28" t="s">
        <v>20</v>
      </c>
      <c r="D42" s="28" t="s">
        <v>9</v>
      </c>
      <c r="E42" s="28" t="s">
        <v>87</v>
      </c>
      <c r="F42" s="28" t="s">
        <v>92</v>
      </c>
      <c r="G42" s="166">
        <v>10</v>
      </c>
      <c r="H42" s="66">
        <f t="shared" si="1"/>
        <v>5</v>
      </c>
      <c r="I42" s="155">
        <v>2021</v>
      </c>
      <c r="K42" s="645"/>
      <c r="L42" s="646"/>
      <c r="M42" s="2"/>
      <c r="N42" s="2"/>
      <c r="O42" s="2"/>
      <c r="P42" s="2"/>
      <c r="Q42" s="306"/>
      <c r="R42" s="306"/>
      <c r="S42" s="2"/>
      <c r="T42" s="2"/>
      <c r="U42" s="2"/>
      <c r="V42" s="2"/>
      <c r="W42" s="2"/>
      <c r="X42" s="2"/>
    </row>
    <row r="43" spans="1:24" ht="12.75">
      <c r="A43" s="66">
        <v>3015</v>
      </c>
      <c r="B43" s="28" t="s">
        <v>18</v>
      </c>
      <c r="C43" s="28" t="s">
        <v>20</v>
      </c>
      <c r="D43" s="28" t="s">
        <v>9</v>
      </c>
      <c r="E43" s="28" t="s">
        <v>86</v>
      </c>
      <c r="F43" s="28" t="s">
        <v>91</v>
      </c>
      <c r="G43" s="166">
        <v>10</v>
      </c>
      <c r="H43" s="66">
        <f t="shared" si="1"/>
        <v>4</v>
      </c>
      <c r="I43" s="155">
        <v>2021</v>
      </c>
      <c r="K43" s="645"/>
      <c r="L43" s="646"/>
      <c r="M43" s="2"/>
      <c r="N43" s="2"/>
      <c r="O43" s="2"/>
      <c r="P43" s="2"/>
      <c r="Q43" s="306"/>
      <c r="R43" s="306"/>
      <c r="S43" s="2"/>
      <c r="T43" s="2"/>
      <c r="U43" s="2"/>
      <c r="V43" s="2"/>
      <c r="W43" s="2"/>
      <c r="X43" s="2"/>
    </row>
    <row r="44" spans="1:24" ht="12.75">
      <c r="A44" s="66">
        <v>3015</v>
      </c>
      <c r="B44" s="28" t="s">
        <v>18</v>
      </c>
      <c r="C44" s="28" t="s">
        <v>20</v>
      </c>
      <c r="D44" s="28" t="s">
        <v>9</v>
      </c>
      <c r="E44" s="28" t="s">
        <v>87</v>
      </c>
      <c r="F44" s="28" t="s">
        <v>93</v>
      </c>
      <c r="G44" s="166">
        <v>10</v>
      </c>
      <c r="H44" s="66">
        <f t="shared" si="1"/>
        <v>6</v>
      </c>
      <c r="I44" s="155">
        <v>2021</v>
      </c>
      <c r="K44" s="645"/>
      <c r="L44" s="646"/>
      <c r="M44" s="2"/>
      <c r="N44" s="2"/>
      <c r="O44" s="2"/>
      <c r="P44" s="2"/>
      <c r="Q44" s="306"/>
      <c r="R44" s="306"/>
      <c r="S44" s="2"/>
      <c r="T44" s="2"/>
      <c r="U44" s="2"/>
      <c r="V44" s="2"/>
      <c r="W44" s="2"/>
      <c r="X44" s="2"/>
    </row>
    <row r="45" spans="1:24" ht="12.75">
      <c r="A45" s="66">
        <v>4005</v>
      </c>
      <c r="B45" s="28" t="s">
        <v>22</v>
      </c>
      <c r="C45" s="28" t="s">
        <v>24</v>
      </c>
      <c r="D45" s="28" t="s">
        <v>9</v>
      </c>
      <c r="E45" s="28" t="s">
        <v>86</v>
      </c>
      <c r="F45" s="28" t="s">
        <v>90</v>
      </c>
      <c r="G45" s="64">
        <v>8</v>
      </c>
      <c r="H45" s="66">
        <f t="shared" si="1"/>
        <v>3</v>
      </c>
      <c r="I45" s="155">
        <v>2021</v>
      </c>
      <c r="K45" s="645"/>
      <c r="L45" s="646"/>
      <c r="M45" s="2"/>
      <c r="N45" s="2"/>
      <c r="O45" s="2"/>
      <c r="P45" s="2"/>
      <c r="Q45" s="306"/>
      <c r="R45" s="306"/>
      <c r="S45" s="2"/>
      <c r="T45" s="2"/>
      <c r="U45" s="2"/>
      <c r="V45" s="2"/>
      <c r="W45" s="2"/>
      <c r="X45" s="2"/>
    </row>
    <row r="46" spans="1:24" ht="12.75">
      <c r="A46" s="66">
        <v>4005</v>
      </c>
      <c r="B46" s="28" t="s">
        <v>22</v>
      </c>
      <c r="C46" s="28" t="s">
        <v>24</v>
      </c>
      <c r="D46" s="28" t="s">
        <v>9</v>
      </c>
      <c r="E46" s="28" t="s">
        <v>86</v>
      </c>
      <c r="F46" s="28" t="s">
        <v>93</v>
      </c>
      <c r="G46" s="64">
        <v>5</v>
      </c>
      <c r="H46" s="66">
        <f t="shared" si="1"/>
        <v>6</v>
      </c>
      <c r="I46" s="155">
        <v>2021</v>
      </c>
      <c r="K46" s="645"/>
      <c r="L46" s="646"/>
      <c r="M46" s="2"/>
      <c r="N46" s="2"/>
      <c r="O46" s="2"/>
      <c r="P46" s="2"/>
      <c r="Q46" s="306"/>
      <c r="R46" s="306"/>
      <c r="S46" s="2"/>
      <c r="T46" s="2"/>
      <c r="U46" s="2"/>
      <c r="V46" s="2"/>
      <c r="W46" s="2"/>
      <c r="X46" s="2"/>
    </row>
    <row r="47" spans="1:24" ht="12.75">
      <c r="A47" s="66">
        <v>4006</v>
      </c>
      <c r="B47" s="28" t="s">
        <v>22</v>
      </c>
      <c r="C47" s="28" t="s">
        <v>24</v>
      </c>
      <c r="D47" s="28" t="s">
        <v>27</v>
      </c>
      <c r="E47" s="28" t="s">
        <v>86</v>
      </c>
      <c r="F47" s="28" t="s">
        <v>93</v>
      </c>
      <c r="G47" s="64">
        <v>10</v>
      </c>
      <c r="H47" s="66">
        <f t="shared" si="1"/>
        <v>6</v>
      </c>
      <c r="I47" s="155">
        <v>2021</v>
      </c>
      <c r="K47" s="645"/>
      <c r="L47" s="646"/>
      <c r="M47" s="2"/>
      <c r="N47" s="2"/>
      <c r="O47" s="2"/>
      <c r="P47" s="2"/>
      <c r="Q47" s="306"/>
      <c r="R47" s="306"/>
      <c r="S47" s="2"/>
      <c r="T47" s="2"/>
      <c r="U47" s="2"/>
      <c r="V47" s="2"/>
      <c r="W47" s="2"/>
      <c r="X47" s="2"/>
    </row>
    <row r="48" spans="1:24" ht="12.75">
      <c r="A48" s="66">
        <v>4008</v>
      </c>
      <c r="B48" s="28" t="s">
        <v>22</v>
      </c>
      <c r="C48" s="28" t="s">
        <v>29</v>
      </c>
      <c r="D48" s="28" t="s">
        <v>9</v>
      </c>
      <c r="E48" s="28" t="s">
        <v>87</v>
      </c>
      <c r="F48" s="28" t="s">
        <v>84</v>
      </c>
      <c r="G48" s="64">
        <v>5</v>
      </c>
      <c r="H48" s="66">
        <f t="shared" si="1"/>
        <v>1</v>
      </c>
      <c r="I48" s="155">
        <v>2021</v>
      </c>
      <c r="K48" s="645"/>
      <c r="L48" s="646"/>
      <c r="M48" s="2"/>
      <c r="N48" s="2"/>
      <c r="O48" s="2"/>
      <c r="P48" s="2"/>
      <c r="Q48" s="306"/>
      <c r="R48" s="306"/>
      <c r="S48" s="2"/>
      <c r="T48" s="2"/>
      <c r="U48" s="2"/>
      <c r="V48" s="2"/>
      <c r="W48" s="2"/>
      <c r="X48" s="2"/>
    </row>
    <row r="49" spans="1:24" ht="12.75">
      <c r="A49" s="66">
        <v>4008</v>
      </c>
      <c r="B49" s="28" t="s">
        <v>22</v>
      </c>
      <c r="C49" s="28" t="s">
        <v>29</v>
      </c>
      <c r="D49" s="28" t="s">
        <v>9</v>
      </c>
      <c r="E49" s="28" t="s">
        <v>87</v>
      </c>
      <c r="F49" s="28" t="s">
        <v>90</v>
      </c>
      <c r="G49" s="64">
        <v>2</v>
      </c>
      <c r="H49" s="66">
        <f t="shared" si="1"/>
        <v>3</v>
      </c>
      <c r="I49" s="155">
        <v>2021</v>
      </c>
      <c r="K49" s="645"/>
      <c r="L49" s="646"/>
      <c r="M49" s="2"/>
      <c r="N49" s="2"/>
      <c r="O49" s="2"/>
      <c r="P49" s="2"/>
      <c r="Q49" s="306"/>
      <c r="R49" s="306"/>
      <c r="S49" s="2"/>
      <c r="T49" s="2"/>
      <c r="U49" s="2"/>
      <c r="V49" s="2"/>
      <c r="W49" s="2"/>
      <c r="X49" s="2"/>
    </row>
    <row r="50" spans="1:24" ht="12.75">
      <c r="A50" s="66">
        <v>4010</v>
      </c>
      <c r="B50" s="28" t="s">
        <v>22</v>
      </c>
      <c r="C50" s="28" t="s">
        <v>25</v>
      </c>
      <c r="D50" s="28" t="s">
        <v>9</v>
      </c>
      <c r="E50" s="28" t="s">
        <v>87</v>
      </c>
      <c r="F50" s="28" t="s">
        <v>89</v>
      </c>
      <c r="G50" s="64">
        <v>10</v>
      </c>
      <c r="H50" s="66">
        <f t="shared" si="1"/>
        <v>2</v>
      </c>
      <c r="I50" s="155">
        <v>2021</v>
      </c>
      <c r="K50" s="645"/>
      <c r="L50" s="646"/>
      <c r="M50" s="2"/>
      <c r="N50" s="2"/>
      <c r="O50" s="2"/>
      <c r="P50" s="2"/>
      <c r="Q50" s="306"/>
      <c r="R50" s="306"/>
      <c r="S50" s="2"/>
      <c r="T50" s="2"/>
      <c r="U50" s="2"/>
      <c r="V50" s="2"/>
      <c r="W50" s="2"/>
      <c r="X50" s="2"/>
    </row>
    <row r="51" spans="1:24" ht="12.75">
      <c r="A51" s="66">
        <v>4015</v>
      </c>
      <c r="B51" s="28" t="s">
        <v>22</v>
      </c>
      <c r="C51" s="28" t="s">
        <v>32</v>
      </c>
      <c r="D51" s="28" t="s">
        <v>27</v>
      </c>
      <c r="E51" s="28" t="s">
        <v>86</v>
      </c>
      <c r="F51" s="28" t="s">
        <v>89</v>
      </c>
      <c r="G51" s="64">
        <v>5</v>
      </c>
      <c r="H51" s="66">
        <f t="shared" si="1"/>
        <v>2</v>
      </c>
      <c r="I51" s="155">
        <v>2021</v>
      </c>
      <c r="K51" s="645"/>
      <c r="L51" s="646"/>
      <c r="M51" s="2"/>
      <c r="N51" s="2"/>
      <c r="O51" s="2"/>
      <c r="P51" s="2"/>
      <c r="Q51" s="306"/>
      <c r="R51" s="306"/>
      <c r="S51" s="2"/>
      <c r="T51" s="2"/>
      <c r="U51" s="2"/>
      <c r="V51" s="2"/>
      <c r="W51" s="2"/>
      <c r="X51" s="2"/>
    </row>
    <row r="52" spans="1:24" ht="12.75">
      <c r="A52" s="66">
        <v>4017</v>
      </c>
      <c r="B52" s="28" t="s">
        <v>22</v>
      </c>
      <c r="C52" s="28" t="s">
        <v>29</v>
      </c>
      <c r="D52" s="28" t="s">
        <v>9</v>
      </c>
      <c r="E52" s="28" t="s">
        <v>86</v>
      </c>
      <c r="F52" s="28" t="s">
        <v>93</v>
      </c>
      <c r="G52" s="64">
        <v>4</v>
      </c>
      <c r="H52" s="66">
        <f t="shared" si="1"/>
        <v>6</v>
      </c>
      <c r="I52" s="155">
        <v>2021</v>
      </c>
      <c r="K52" s="645"/>
      <c r="L52" s="646"/>
      <c r="M52" s="2"/>
      <c r="N52" s="2"/>
      <c r="O52" s="2"/>
      <c r="P52" s="2"/>
      <c r="Q52" s="306"/>
      <c r="R52" s="306"/>
      <c r="S52" s="2"/>
      <c r="T52" s="2"/>
      <c r="U52" s="2"/>
      <c r="V52" s="2"/>
      <c r="W52" s="2"/>
      <c r="X52" s="2"/>
    </row>
    <row r="53" spans="1:24" ht="12.75">
      <c r="A53" s="66">
        <v>4020</v>
      </c>
      <c r="B53" s="28" t="s">
        <v>22</v>
      </c>
      <c r="C53" s="28" t="s">
        <v>32</v>
      </c>
      <c r="D53" s="28" t="s">
        <v>9</v>
      </c>
      <c r="E53" s="28" t="s">
        <v>87</v>
      </c>
      <c r="F53" s="28" t="s">
        <v>90</v>
      </c>
      <c r="G53" s="64">
        <v>2</v>
      </c>
      <c r="H53" s="66">
        <f t="shared" si="1"/>
        <v>3</v>
      </c>
      <c r="I53" s="155">
        <v>2021</v>
      </c>
      <c r="K53" s="645"/>
      <c r="L53" s="646"/>
      <c r="M53" s="2"/>
      <c r="N53" s="2"/>
      <c r="O53" s="2"/>
      <c r="P53" s="2"/>
      <c r="Q53" s="306"/>
      <c r="R53" s="306"/>
      <c r="S53" s="2"/>
      <c r="T53" s="2"/>
      <c r="U53" s="2"/>
      <c r="V53" s="2"/>
      <c r="W53" s="2"/>
      <c r="X53" s="2"/>
    </row>
    <row r="54" spans="1:24" ht="12.75">
      <c r="A54" s="66">
        <v>4022</v>
      </c>
      <c r="B54" s="28" t="s">
        <v>22</v>
      </c>
      <c r="C54" s="28" t="s">
        <v>32</v>
      </c>
      <c r="D54" s="28" t="s">
        <v>9</v>
      </c>
      <c r="E54" s="28" t="s">
        <v>86</v>
      </c>
      <c r="F54" s="28" t="s">
        <v>90</v>
      </c>
      <c r="G54" s="64">
        <v>5</v>
      </c>
      <c r="H54" s="66">
        <f t="shared" si="1"/>
        <v>3</v>
      </c>
      <c r="I54" s="155">
        <v>2021</v>
      </c>
      <c r="K54" s="645"/>
      <c r="L54" s="646"/>
      <c r="M54" s="2"/>
      <c r="N54" s="2"/>
      <c r="O54" s="2"/>
      <c r="P54" s="2"/>
      <c r="Q54" s="306"/>
      <c r="R54" s="306"/>
      <c r="S54" s="2"/>
      <c r="T54" s="2"/>
      <c r="U54" s="2"/>
      <c r="V54" s="2"/>
      <c r="W54" s="2"/>
      <c r="X54" s="2"/>
    </row>
    <row r="55" spans="1:24" ht="12.75">
      <c r="A55" s="66">
        <v>4024</v>
      </c>
      <c r="B55" s="28" t="s">
        <v>22</v>
      </c>
      <c r="C55" s="28" t="s">
        <v>28</v>
      </c>
      <c r="D55" s="28" t="s">
        <v>9</v>
      </c>
      <c r="E55" s="28" t="s">
        <v>86</v>
      </c>
      <c r="F55" s="28" t="s">
        <v>93</v>
      </c>
      <c r="G55" s="64">
        <v>5</v>
      </c>
      <c r="H55" s="66">
        <f t="shared" si="1"/>
        <v>6</v>
      </c>
      <c r="I55" s="155">
        <v>2021</v>
      </c>
      <c r="K55" s="645"/>
      <c r="L55" s="646"/>
      <c r="M55" s="2"/>
      <c r="N55" s="2"/>
      <c r="O55" s="2"/>
      <c r="P55" s="2"/>
      <c r="Q55" s="306"/>
      <c r="R55" s="306"/>
      <c r="S55" s="2"/>
      <c r="T55" s="2"/>
      <c r="U55" s="2"/>
      <c r="V55" s="2"/>
      <c r="W55" s="2"/>
      <c r="X55" s="2"/>
    </row>
    <row r="56" spans="1:24" ht="12.75">
      <c r="A56" s="66">
        <v>4025</v>
      </c>
      <c r="B56" s="28" t="s">
        <v>22</v>
      </c>
      <c r="C56" s="28" t="s">
        <v>28</v>
      </c>
      <c r="D56" s="28" t="s">
        <v>9</v>
      </c>
      <c r="E56" s="28" t="s">
        <v>86</v>
      </c>
      <c r="F56" s="28" t="s">
        <v>89</v>
      </c>
      <c r="G56" s="64">
        <v>7</v>
      </c>
      <c r="H56" s="66">
        <f t="shared" si="1"/>
        <v>2</v>
      </c>
      <c r="I56" s="155">
        <v>2021</v>
      </c>
      <c r="K56" s="645"/>
      <c r="L56" s="646"/>
      <c r="M56" s="2"/>
      <c r="N56" s="2"/>
      <c r="O56" s="2"/>
      <c r="P56" s="2"/>
      <c r="Q56" s="306"/>
      <c r="R56" s="306"/>
      <c r="S56" s="2"/>
      <c r="T56" s="2"/>
      <c r="U56" s="2"/>
      <c r="V56" s="2"/>
      <c r="W56" s="2"/>
      <c r="X56" s="2"/>
    </row>
    <row r="57" spans="1:24" ht="12.75">
      <c r="A57" s="66">
        <v>4027</v>
      </c>
      <c r="B57" s="28" t="s">
        <v>22</v>
      </c>
      <c r="C57" s="28" t="s">
        <v>26</v>
      </c>
      <c r="D57" s="28" t="s">
        <v>9</v>
      </c>
      <c r="E57" s="28" t="s">
        <v>86</v>
      </c>
      <c r="F57" s="28" t="s">
        <v>91</v>
      </c>
      <c r="G57" s="166">
        <v>6</v>
      </c>
      <c r="H57" s="66">
        <f t="shared" si="1"/>
        <v>4</v>
      </c>
      <c r="I57" s="155">
        <v>2021</v>
      </c>
      <c r="K57" s="645"/>
      <c r="L57" s="646"/>
      <c r="M57" s="2"/>
      <c r="N57" s="2"/>
      <c r="O57" s="2"/>
      <c r="P57" s="2"/>
      <c r="Q57" s="306"/>
      <c r="R57" s="306"/>
      <c r="S57" s="2"/>
      <c r="T57" s="2"/>
      <c r="U57" s="2"/>
      <c r="V57" s="2"/>
      <c r="W57" s="2"/>
      <c r="X57" s="2"/>
    </row>
    <row r="58" spans="1:24" ht="12.75">
      <c r="A58" s="66">
        <v>4028</v>
      </c>
      <c r="B58" s="28" t="s">
        <v>22</v>
      </c>
      <c r="C58" s="28" t="s">
        <v>29</v>
      </c>
      <c r="D58" s="28" t="s">
        <v>9</v>
      </c>
      <c r="E58" s="28" t="s">
        <v>86</v>
      </c>
      <c r="F58" s="28" t="s">
        <v>90</v>
      </c>
      <c r="G58" s="64">
        <v>8</v>
      </c>
      <c r="H58" s="66">
        <f t="shared" si="1"/>
        <v>3</v>
      </c>
      <c r="I58" s="155">
        <v>2021</v>
      </c>
      <c r="K58" s="645"/>
      <c r="L58" s="646"/>
      <c r="M58" s="2"/>
      <c r="N58" s="2"/>
      <c r="O58" s="2"/>
      <c r="P58" s="2"/>
      <c r="Q58" s="306"/>
      <c r="R58" s="306"/>
      <c r="S58" s="2"/>
      <c r="T58" s="2"/>
      <c r="U58" s="2"/>
      <c r="V58" s="2"/>
      <c r="W58" s="2"/>
      <c r="X58" s="2"/>
    </row>
    <row r="59" spans="1:24" ht="12.75">
      <c r="A59" s="66">
        <v>4029</v>
      </c>
      <c r="B59" s="28" t="s">
        <v>22</v>
      </c>
      <c r="C59" s="28" t="s">
        <v>32</v>
      </c>
      <c r="D59" s="28" t="s">
        <v>9</v>
      </c>
      <c r="E59" s="28" t="s">
        <v>86</v>
      </c>
      <c r="F59" s="28" t="s">
        <v>90</v>
      </c>
      <c r="G59" s="64">
        <v>4</v>
      </c>
      <c r="H59" s="66">
        <f t="shared" si="1"/>
        <v>3</v>
      </c>
      <c r="I59" s="155">
        <v>2021</v>
      </c>
      <c r="K59" s="645"/>
      <c r="L59" s="646"/>
      <c r="M59" s="2"/>
      <c r="N59" s="2"/>
      <c r="O59" s="2"/>
      <c r="P59" s="2"/>
      <c r="Q59" s="306"/>
      <c r="R59" s="306"/>
      <c r="S59" s="2"/>
      <c r="T59" s="2"/>
      <c r="U59" s="2"/>
      <c r="V59" s="2"/>
      <c r="W59" s="2"/>
      <c r="X59" s="2"/>
    </row>
    <row r="60" spans="1:24" ht="12.75">
      <c r="A60" s="66">
        <v>4030</v>
      </c>
      <c r="B60" s="28" t="s">
        <v>22</v>
      </c>
      <c r="C60" s="28" t="s">
        <v>30</v>
      </c>
      <c r="D60" s="28" t="s">
        <v>9</v>
      </c>
      <c r="E60" s="28" t="s">
        <v>86</v>
      </c>
      <c r="F60" s="28" t="s">
        <v>91</v>
      </c>
      <c r="G60" s="166">
        <v>3</v>
      </c>
      <c r="H60" s="66">
        <f t="shared" si="1"/>
        <v>4</v>
      </c>
      <c r="I60" s="155">
        <v>2021</v>
      </c>
    </row>
    <row r="61" spans="1:24" ht="12.75">
      <c r="A61" s="66">
        <v>4031</v>
      </c>
      <c r="B61" s="28" t="s">
        <v>22</v>
      </c>
      <c r="C61" s="28" t="s">
        <v>34</v>
      </c>
      <c r="D61" s="28" t="s">
        <v>9</v>
      </c>
      <c r="E61" s="28" t="s">
        <v>86</v>
      </c>
      <c r="F61" s="28" t="s">
        <v>91</v>
      </c>
      <c r="G61" s="64">
        <v>15</v>
      </c>
      <c r="H61" s="66">
        <f t="shared" si="1"/>
        <v>4</v>
      </c>
      <c r="I61" s="155">
        <v>2021</v>
      </c>
    </row>
    <row r="62" spans="1:24" ht="12.75">
      <c r="A62" s="66">
        <v>4032</v>
      </c>
      <c r="B62" s="28" t="s">
        <v>22</v>
      </c>
      <c r="C62" s="28" t="s">
        <v>31</v>
      </c>
      <c r="D62" s="28" t="s">
        <v>9</v>
      </c>
      <c r="E62" s="28" t="s">
        <v>86</v>
      </c>
      <c r="F62" s="28" t="s">
        <v>90</v>
      </c>
      <c r="G62" s="64">
        <v>7</v>
      </c>
      <c r="H62" s="66">
        <f t="shared" si="1"/>
        <v>3</v>
      </c>
      <c r="I62" s="155">
        <v>2021</v>
      </c>
      <c r="K62" s="926"/>
      <c r="L62" s="926"/>
      <c r="M62" s="926"/>
      <c r="O62" s="926"/>
      <c r="P62" s="926"/>
      <c r="Q62" s="926"/>
    </row>
    <row r="63" spans="1:24" ht="12.75">
      <c r="A63" s="66">
        <v>4033</v>
      </c>
      <c r="B63" s="28" t="s">
        <v>22</v>
      </c>
      <c r="C63" s="28" t="s">
        <v>34</v>
      </c>
      <c r="D63" s="28" t="s">
        <v>9</v>
      </c>
      <c r="E63" s="28" t="s">
        <v>86</v>
      </c>
      <c r="F63" s="28" t="s">
        <v>91</v>
      </c>
      <c r="G63" s="166">
        <v>7</v>
      </c>
      <c r="H63" s="66">
        <f t="shared" si="1"/>
        <v>4</v>
      </c>
      <c r="I63" s="155">
        <v>2021</v>
      </c>
      <c r="K63" s="19"/>
      <c r="L63" s="19"/>
      <c r="M63" s="19"/>
      <c r="O63" s="19"/>
      <c r="P63" s="19"/>
      <c r="Q63" s="19"/>
    </row>
    <row r="64" spans="1:24" ht="12.75">
      <c r="A64" s="66">
        <v>4034</v>
      </c>
      <c r="B64" s="28" t="s">
        <v>22</v>
      </c>
      <c r="C64" s="28" t="s">
        <v>30</v>
      </c>
      <c r="D64" s="28" t="s">
        <v>9</v>
      </c>
      <c r="E64" s="28" t="s">
        <v>87</v>
      </c>
      <c r="F64" s="28" t="s">
        <v>84</v>
      </c>
      <c r="G64" s="64">
        <v>4</v>
      </c>
      <c r="H64" s="66">
        <f t="shared" si="1"/>
        <v>1</v>
      </c>
      <c r="I64" s="155">
        <v>2021</v>
      </c>
      <c r="K64" s="648"/>
      <c r="M64" s="649"/>
      <c r="O64" s="648"/>
      <c r="Q64" s="649"/>
    </row>
    <row r="65" spans="1:17" ht="12.75">
      <c r="A65" s="66">
        <v>4035</v>
      </c>
      <c r="B65" s="28" t="s">
        <v>22</v>
      </c>
      <c r="C65" s="28" t="s">
        <v>35</v>
      </c>
      <c r="D65" s="28" t="s">
        <v>9</v>
      </c>
      <c r="E65" s="28" t="s">
        <v>86</v>
      </c>
      <c r="F65" s="28" t="s">
        <v>91</v>
      </c>
      <c r="G65" s="166">
        <v>8</v>
      </c>
      <c r="H65" s="66">
        <f t="shared" si="1"/>
        <v>4</v>
      </c>
      <c r="I65" s="155">
        <v>2021</v>
      </c>
      <c r="K65" s="648"/>
      <c r="M65" s="2"/>
      <c r="O65" s="648"/>
      <c r="Q65" s="2"/>
    </row>
    <row r="66" spans="1:17" ht="12.75">
      <c r="A66" s="66">
        <v>4036</v>
      </c>
      <c r="B66" s="28" t="s">
        <v>22</v>
      </c>
      <c r="C66" s="28" t="s">
        <v>24</v>
      </c>
      <c r="D66" s="28" t="s">
        <v>9</v>
      </c>
      <c r="E66" s="28" t="s">
        <v>86</v>
      </c>
      <c r="F66" s="28" t="s">
        <v>93</v>
      </c>
      <c r="G66" s="64">
        <v>14</v>
      </c>
      <c r="H66" s="66">
        <f t="shared" ref="H66:H97" si="2">MONTH(DATEVALUE(F66&amp;"1"))</f>
        <v>6</v>
      </c>
      <c r="I66" s="155">
        <v>2021</v>
      </c>
      <c r="K66" s="648"/>
      <c r="L66" s="649"/>
      <c r="M66" s="2"/>
      <c r="O66" s="648"/>
      <c r="P66" s="649"/>
      <c r="Q66" s="2"/>
    </row>
    <row r="67" spans="1:17" ht="12.75">
      <c r="A67" s="66">
        <v>4037</v>
      </c>
      <c r="B67" s="28" t="s">
        <v>22</v>
      </c>
      <c r="C67" s="28" t="s">
        <v>33</v>
      </c>
      <c r="D67" s="28" t="s">
        <v>9</v>
      </c>
      <c r="E67" s="28" t="s">
        <v>87</v>
      </c>
      <c r="F67" s="28" t="s">
        <v>90</v>
      </c>
      <c r="G67" s="64">
        <v>5</v>
      </c>
      <c r="H67" s="66">
        <f t="shared" si="2"/>
        <v>3</v>
      </c>
      <c r="I67" s="155">
        <v>2021</v>
      </c>
      <c r="K67" s="648"/>
      <c r="L67" s="2"/>
      <c r="M67" s="2"/>
      <c r="O67" s="648"/>
      <c r="P67" s="2"/>
      <c r="Q67" s="2"/>
    </row>
    <row r="68" spans="1:17" ht="12.75">
      <c r="A68" s="66">
        <v>4038</v>
      </c>
      <c r="B68" s="28" t="s">
        <v>22</v>
      </c>
      <c r="C68" s="28" t="s">
        <v>23</v>
      </c>
      <c r="D68" s="28" t="s">
        <v>9</v>
      </c>
      <c r="E68" s="28" t="s">
        <v>86</v>
      </c>
      <c r="F68" s="28" t="s">
        <v>90</v>
      </c>
      <c r="G68" s="64">
        <v>10</v>
      </c>
      <c r="H68" s="66">
        <f t="shared" si="2"/>
        <v>3</v>
      </c>
      <c r="I68" s="155">
        <v>2021</v>
      </c>
      <c r="K68" s="648"/>
      <c r="L68" s="2"/>
      <c r="M68" s="2"/>
      <c r="O68" s="648"/>
      <c r="P68" s="2"/>
      <c r="Q68" s="2"/>
    </row>
    <row r="69" spans="1:17" ht="12.75">
      <c r="A69" s="66">
        <v>4039</v>
      </c>
      <c r="B69" s="28" t="s">
        <v>22</v>
      </c>
      <c r="C69" s="28" t="s">
        <v>32</v>
      </c>
      <c r="D69" s="28" t="s">
        <v>27</v>
      </c>
      <c r="E69" s="28" t="s">
        <v>86</v>
      </c>
      <c r="F69" s="28" t="s">
        <v>92</v>
      </c>
      <c r="G69" s="166">
        <v>7</v>
      </c>
      <c r="H69" s="66">
        <f t="shared" si="2"/>
        <v>5</v>
      </c>
      <c r="I69" s="155">
        <v>2021</v>
      </c>
      <c r="K69" s="648"/>
      <c r="L69" s="2"/>
      <c r="M69" s="2"/>
      <c r="O69" s="648"/>
      <c r="P69" s="2"/>
      <c r="Q69" s="2"/>
    </row>
    <row r="70" spans="1:17" ht="12.75">
      <c r="A70" s="66">
        <v>4040</v>
      </c>
      <c r="B70" s="28" t="s">
        <v>22</v>
      </c>
      <c r="C70" s="28" t="s">
        <v>28</v>
      </c>
      <c r="D70" s="28" t="s">
        <v>9</v>
      </c>
      <c r="E70" s="28" t="s">
        <v>86</v>
      </c>
      <c r="F70" s="28" t="s">
        <v>93</v>
      </c>
      <c r="G70" s="64">
        <v>10</v>
      </c>
      <c r="H70" s="66">
        <f t="shared" si="2"/>
        <v>6</v>
      </c>
      <c r="I70" s="155">
        <v>2021</v>
      </c>
      <c r="K70" s="648"/>
      <c r="L70" s="2"/>
      <c r="M70" s="2"/>
    </row>
    <row r="71" spans="1:17" ht="12.75">
      <c r="A71" s="66">
        <v>4042</v>
      </c>
      <c r="B71" s="28" t="s">
        <v>22</v>
      </c>
      <c r="C71" s="28" t="s">
        <v>35</v>
      </c>
      <c r="D71" s="28" t="s">
        <v>9</v>
      </c>
      <c r="E71" s="28" t="s">
        <v>86</v>
      </c>
      <c r="F71" s="28" t="s">
        <v>93</v>
      </c>
      <c r="G71" s="64">
        <v>8</v>
      </c>
      <c r="H71" s="66">
        <f t="shared" si="2"/>
        <v>6</v>
      </c>
      <c r="I71" s="155">
        <v>2021</v>
      </c>
    </row>
    <row r="72" spans="1:17" ht="12.75">
      <c r="A72" s="66">
        <v>4044</v>
      </c>
      <c r="B72" s="28" t="s">
        <v>22</v>
      </c>
      <c r="C72" s="28" t="s">
        <v>28</v>
      </c>
      <c r="D72" s="28" t="s">
        <v>9</v>
      </c>
      <c r="E72" s="28" t="s">
        <v>86</v>
      </c>
      <c r="F72" s="28" t="s">
        <v>91</v>
      </c>
      <c r="G72" s="166">
        <v>4</v>
      </c>
      <c r="H72" s="66">
        <f t="shared" si="2"/>
        <v>4</v>
      </c>
      <c r="I72" s="155">
        <v>2021</v>
      </c>
      <c r="K72" s="649"/>
      <c r="L72" s="649"/>
      <c r="M72" s="649"/>
    </row>
    <row r="73" spans="1:17" ht="12.75">
      <c r="A73" s="66">
        <v>4045</v>
      </c>
      <c r="B73" s="28" t="s">
        <v>22</v>
      </c>
      <c r="C73" s="28" t="s">
        <v>29</v>
      </c>
      <c r="D73" s="28" t="s">
        <v>9</v>
      </c>
      <c r="E73" s="28" t="s">
        <v>86</v>
      </c>
      <c r="F73" s="28" t="s">
        <v>92</v>
      </c>
      <c r="G73" s="64">
        <v>5</v>
      </c>
      <c r="H73" s="66">
        <f t="shared" si="2"/>
        <v>5</v>
      </c>
      <c r="I73" s="155">
        <v>2021</v>
      </c>
      <c r="K73" s="645"/>
      <c r="L73" s="2"/>
      <c r="M73" s="2"/>
    </row>
    <row r="74" spans="1:17" ht="12.75">
      <c r="A74" s="66">
        <v>4046</v>
      </c>
      <c r="B74" s="28" t="s">
        <v>22</v>
      </c>
      <c r="C74" s="28" t="s">
        <v>30</v>
      </c>
      <c r="D74" s="28" t="s">
        <v>9</v>
      </c>
      <c r="E74" s="28" t="s">
        <v>86</v>
      </c>
      <c r="F74" s="28" t="s">
        <v>92</v>
      </c>
      <c r="G74" s="64">
        <v>5</v>
      </c>
      <c r="H74" s="66">
        <f t="shared" si="2"/>
        <v>5</v>
      </c>
      <c r="I74" s="155">
        <v>2021</v>
      </c>
      <c r="K74" s="645"/>
      <c r="L74" s="2"/>
      <c r="M74" s="2"/>
    </row>
    <row r="75" spans="1:17" ht="12.75">
      <c r="A75" s="66">
        <v>4047</v>
      </c>
      <c r="B75" s="28" t="s">
        <v>22</v>
      </c>
      <c r="C75" s="28" t="s">
        <v>23</v>
      </c>
      <c r="D75" s="28" t="s">
        <v>9</v>
      </c>
      <c r="E75" s="28" t="s">
        <v>87</v>
      </c>
      <c r="F75" s="28" t="s">
        <v>91</v>
      </c>
      <c r="G75" s="166">
        <v>3</v>
      </c>
      <c r="H75" s="66">
        <f t="shared" si="2"/>
        <v>4</v>
      </c>
      <c r="I75" s="155">
        <v>2021</v>
      </c>
      <c r="K75" s="645"/>
      <c r="L75" s="2"/>
      <c r="M75" s="2"/>
    </row>
    <row r="76" spans="1:17" ht="12.75">
      <c r="A76" s="66">
        <v>4049</v>
      </c>
      <c r="B76" s="28" t="s">
        <v>22</v>
      </c>
      <c r="C76" s="28" t="s">
        <v>29</v>
      </c>
      <c r="D76" s="28" t="s">
        <v>9</v>
      </c>
      <c r="E76" s="28" t="s">
        <v>86</v>
      </c>
      <c r="F76" s="28" t="s">
        <v>91</v>
      </c>
      <c r="G76" s="166">
        <v>9</v>
      </c>
      <c r="H76" s="66">
        <f t="shared" si="2"/>
        <v>4</v>
      </c>
      <c r="I76" s="155">
        <v>2021</v>
      </c>
      <c r="K76" s="645"/>
      <c r="L76" s="2"/>
      <c r="M76" s="2"/>
    </row>
    <row r="77" spans="1:17" ht="12.75">
      <c r="A77" s="66">
        <v>4050</v>
      </c>
      <c r="B77" s="28" t="s">
        <v>22</v>
      </c>
      <c r="C77" s="28" t="s">
        <v>33</v>
      </c>
      <c r="D77" s="28" t="s">
        <v>9</v>
      </c>
      <c r="E77" s="28" t="s">
        <v>86</v>
      </c>
      <c r="F77" s="28" t="s">
        <v>93</v>
      </c>
      <c r="G77" s="64">
        <v>7</v>
      </c>
      <c r="H77" s="66">
        <f t="shared" si="2"/>
        <v>6</v>
      </c>
      <c r="I77" s="155">
        <v>2021</v>
      </c>
      <c r="K77" s="645"/>
      <c r="L77" s="2"/>
      <c r="M77" s="2"/>
    </row>
    <row r="78" spans="1:17" ht="12.75">
      <c r="A78" s="66">
        <v>4052</v>
      </c>
      <c r="B78" s="28" t="s">
        <v>22</v>
      </c>
      <c r="C78" s="28" t="s">
        <v>32</v>
      </c>
      <c r="D78" s="28" t="s">
        <v>27</v>
      </c>
      <c r="E78" s="28" t="s">
        <v>86</v>
      </c>
      <c r="F78" s="28" t="s">
        <v>89</v>
      </c>
      <c r="G78" s="64">
        <v>5</v>
      </c>
      <c r="H78" s="66">
        <f t="shared" si="2"/>
        <v>2</v>
      </c>
      <c r="I78" s="155">
        <v>2021</v>
      </c>
      <c r="K78" s="648"/>
      <c r="L78" s="2"/>
      <c r="M78" s="2"/>
    </row>
    <row r="79" spans="1:17" ht="12.75">
      <c r="A79" s="66">
        <v>4052</v>
      </c>
      <c r="B79" s="28" t="s">
        <v>22</v>
      </c>
      <c r="C79" s="28" t="s">
        <v>32</v>
      </c>
      <c r="D79" s="28" t="s">
        <v>27</v>
      </c>
      <c r="E79" s="28" t="s">
        <v>86</v>
      </c>
      <c r="F79" s="28" t="s">
        <v>92</v>
      </c>
      <c r="G79" s="64">
        <v>10</v>
      </c>
      <c r="H79" s="66">
        <f t="shared" si="2"/>
        <v>5</v>
      </c>
      <c r="I79" s="155">
        <v>2021</v>
      </c>
    </row>
    <row r="80" spans="1:17" ht="12.75">
      <c r="A80" s="66">
        <v>4053</v>
      </c>
      <c r="B80" s="28" t="s">
        <v>22</v>
      </c>
      <c r="C80" s="28" t="s">
        <v>32</v>
      </c>
      <c r="D80" s="28" t="s">
        <v>27</v>
      </c>
      <c r="E80" s="28" t="s">
        <v>86</v>
      </c>
      <c r="F80" s="28" t="s">
        <v>90</v>
      </c>
      <c r="G80" s="64">
        <v>7</v>
      </c>
      <c r="H80" s="66">
        <f t="shared" si="2"/>
        <v>3</v>
      </c>
      <c r="I80" s="155">
        <v>2021</v>
      </c>
      <c r="K80" s="644"/>
      <c r="L80" s="644"/>
      <c r="M80" s="649"/>
    </row>
    <row r="81" spans="1:13" ht="12.75">
      <c r="A81" s="66">
        <v>4054</v>
      </c>
      <c r="B81" s="28" t="s">
        <v>22</v>
      </c>
      <c r="C81" s="28" t="s">
        <v>32</v>
      </c>
      <c r="D81" s="28" t="s">
        <v>27</v>
      </c>
      <c r="E81" s="28" t="s">
        <v>86</v>
      </c>
      <c r="F81" s="28" t="s">
        <v>92</v>
      </c>
      <c r="G81" s="64">
        <v>7</v>
      </c>
      <c r="H81" s="66">
        <f t="shared" si="2"/>
        <v>5</v>
      </c>
      <c r="I81" s="155">
        <v>2021</v>
      </c>
      <c r="K81" s="645"/>
      <c r="L81" s="646"/>
      <c r="M81" s="2"/>
    </row>
    <row r="82" spans="1:13" ht="12.75">
      <c r="A82" s="66">
        <v>4055</v>
      </c>
      <c r="B82" s="28" t="s">
        <v>22</v>
      </c>
      <c r="C82" s="28" t="s">
        <v>28</v>
      </c>
      <c r="D82" s="28" t="s">
        <v>9</v>
      </c>
      <c r="E82" s="28" t="s">
        <v>86</v>
      </c>
      <c r="F82" s="28" t="s">
        <v>93</v>
      </c>
      <c r="G82" s="64">
        <v>5</v>
      </c>
      <c r="H82" s="66">
        <f t="shared" si="2"/>
        <v>6</v>
      </c>
      <c r="I82" s="155">
        <v>2021</v>
      </c>
      <c r="K82" s="645"/>
      <c r="L82" s="646"/>
      <c r="M82" s="2"/>
    </row>
    <row r="83" spans="1:13" ht="12.75">
      <c r="A83" s="66">
        <v>4056</v>
      </c>
      <c r="B83" s="28" t="s">
        <v>22</v>
      </c>
      <c r="C83" s="28" t="s">
        <v>33</v>
      </c>
      <c r="D83" s="28" t="s">
        <v>9</v>
      </c>
      <c r="E83" s="28" t="s">
        <v>86</v>
      </c>
      <c r="F83" s="28" t="s">
        <v>91</v>
      </c>
      <c r="G83" s="64">
        <v>4</v>
      </c>
      <c r="H83" s="66">
        <f t="shared" si="2"/>
        <v>4</v>
      </c>
      <c r="I83" s="155">
        <v>2021</v>
      </c>
      <c r="K83" s="645"/>
      <c r="L83" s="646"/>
      <c r="M83" s="2"/>
    </row>
    <row r="84" spans="1:13" ht="12.75">
      <c r="A84" s="66">
        <v>4057</v>
      </c>
      <c r="B84" s="28" t="s">
        <v>22</v>
      </c>
      <c r="C84" s="28" t="s">
        <v>29</v>
      </c>
      <c r="D84" s="28" t="s">
        <v>9</v>
      </c>
      <c r="E84" s="28" t="s">
        <v>86</v>
      </c>
      <c r="F84" s="28" t="s">
        <v>89</v>
      </c>
      <c r="G84" s="64">
        <v>5</v>
      </c>
      <c r="H84" s="66">
        <f t="shared" si="2"/>
        <v>2</v>
      </c>
      <c r="I84" s="155">
        <v>2021</v>
      </c>
      <c r="K84" s="645"/>
      <c r="L84" s="646"/>
      <c r="M84" s="2"/>
    </row>
    <row r="85" spans="1:13" ht="12.75">
      <c r="A85" s="66">
        <v>4057</v>
      </c>
      <c r="B85" s="28" t="s">
        <v>22</v>
      </c>
      <c r="C85" s="28" t="s">
        <v>29</v>
      </c>
      <c r="D85" s="28" t="s">
        <v>9</v>
      </c>
      <c r="E85" s="28" t="s">
        <v>88</v>
      </c>
      <c r="F85" s="28" t="s">
        <v>84</v>
      </c>
      <c r="G85" s="64">
        <v>3</v>
      </c>
      <c r="H85" s="66">
        <f t="shared" si="2"/>
        <v>1</v>
      </c>
      <c r="I85" s="155">
        <v>2021</v>
      </c>
      <c r="K85" s="645"/>
      <c r="L85" s="646"/>
      <c r="M85" s="2"/>
    </row>
    <row r="86" spans="1:13" ht="12.75">
      <c r="A86" s="66">
        <v>4057</v>
      </c>
      <c r="B86" s="28" t="s">
        <v>22</v>
      </c>
      <c r="C86" s="28" t="s">
        <v>29</v>
      </c>
      <c r="D86" s="28" t="s">
        <v>9</v>
      </c>
      <c r="E86" s="28" t="s">
        <v>87</v>
      </c>
      <c r="F86" s="28" t="s">
        <v>84</v>
      </c>
      <c r="G86" s="64">
        <v>6</v>
      </c>
      <c r="H86" s="66">
        <f t="shared" si="2"/>
        <v>1</v>
      </c>
      <c r="I86" s="155">
        <v>2021</v>
      </c>
      <c r="K86" s="645"/>
      <c r="L86" s="646"/>
      <c r="M86" s="2"/>
    </row>
    <row r="87" spans="1:13" ht="12.75">
      <c r="A87" s="66">
        <v>4058</v>
      </c>
      <c r="B87" s="28" t="s">
        <v>22</v>
      </c>
      <c r="C87" s="28" t="s">
        <v>33</v>
      </c>
      <c r="D87" s="28" t="s">
        <v>9</v>
      </c>
      <c r="E87" s="28" t="s">
        <v>87</v>
      </c>
      <c r="F87" s="28" t="s">
        <v>91</v>
      </c>
      <c r="G87" s="166">
        <v>5</v>
      </c>
      <c r="H87" s="66">
        <f t="shared" si="2"/>
        <v>4</v>
      </c>
      <c r="I87" s="155">
        <v>2021</v>
      </c>
      <c r="K87" s="645"/>
      <c r="L87" s="646"/>
      <c r="M87" s="2"/>
    </row>
    <row r="88" spans="1:13" ht="12.75">
      <c r="A88" s="66">
        <v>4059</v>
      </c>
      <c r="B88" s="28" t="s">
        <v>22</v>
      </c>
      <c r="C88" s="28" t="s">
        <v>24</v>
      </c>
      <c r="D88" s="28" t="s">
        <v>9</v>
      </c>
      <c r="E88" s="28" t="s">
        <v>86</v>
      </c>
      <c r="F88" s="28" t="s">
        <v>93</v>
      </c>
      <c r="G88" s="64">
        <v>8</v>
      </c>
      <c r="H88" s="66">
        <f t="shared" si="2"/>
        <v>6</v>
      </c>
      <c r="I88" s="155">
        <v>2021</v>
      </c>
      <c r="K88" s="645"/>
      <c r="L88" s="646"/>
      <c r="M88" s="2"/>
    </row>
    <row r="89" spans="1:13" ht="12.75">
      <c r="A89" s="66">
        <v>4060</v>
      </c>
      <c r="B89" s="28" t="s">
        <v>22</v>
      </c>
      <c r="C89" s="28" t="s">
        <v>26</v>
      </c>
      <c r="D89" s="28" t="s">
        <v>9</v>
      </c>
      <c r="E89" s="28" t="s">
        <v>86</v>
      </c>
      <c r="F89" s="28" t="s">
        <v>84</v>
      </c>
      <c r="G89" s="64">
        <v>10</v>
      </c>
      <c r="H89" s="66">
        <f t="shared" si="2"/>
        <v>1</v>
      </c>
      <c r="I89" s="155">
        <v>2021</v>
      </c>
      <c r="K89" s="645"/>
      <c r="L89" s="646"/>
      <c r="M89" s="2"/>
    </row>
    <row r="90" spans="1:13" ht="12.75">
      <c r="A90" s="66">
        <v>4061</v>
      </c>
      <c r="B90" s="28" t="s">
        <v>22</v>
      </c>
      <c r="C90" s="28" t="s">
        <v>33</v>
      </c>
      <c r="D90" s="28" t="s">
        <v>9</v>
      </c>
      <c r="E90" s="28" t="s">
        <v>87</v>
      </c>
      <c r="F90" s="28" t="s">
        <v>92</v>
      </c>
      <c r="G90" s="166">
        <v>8</v>
      </c>
      <c r="H90" s="66">
        <f t="shared" si="2"/>
        <v>5</v>
      </c>
      <c r="I90" s="155">
        <v>2021</v>
      </c>
      <c r="K90" s="645"/>
      <c r="L90" s="646"/>
      <c r="M90" s="2"/>
    </row>
    <row r="91" spans="1:13" ht="12.75">
      <c r="A91" s="66">
        <v>4062</v>
      </c>
      <c r="B91" s="28" t="s">
        <v>22</v>
      </c>
      <c r="C91" s="28" t="s">
        <v>28</v>
      </c>
      <c r="D91" s="28" t="s">
        <v>9</v>
      </c>
      <c r="E91" s="28" t="s">
        <v>87</v>
      </c>
      <c r="F91" s="28" t="s">
        <v>93</v>
      </c>
      <c r="G91" s="166">
        <v>4</v>
      </c>
      <c r="H91" s="66">
        <f t="shared" si="2"/>
        <v>6</v>
      </c>
      <c r="I91" s="155">
        <v>2021</v>
      </c>
      <c r="K91" s="645"/>
      <c r="L91" s="646"/>
      <c r="M91" s="2"/>
    </row>
    <row r="92" spans="1:13" ht="12.75">
      <c r="A92" s="66">
        <v>4063</v>
      </c>
      <c r="B92" s="28" t="s">
        <v>22</v>
      </c>
      <c r="C92" s="28" t="s">
        <v>24</v>
      </c>
      <c r="D92" s="28" t="s">
        <v>9</v>
      </c>
      <c r="E92" s="28" t="s">
        <v>87</v>
      </c>
      <c r="F92" s="28" t="s">
        <v>89</v>
      </c>
      <c r="G92" s="64">
        <v>4</v>
      </c>
      <c r="H92" s="66">
        <f t="shared" si="2"/>
        <v>2</v>
      </c>
      <c r="I92" s="155">
        <v>2021</v>
      </c>
      <c r="K92" s="645"/>
      <c r="L92" s="646"/>
      <c r="M92" s="2"/>
    </row>
    <row r="93" spans="1:13" ht="12.75">
      <c r="A93" s="66">
        <v>4064</v>
      </c>
      <c r="B93" s="28" t="s">
        <v>22</v>
      </c>
      <c r="C93" s="28" t="s">
        <v>32</v>
      </c>
      <c r="D93" s="28" t="s">
        <v>27</v>
      </c>
      <c r="E93" s="28" t="s">
        <v>86</v>
      </c>
      <c r="F93" s="28" t="s">
        <v>93</v>
      </c>
      <c r="G93" s="64">
        <v>15</v>
      </c>
      <c r="H93" s="66">
        <f t="shared" si="2"/>
        <v>6</v>
      </c>
      <c r="I93" s="155">
        <v>2021</v>
      </c>
      <c r="K93" s="645"/>
      <c r="L93" s="646"/>
      <c r="M93" s="2"/>
    </row>
    <row r="94" spans="1:13" ht="12.75">
      <c r="A94" s="66">
        <v>4068</v>
      </c>
      <c r="B94" s="28" t="s">
        <v>22</v>
      </c>
      <c r="C94" s="28" t="s">
        <v>30</v>
      </c>
      <c r="D94" s="28" t="s">
        <v>9</v>
      </c>
      <c r="E94" s="28" t="s">
        <v>86</v>
      </c>
      <c r="F94" s="28" t="s">
        <v>89</v>
      </c>
      <c r="G94" s="64">
        <v>8</v>
      </c>
      <c r="H94" s="66">
        <f t="shared" si="2"/>
        <v>2</v>
      </c>
      <c r="I94" s="155">
        <v>2021</v>
      </c>
      <c r="K94" s="645"/>
      <c r="L94" s="646"/>
      <c r="M94" s="2"/>
    </row>
    <row r="95" spans="1:13" ht="12.75">
      <c r="A95" s="66">
        <v>4068</v>
      </c>
      <c r="B95" s="28" t="s">
        <v>22</v>
      </c>
      <c r="C95" s="28" t="s">
        <v>30</v>
      </c>
      <c r="D95" s="28" t="s">
        <v>9</v>
      </c>
      <c r="E95" s="28" t="s">
        <v>86</v>
      </c>
      <c r="F95" s="28" t="s">
        <v>92</v>
      </c>
      <c r="G95" s="166">
        <v>9</v>
      </c>
      <c r="H95" s="66">
        <f t="shared" si="2"/>
        <v>5</v>
      </c>
      <c r="I95" s="155">
        <v>2021</v>
      </c>
      <c r="K95" s="645"/>
      <c r="L95" s="646"/>
      <c r="M95" s="2"/>
    </row>
    <row r="96" spans="1:13" ht="12.75">
      <c r="A96" s="66">
        <v>4069</v>
      </c>
      <c r="B96" s="28" t="s">
        <v>22</v>
      </c>
      <c r="C96" s="28" t="s">
        <v>31</v>
      </c>
      <c r="D96" s="28" t="s">
        <v>9</v>
      </c>
      <c r="E96" s="28" t="s">
        <v>86</v>
      </c>
      <c r="F96" s="28" t="s">
        <v>89</v>
      </c>
      <c r="G96" s="64">
        <v>4</v>
      </c>
      <c r="H96" s="66">
        <f t="shared" si="2"/>
        <v>2</v>
      </c>
      <c r="I96" s="155">
        <v>2021</v>
      </c>
      <c r="K96" s="645"/>
      <c r="L96" s="646"/>
      <c r="M96" s="2"/>
    </row>
    <row r="97" spans="1:15" ht="12.75">
      <c r="A97" s="66">
        <v>4072</v>
      </c>
      <c r="B97" s="28" t="s">
        <v>22</v>
      </c>
      <c r="C97" s="28" t="s">
        <v>23</v>
      </c>
      <c r="D97" s="28" t="s">
        <v>9</v>
      </c>
      <c r="E97" s="28" t="s">
        <v>86</v>
      </c>
      <c r="F97" s="28" t="s">
        <v>89</v>
      </c>
      <c r="G97" s="64">
        <v>5</v>
      </c>
      <c r="H97" s="66">
        <f t="shared" si="2"/>
        <v>2</v>
      </c>
      <c r="I97" s="155">
        <v>2021</v>
      </c>
      <c r="K97" s="645"/>
      <c r="L97" s="646"/>
      <c r="M97" s="2"/>
    </row>
    <row r="98" spans="1:15" ht="12.75">
      <c r="A98" s="66">
        <v>4073</v>
      </c>
      <c r="B98" s="28" t="s">
        <v>22</v>
      </c>
      <c r="C98" s="28" t="s">
        <v>29</v>
      </c>
      <c r="D98" s="28" t="s">
        <v>9</v>
      </c>
      <c r="E98" s="28" t="s">
        <v>86</v>
      </c>
      <c r="F98" s="28" t="s">
        <v>84</v>
      </c>
      <c r="G98" s="64">
        <v>8</v>
      </c>
      <c r="H98" s="66">
        <f t="shared" ref="H98:H129" si="3">MONTH(DATEVALUE(F98&amp;"1"))</f>
        <v>1</v>
      </c>
      <c r="I98" s="155">
        <v>2021</v>
      </c>
      <c r="K98" s="645"/>
      <c r="L98" s="646"/>
      <c r="M98" s="2"/>
    </row>
    <row r="99" spans="1:15" ht="12.75">
      <c r="A99" s="66">
        <v>4073</v>
      </c>
      <c r="B99" s="28" t="s">
        <v>22</v>
      </c>
      <c r="C99" s="28" t="s">
        <v>29</v>
      </c>
      <c r="D99" s="28" t="s">
        <v>9</v>
      </c>
      <c r="E99" s="28" t="s">
        <v>87</v>
      </c>
      <c r="F99" s="28" t="s">
        <v>89</v>
      </c>
      <c r="G99" s="64">
        <v>3</v>
      </c>
      <c r="H99" s="66">
        <f t="shared" si="3"/>
        <v>2</v>
      </c>
      <c r="I99" s="155">
        <v>2021</v>
      </c>
      <c r="K99" s="645"/>
      <c r="L99" s="646"/>
      <c r="M99" s="2"/>
    </row>
    <row r="100" spans="1:15" ht="12.75">
      <c r="A100" s="66">
        <v>4074</v>
      </c>
      <c r="B100" s="28" t="s">
        <v>22</v>
      </c>
      <c r="C100" s="28" t="s">
        <v>35</v>
      </c>
      <c r="D100" s="28" t="s">
        <v>9</v>
      </c>
      <c r="E100" s="28" t="s">
        <v>86</v>
      </c>
      <c r="F100" s="28" t="s">
        <v>91</v>
      </c>
      <c r="G100" s="64">
        <v>7</v>
      </c>
      <c r="H100" s="66">
        <f t="shared" si="3"/>
        <v>4</v>
      </c>
      <c r="I100" s="155">
        <v>2021</v>
      </c>
      <c r="K100" s="645"/>
      <c r="L100" s="646"/>
      <c r="M100" s="2"/>
    </row>
    <row r="101" spans="1:15" ht="12.75">
      <c r="A101" s="66">
        <v>4076</v>
      </c>
      <c r="B101" s="28" t="s">
        <v>22</v>
      </c>
      <c r="C101" s="28" t="s">
        <v>25</v>
      </c>
      <c r="D101" s="28" t="s">
        <v>9</v>
      </c>
      <c r="E101" s="28" t="s">
        <v>88</v>
      </c>
      <c r="F101" s="28" t="s">
        <v>93</v>
      </c>
      <c r="G101" s="64">
        <v>4</v>
      </c>
      <c r="H101" s="66">
        <f t="shared" si="3"/>
        <v>6</v>
      </c>
      <c r="I101" s="155">
        <v>2021</v>
      </c>
      <c r="K101" s="645"/>
      <c r="L101" s="646"/>
      <c r="M101" s="2"/>
    </row>
    <row r="102" spans="1:15" ht="12.75">
      <c r="A102" s="66">
        <v>4076</v>
      </c>
      <c r="B102" s="28" t="s">
        <v>22</v>
      </c>
      <c r="C102" s="28" t="s">
        <v>25</v>
      </c>
      <c r="D102" s="28" t="s">
        <v>9</v>
      </c>
      <c r="E102" s="28" t="s">
        <v>87</v>
      </c>
      <c r="F102" s="28" t="s">
        <v>89</v>
      </c>
      <c r="G102" s="64">
        <v>2</v>
      </c>
      <c r="H102" s="66">
        <f t="shared" si="3"/>
        <v>2</v>
      </c>
      <c r="I102" s="155">
        <v>2021</v>
      </c>
      <c r="K102" s="645"/>
      <c r="L102" s="646"/>
      <c r="M102" s="2"/>
    </row>
    <row r="103" spans="1:15" ht="12.75">
      <c r="A103" s="66">
        <v>4077</v>
      </c>
      <c r="B103" s="28" t="s">
        <v>22</v>
      </c>
      <c r="C103" s="28" t="s">
        <v>34</v>
      </c>
      <c r="D103" s="28" t="s">
        <v>9</v>
      </c>
      <c r="E103" s="28" t="s">
        <v>86</v>
      </c>
      <c r="F103" s="28" t="s">
        <v>91</v>
      </c>
      <c r="G103" s="64">
        <v>3</v>
      </c>
      <c r="H103" s="66">
        <f t="shared" si="3"/>
        <v>4</v>
      </c>
      <c r="I103" s="155">
        <v>2021</v>
      </c>
      <c r="K103" s="925"/>
      <c r="L103" s="925"/>
      <c r="M103" s="2"/>
    </row>
    <row r="104" spans="1:15" ht="12.75">
      <c r="A104" s="66">
        <v>4077</v>
      </c>
      <c r="B104" s="28" t="s">
        <v>22</v>
      </c>
      <c r="C104" s="28" t="s">
        <v>34</v>
      </c>
      <c r="D104" s="28" t="s">
        <v>9</v>
      </c>
      <c r="E104" s="28" t="s">
        <v>88</v>
      </c>
      <c r="F104" s="28" t="s">
        <v>93</v>
      </c>
      <c r="G104" s="64">
        <v>5</v>
      </c>
      <c r="H104" s="66">
        <f t="shared" si="3"/>
        <v>6</v>
      </c>
      <c r="I104" s="155">
        <v>2021</v>
      </c>
    </row>
    <row r="105" spans="1:15" ht="12.75">
      <c r="A105" s="66">
        <v>4078</v>
      </c>
      <c r="B105" s="28" t="s">
        <v>22</v>
      </c>
      <c r="C105" s="28" t="s">
        <v>33</v>
      </c>
      <c r="D105" s="28" t="s">
        <v>9</v>
      </c>
      <c r="E105" s="28" t="s">
        <v>87</v>
      </c>
      <c r="F105" s="28" t="s">
        <v>90</v>
      </c>
      <c r="G105" s="64">
        <v>6</v>
      </c>
      <c r="H105" s="66">
        <f t="shared" si="3"/>
        <v>3</v>
      </c>
      <c r="I105" s="155">
        <v>2021</v>
      </c>
    </row>
    <row r="106" spans="1:15" ht="12.75">
      <c r="A106" s="66">
        <v>4081</v>
      </c>
      <c r="B106" s="28" t="s">
        <v>22</v>
      </c>
      <c r="C106" s="28" t="s">
        <v>24</v>
      </c>
      <c r="D106" s="28" t="s">
        <v>36</v>
      </c>
      <c r="E106" s="28" t="s">
        <v>86</v>
      </c>
      <c r="F106" s="28" t="s">
        <v>93</v>
      </c>
      <c r="G106" s="64">
        <v>5</v>
      </c>
      <c r="H106" s="66">
        <f t="shared" si="3"/>
        <v>6</v>
      </c>
      <c r="I106" s="155">
        <v>2021</v>
      </c>
      <c r="K106" s="649"/>
      <c r="L106" s="649"/>
      <c r="M106" s="649"/>
      <c r="O106" s="649"/>
    </row>
    <row r="107" spans="1:15" ht="12.75">
      <c r="A107" s="66">
        <v>4082</v>
      </c>
      <c r="B107" s="28" t="s">
        <v>22</v>
      </c>
      <c r="C107" s="28" t="s">
        <v>24</v>
      </c>
      <c r="D107" s="28" t="s">
        <v>9</v>
      </c>
      <c r="E107" s="28" t="s">
        <v>87</v>
      </c>
      <c r="F107" s="28" t="s">
        <v>89</v>
      </c>
      <c r="G107" s="64">
        <v>5</v>
      </c>
      <c r="H107" s="66">
        <f t="shared" si="3"/>
        <v>2</v>
      </c>
      <c r="I107" s="155">
        <v>2021</v>
      </c>
      <c r="K107" s="63"/>
      <c r="L107" s="650"/>
      <c r="M107" s="63"/>
      <c r="O107" s="650"/>
    </row>
    <row r="108" spans="1:15" ht="12.75">
      <c r="A108" s="66">
        <v>4082</v>
      </c>
      <c r="B108" s="28" t="s">
        <v>22</v>
      </c>
      <c r="C108" s="28" t="s">
        <v>24</v>
      </c>
      <c r="D108" s="28" t="s">
        <v>9</v>
      </c>
      <c r="E108" s="28" t="s">
        <v>87</v>
      </c>
      <c r="F108" s="28" t="s">
        <v>93</v>
      </c>
      <c r="G108" s="166">
        <v>5</v>
      </c>
      <c r="H108" s="66">
        <f t="shared" si="3"/>
        <v>6</v>
      </c>
      <c r="I108" s="155">
        <v>2021</v>
      </c>
      <c r="K108" s="63"/>
      <c r="L108" s="650"/>
      <c r="M108" s="63"/>
      <c r="O108" s="650"/>
    </row>
    <row r="109" spans="1:15" ht="12.75">
      <c r="A109" s="66">
        <v>4083</v>
      </c>
      <c r="B109" s="28" t="s">
        <v>22</v>
      </c>
      <c r="C109" s="28" t="s">
        <v>29</v>
      </c>
      <c r="D109" s="28" t="s">
        <v>9</v>
      </c>
      <c r="E109" s="28" t="s">
        <v>87</v>
      </c>
      <c r="F109" s="28" t="s">
        <v>84</v>
      </c>
      <c r="G109" s="64">
        <v>5</v>
      </c>
      <c r="H109" s="66">
        <f t="shared" si="3"/>
        <v>1</v>
      </c>
      <c r="I109" s="155">
        <v>2021</v>
      </c>
      <c r="K109" s="63"/>
      <c r="L109" s="650"/>
      <c r="M109" s="63"/>
      <c r="O109" s="650"/>
    </row>
    <row r="110" spans="1:15" ht="12.75">
      <c r="A110" s="66">
        <v>4084</v>
      </c>
      <c r="B110" s="28" t="s">
        <v>22</v>
      </c>
      <c r="C110" s="28" t="s">
        <v>26</v>
      </c>
      <c r="D110" s="28" t="s">
        <v>9</v>
      </c>
      <c r="E110" s="28" t="s">
        <v>87</v>
      </c>
      <c r="F110" s="28" t="s">
        <v>92</v>
      </c>
      <c r="G110" s="166">
        <v>4</v>
      </c>
      <c r="H110" s="66">
        <f t="shared" si="3"/>
        <v>5</v>
      </c>
      <c r="I110" s="155">
        <v>2021</v>
      </c>
      <c r="K110" s="63"/>
      <c r="L110" s="650"/>
      <c r="M110" s="63"/>
      <c r="O110" s="650"/>
    </row>
    <row r="111" spans="1:15" ht="12.75">
      <c r="A111" s="66">
        <v>4085</v>
      </c>
      <c r="B111" s="28" t="s">
        <v>22</v>
      </c>
      <c r="C111" s="28" t="s">
        <v>33</v>
      </c>
      <c r="D111" s="28" t="s">
        <v>9</v>
      </c>
      <c r="E111" s="28" t="s">
        <v>87</v>
      </c>
      <c r="F111" s="28" t="s">
        <v>84</v>
      </c>
      <c r="G111" s="64">
        <v>5</v>
      </c>
      <c r="H111" s="66">
        <f t="shared" si="3"/>
        <v>1</v>
      </c>
      <c r="I111" s="155">
        <v>2021</v>
      </c>
      <c r="K111" s="63"/>
      <c r="L111" s="650"/>
      <c r="M111" s="63"/>
      <c r="O111" s="650"/>
    </row>
    <row r="112" spans="1:15" ht="12.75">
      <c r="A112" s="66">
        <v>4086</v>
      </c>
      <c r="B112" s="28" t="s">
        <v>22</v>
      </c>
      <c r="C112" s="28" t="s">
        <v>32</v>
      </c>
      <c r="D112" s="28" t="s">
        <v>9</v>
      </c>
      <c r="E112" s="28" t="s">
        <v>86</v>
      </c>
      <c r="F112" s="28" t="s">
        <v>93</v>
      </c>
      <c r="G112" s="64">
        <v>9</v>
      </c>
      <c r="H112" s="66">
        <f t="shared" si="3"/>
        <v>6</v>
      </c>
      <c r="I112" s="155">
        <v>2021</v>
      </c>
      <c r="K112" s="63"/>
      <c r="L112" s="650"/>
      <c r="M112" s="63"/>
      <c r="O112" s="650"/>
    </row>
    <row r="113" spans="1:15" ht="12.75">
      <c r="A113" s="66">
        <v>4088</v>
      </c>
      <c r="B113" s="28" t="s">
        <v>22</v>
      </c>
      <c r="C113" s="28" t="s">
        <v>33</v>
      </c>
      <c r="D113" s="28" t="s">
        <v>9</v>
      </c>
      <c r="E113" s="28" t="s">
        <v>87</v>
      </c>
      <c r="F113" s="28" t="s">
        <v>93</v>
      </c>
      <c r="G113" s="166">
        <v>3</v>
      </c>
      <c r="H113" s="66">
        <f t="shared" si="3"/>
        <v>6</v>
      </c>
      <c r="I113" s="155">
        <v>2021</v>
      </c>
      <c r="K113" s="63"/>
      <c r="L113" s="650"/>
      <c r="M113" s="63"/>
      <c r="O113" s="650"/>
    </row>
    <row r="114" spans="1:15" ht="12.75">
      <c r="A114" s="66">
        <v>4089</v>
      </c>
      <c r="B114" s="28" t="s">
        <v>22</v>
      </c>
      <c r="C114" s="28" t="s">
        <v>30</v>
      </c>
      <c r="D114" s="28" t="s">
        <v>9</v>
      </c>
      <c r="E114" s="28" t="s">
        <v>86</v>
      </c>
      <c r="F114" s="28" t="s">
        <v>84</v>
      </c>
      <c r="G114" s="64">
        <v>8</v>
      </c>
      <c r="H114" s="66">
        <f t="shared" si="3"/>
        <v>1</v>
      </c>
      <c r="I114" s="155">
        <v>2021</v>
      </c>
      <c r="K114" s="63"/>
      <c r="L114" s="650"/>
      <c r="M114" s="63"/>
      <c r="O114" s="650"/>
    </row>
    <row r="115" spans="1:15" ht="12.75">
      <c r="A115" s="66">
        <v>4089</v>
      </c>
      <c r="B115" s="28" t="s">
        <v>22</v>
      </c>
      <c r="C115" s="28" t="s">
        <v>30</v>
      </c>
      <c r="D115" s="28" t="s">
        <v>9</v>
      </c>
      <c r="E115" s="28" t="s">
        <v>87</v>
      </c>
      <c r="F115" s="28" t="s">
        <v>91</v>
      </c>
      <c r="G115" s="166">
        <v>10</v>
      </c>
      <c r="H115" s="66">
        <f t="shared" si="3"/>
        <v>4</v>
      </c>
      <c r="I115" s="155">
        <v>2021</v>
      </c>
      <c r="K115" s="63"/>
      <c r="L115" s="650"/>
      <c r="M115" s="63"/>
      <c r="O115" s="650"/>
    </row>
    <row r="116" spans="1:15" ht="12.75">
      <c r="A116" s="66">
        <v>4091</v>
      </c>
      <c r="B116" s="28" t="s">
        <v>22</v>
      </c>
      <c r="C116" s="28" t="s">
        <v>24</v>
      </c>
      <c r="D116" s="28" t="s">
        <v>9</v>
      </c>
      <c r="E116" s="28" t="s">
        <v>87</v>
      </c>
      <c r="F116" s="28" t="s">
        <v>90</v>
      </c>
      <c r="G116" s="64">
        <v>8</v>
      </c>
      <c r="H116" s="66">
        <f t="shared" si="3"/>
        <v>3</v>
      </c>
      <c r="I116" s="155">
        <v>2021</v>
      </c>
      <c r="K116" s="63"/>
      <c r="L116" s="650"/>
      <c r="M116" s="63"/>
      <c r="O116" s="650"/>
    </row>
    <row r="117" spans="1:15" ht="12.75">
      <c r="A117" s="66">
        <v>4094</v>
      </c>
      <c r="B117" s="28" t="s">
        <v>22</v>
      </c>
      <c r="C117" s="28" t="s">
        <v>32</v>
      </c>
      <c r="D117" s="28" t="s">
        <v>36</v>
      </c>
      <c r="E117" s="28" t="s">
        <v>86</v>
      </c>
      <c r="F117" s="28" t="s">
        <v>90</v>
      </c>
      <c r="G117" s="64">
        <v>5</v>
      </c>
      <c r="H117" s="66">
        <f t="shared" si="3"/>
        <v>3</v>
      </c>
      <c r="I117" s="155">
        <v>2021</v>
      </c>
      <c r="K117" s="63"/>
      <c r="L117" s="650"/>
      <c r="M117" s="63"/>
      <c r="O117" s="650"/>
    </row>
    <row r="118" spans="1:15" ht="12.75">
      <c r="A118" s="66">
        <v>4096</v>
      </c>
      <c r="B118" s="28" t="s">
        <v>22</v>
      </c>
      <c r="C118" s="28" t="s">
        <v>30</v>
      </c>
      <c r="D118" s="28" t="s">
        <v>9</v>
      </c>
      <c r="E118" s="28" t="s">
        <v>87</v>
      </c>
      <c r="F118" s="28" t="s">
        <v>90</v>
      </c>
      <c r="G118" s="64">
        <v>5</v>
      </c>
      <c r="H118" s="66">
        <f t="shared" si="3"/>
        <v>3</v>
      </c>
      <c r="I118" s="155">
        <v>2021</v>
      </c>
      <c r="K118" s="63"/>
      <c r="L118" s="650"/>
      <c r="M118" s="63"/>
      <c r="O118" s="650"/>
    </row>
    <row r="119" spans="1:15" ht="12.75">
      <c r="A119" s="66">
        <v>4097</v>
      </c>
      <c r="B119" s="28" t="s">
        <v>22</v>
      </c>
      <c r="C119" s="28" t="s">
        <v>32</v>
      </c>
      <c r="D119" s="28" t="s">
        <v>36</v>
      </c>
      <c r="E119" s="28" t="s">
        <v>87</v>
      </c>
      <c r="F119" s="28" t="s">
        <v>84</v>
      </c>
      <c r="G119" s="64">
        <v>4</v>
      </c>
      <c r="H119" s="66">
        <f t="shared" si="3"/>
        <v>1</v>
      </c>
      <c r="I119" s="155">
        <v>2021</v>
      </c>
      <c r="K119" s="63"/>
      <c r="L119" s="650"/>
      <c r="M119" s="63"/>
      <c r="O119" s="650"/>
    </row>
    <row r="120" spans="1:15" ht="12.75">
      <c r="A120" s="66">
        <v>4100</v>
      </c>
      <c r="B120" s="28" t="s">
        <v>22</v>
      </c>
      <c r="C120" s="28" t="s">
        <v>34</v>
      </c>
      <c r="D120" s="28" t="s">
        <v>9</v>
      </c>
      <c r="E120" s="28" t="s">
        <v>88</v>
      </c>
      <c r="F120" s="28" t="s">
        <v>91</v>
      </c>
      <c r="G120" s="166">
        <v>8</v>
      </c>
      <c r="H120" s="66">
        <f t="shared" si="3"/>
        <v>4</v>
      </c>
      <c r="I120" s="155">
        <v>2021</v>
      </c>
      <c r="K120" s="63"/>
      <c r="L120" s="650"/>
      <c r="M120" s="63"/>
      <c r="O120" s="650"/>
    </row>
    <row r="121" spans="1:15" ht="12.75">
      <c r="A121" s="66">
        <v>4104</v>
      </c>
      <c r="B121" s="28" t="s">
        <v>22</v>
      </c>
      <c r="C121" s="28" t="s">
        <v>30</v>
      </c>
      <c r="D121" s="28" t="s">
        <v>9</v>
      </c>
      <c r="E121" s="28" t="s">
        <v>87</v>
      </c>
      <c r="F121" s="28" t="s">
        <v>90</v>
      </c>
      <c r="G121" s="64">
        <v>1</v>
      </c>
      <c r="H121" s="66">
        <f t="shared" si="3"/>
        <v>3</v>
      </c>
      <c r="I121" s="155">
        <v>2021</v>
      </c>
      <c r="K121" s="63"/>
      <c r="L121" s="650"/>
      <c r="M121" s="63"/>
      <c r="O121" s="650"/>
    </row>
    <row r="122" spans="1:15" ht="12.75">
      <c r="A122" s="66">
        <v>4106</v>
      </c>
      <c r="B122" s="28" t="s">
        <v>22</v>
      </c>
      <c r="C122" s="28" t="s">
        <v>24</v>
      </c>
      <c r="D122" s="28" t="s">
        <v>36</v>
      </c>
      <c r="E122" s="28" t="s">
        <v>86</v>
      </c>
      <c r="F122" s="28" t="s">
        <v>93</v>
      </c>
      <c r="G122" s="64">
        <v>12</v>
      </c>
      <c r="H122" s="66">
        <f t="shared" si="3"/>
        <v>6</v>
      </c>
      <c r="I122" s="155">
        <v>2021</v>
      </c>
      <c r="K122" s="63"/>
      <c r="L122" s="650"/>
      <c r="M122" s="63"/>
      <c r="O122" s="650"/>
    </row>
    <row r="123" spans="1:15" ht="12.75">
      <c r="A123" s="66">
        <v>4109</v>
      </c>
      <c r="B123" s="28" t="s">
        <v>22</v>
      </c>
      <c r="C123" s="28" t="s">
        <v>32</v>
      </c>
      <c r="D123" s="28" t="s">
        <v>9</v>
      </c>
      <c r="E123" s="28" t="s">
        <v>86</v>
      </c>
      <c r="F123" s="28" t="s">
        <v>84</v>
      </c>
      <c r="G123" s="64">
        <v>10</v>
      </c>
      <c r="H123" s="66">
        <f t="shared" si="3"/>
        <v>1</v>
      </c>
      <c r="I123" s="155">
        <v>2021</v>
      </c>
    </row>
    <row r="124" spans="1:15" ht="12.75">
      <c r="A124" s="66">
        <v>4115</v>
      </c>
      <c r="B124" s="28" t="s">
        <v>22</v>
      </c>
      <c r="C124" s="28" t="s">
        <v>24</v>
      </c>
      <c r="D124" s="28" t="s">
        <v>9</v>
      </c>
      <c r="E124" s="28" t="s">
        <v>88</v>
      </c>
      <c r="F124" s="28" t="s">
        <v>92</v>
      </c>
      <c r="G124" s="64">
        <v>3</v>
      </c>
      <c r="H124" s="66">
        <f t="shared" si="3"/>
        <v>5</v>
      </c>
      <c r="I124" s="155">
        <v>2021</v>
      </c>
      <c r="K124" s="649"/>
      <c r="L124" s="649"/>
      <c r="M124" s="649"/>
      <c r="N124" s="649"/>
      <c r="O124" s="649"/>
    </row>
    <row r="125" spans="1:15" ht="12.75">
      <c r="A125" s="66">
        <v>4118</v>
      </c>
      <c r="B125" s="28" t="s">
        <v>22</v>
      </c>
      <c r="C125" s="28" t="s">
        <v>29</v>
      </c>
      <c r="D125" s="28" t="s">
        <v>9</v>
      </c>
      <c r="E125" s="28" t="s">
        <v>86</v>
      </c>
      <c r="F125" s="28" t="s">
        <v>84</v>
      </c>
      <c r="G125" s="64">
        <v>5</v>
      </c>
      <c r="H125" s="66">
        <f t="shared" si="3"/>
        <v>1</v>
      </c>
      <c r="I125" s="155">
        <v>2021</v>
      </c>
      <c r="K125" s="17"/>
      <c r="L125" s="651"/>
      <c r="M125" s="17"/>
    </row>
    <row r="126" spans="1:15" ht="12.75">
      <c r="A126" s="66">
        <v>4121</v>
      </c>
      <c r="B126" s="28" t="s">
        <v>22</v>
      </c>
      <c r="C126" s="28" t="s">
        <v>31</v>
      </c>
      <c r="D126" s="28" t="s">
        <v>9</v>
      </c>
      <c r="E126" s="28" t="s">
        <v>87</v>
      </c>
      <c r="F126" s="28" t="s">
        <v>84</v>
      </c>
      <c r="G126" s="64">
        <v>12</v>
      </c>
      <c r="H126" s="66">
        <f t="shared" si="3"/>
        <v>1</v>
      </c>
      <c r="I126" s="155">
        <v>2021</v>
      </c>
      <c r="K126" s="17"/>
      <c r="L126" s="651"/>
      <c r="M126" s="17"/>
    </row>
    <row r="127" spans="1:15" ht="12.75">
      <c r="A127" s="66">
        <v>5001</v>
      </c>
      <c r="B127" s="28" t="s">
        <v>37</v>
      </c>
      <c r="C127" s="28" t="s">
        <v>38</v>
      </c>
      <c r="D127" s="28" t="s">
        <v>16</v>
      </c>
      <c r="E127" s="28" t="s">
        <v>86</v>
      </c>
      <c r="F127" s="28" t="s">
        <v>92</v>
      </c>
      <c r="G127" s="64">
        <v>9</v>
      </c>
      <c r="H127" s="66">
        <f t="shared" si="3"/>
        <v>5</v>
      </c>
      <c r="I127" s="155">
        <v>2021</v>
      </c>
      <c r="K127" s="17"/>
      <c r="L127" s="651"/>
      <c r="M127" s="17"/>
    </row>
    <row r="128" spans="1:15" ht="12.75">
      <c r="A128" s="66">
        <v>5002</v>
      </c>
      <c r="B128" s="28" t="s">
        <v>37</v>
      </c>
      <c r="C128" s="28" t="s">
        <v>39</v>
      </c>
      <c r="D128" s="28" t="s">
        <v>9</v>
      </c>
      <c r="E128" s="28" t="s">
        <v>87</v>
      </c>
      <c r="F128" s="28" t="s">
        <v>92</v>
      </c>
      <c r="G128" s="166">
        <v>3</v>
      </c>
      <c r="H128" s="66">
        <f t="shared" si="3"/>
        <v>5</v>
      </c>
      <c r="I128" s="155">
        <v>2021</v>
      </c>
      <c r="K128" s="17"/>
      <c r="L128" s="651"/>
      <c r="M128" s="17"/>
    </row>
    <row r="129" spans="1:13" ht="12.75">
      <c r="A129" s="66">
        <v>5005</v>
      </c>
      <c r="B129" s="28" t="s">
        <v>37</v>
      </c>
      <c r="C129" s="28" t="s">
        <v>39</v>
      </c>
      <c r="D129" s="28" t="s">
        <v>16</v>
      </c>
      <c r="E129" s="28" t="s">
        <v>86</v>
      </c>
      <c r="F129" s="28" t="s">
        <v>84</v>
      </c>
      <c r="G129" s="64">
        <v>10</v>
      </c>
      <c r="H129" s="66">
        <f t="shared" si="3"/>
        <v>1</v>
      </c>
      <c r="I129" s="155">
        <v>2021</v>
      </c>
      <c r="K129" s="17"/>
      <c r="L129" s="651"/>
      <c r="M129" s="17"/>
    </row>
    <row r="130" spans="1:13" ht="12.75">
      <c r="A130" s="66">
        <v>5005</v>
      </c>
      <c r="B130" s="28" t="s">
        <v>37</v>
      </c>
      <c r="C130" s="28" t="s">
        <v>39</v>
      </c>
      <c r="D130" s="28" t="s">
        <v>16</v>
      </c>
      <c r="E130" s="28" t="s">
        <v>87</v>
      </c>
      <c r="F130" s="28" t="s">
        <v>84</v>
      </c>
      <c r="G130" s="64">
        <v>6</v>
      </c>
      <c r="H130" s="66">
        <f t="shared" ref="H130:H144" si="4">MONTH(DATEVALUE(F130&amp;"1"))</f>
        <v>1</v>
      </c>
      <c r="I130" s="155">
        <v>2021</v>
      </c>
      <c r="K130" s="17"/>
      <c r="L130" s="651"/>
      <c r="M130" s="17"/>
    </row>
    <row r="131" spans="1:13" ht="12.75">
      <c r="A131" s="66">
        <v>5005</v>
      </c>
      <c r="B131" s="28" t="s">
        <v>37</v>
      </c>
      <c r="C131" s="28" t="s">
        <v>39</v>
      </c>
      <c r="D131" s="28" t="s">
        <v>16</v>
      </c>
      <c r="E131" s="28" t="s">
        <v>87</v>
      </c>
      <c r="F131" s="28" t="s">
        <v>90</v>
      </c>
      <c r="G131" s="64">
        <v>2</v>
      </c>
      <c r="H131" s="66">
        <f t="shared" si="4"/>
        <v>3</v>
      </c>
      <c r="I131" s="155">
        <v>2021</v>
      </c>
      <c r="K131" s="17"/>
      <c r="L131" s="651"/>
      <c r="M131" s="17"/>
    </row>
    <row r="132" spans="1:13" ht="12.75">
      <c r="A132" s="66">
        <v>5008</v>
      </c>
      <c r="B132" s="28" t="s">
        <v>37</v>
      </c>
      <c r="C132" s="28" t="s">
        <v>39</v>
      </c>
      <c r="D132" s="28" t="s">
        <v>9</v>
      </c>
      <c r="E132" s="28" t="s">
        <v>86</v>
      </c>
      <c r="F132" s="28" t="s">
        <v>92</v>
      </c>
      <c r="G132" s="64">
        <v>5</v>
      </c>
      <c r="H132" s="66">
        <f t="shared" si="4"/>
        <v>5</v>
      </c>
      <c r="I132" s="155">
        <v>2021</v>
      </c>
      <c r="K132" s="17"/>
      <c r="L132" s="651"/>
      <c r="M132" s="17"/>
    </row>
    <row r="133" spans="1:13" ht="12.75">
      <c r="A133" s="66">
        <v>5012</v>
      </c>
      <c r="B133" s="28" t="s">
        <v>37</v>
      </c>
      <c r="C133" s="28" t="s">
        <v>39</v>
      </c>
      <c r="D133" s="28" t="s">
        <v>9</v>
      </c>
      <c r="E133" s="28" t="s">
        <v>87</v>
      </c>
      <c r="F133" s="28" t="s">
        <v>89</v>
      </c>
      <c r="G133" s="64">
        <v>5</v>
      </c>
      <c r="H133" s="66">
        <f t="shared" si="4"/>
        <v>2</v>
      </c>
      <c r="I133" s="155">
        <v>2021</v>
      </c>
      <c r="K133" s="17"/>
      <c r="L133" s="651"/>
      <c r="M133" s="17"/>
    </row>
    <row r="134" spans="1:13" ht="12.75">
      <c r="A134" s="66">
        <v>5014</v>
      </c>
      <c r="B134" s="28" t="s">
        <v>37</v>
      </c>
      <c r="C134" s="28" t="s">
        <v>39</v>
      </c>
      <c r="D134" s="28" t="s">
        <v>9</v>
      </c>
      <c r="E134" s="28" t="s">
        <v>87</v>
      </c>
      <c r="F134" s="28" t="s">
        <v>84</v>
      </c>
      <c r="G134" s="64">
        <v>10</v>
      </c>
      <c r="H134" s="66">
        <f t="shared" si="4"/>
        <v>1</v>
      </c>
      <c r="I134" s="155">
        <v>2021</v>
      </c>
    </row>
    <row r="135" spans="1:13" ht="12.75">
      <c r="A135" s="66">
        <v>5016</v>
      </c>
      <c r="B135" s="28" t="s">
        <v>37</v>
      </c>
      <c r="C135" s="28" t="s">
        <v>38</v>
      </c>
      <c r="D135" s="28" t="s">
        <v>9</v>
      </c>
      <c r="E135" s="28" t="s">
        <v>86</v>
      </c>
      <c r="F135" s="28" t="s">
        <v>93</v>
      </c>
      <c r="G135" s="64">
        <v>10</v>
      </c>
      <c r="H135" s="66">
        <f t="shared" si="4"/>
        <v>6</v>
      </c>
      <c r="I135" s="155">
        <v>2021</v>
      </c>
    </row>
    <row r="136" spans="1:13" ht="12.75">
      <c r="A136" s="66">
        <v>5016</v>
      </c>
      <c r="B136" s="28" t="s">
        <v>37</v>
      </c>
      <c r="C136" s="28" t="s">
        <v>38</v>
      </c>
      <c r="D136" s="28" t="s">
        <v>9</v>
      </c>
      <c r="E136" s="28" t="s">
        <v>88</v>
      </c>
      <c r="F136" s="28" t="s">
        <v>92</v>
      </c>
      <c r="G136" s="64">
        <v>3</v>
      </c>
      <c r="H136" s="66">
        <f t="shared" si="4"/>
        <v>5</v>
      </c>
      <c r="I136" s="155">
        <v>2021</v>
      </c>
    </row>
    <row r="137" spans="1:13" ht="12.75">
      <c r="A137" s="66">
        <v>5017</v>
      </c>
      <c r="B137" s="28" t="s">
        <v>37</v>
      </c>
      <c r="C137" s="28" t="s">
        <v>39</v>
      </c>
      <c r="D137" s="28" t="s">
        <v>9</v>
      </c>
      <c r="E137" s="28" t="s">
        <v>86</v>
      </c>
      <c r="F137" s="28" t="s">
        <v>92</v>
      </c>
      <c r="G137" s="64">
        <v>7</v>
      </c>
      <c r="H137" s="66">
        <f t="shared" si="4"/>
        <v>5</v>
      </c>
      <c r="I137" s="155">
        <v>2021</v>
      </c>
    </row>
    <row r="138" spans="1:13" ht="12.75">
      <c r="A138" s="66">
        <v>5020</v>
      </c>
      <c r="B138" s="28" t="s">
        <v>37</v>
      </c>
      <c r="C138" s="28" t="s">
        <v>38</v>
      </c>
      <c r="D138" s="28" t="s">
        <v>9</v>
      </c>
      <c r="E138" s="28" t="s">
        <v>87</v>
      </c>
      <c r="F138" s="28" t="s">
        <v>92</v>
      </c>
      <c r="G138" s="166">
        <v>5</v>
      </c>
      <c r="H138" s="66">
        <f t="shared" si="4"/>
        <v>5</v>
      </c>
      <c r="I138" s="155">
        <v>2021</v>
      </c>
    </row>
    <row r="139" spans="1:13" ht="12.75">
      <c r="A139" s="66">
        <v>5021</v>
      </c>
      <c r="B139" s="28" t="s">
        <v>37</v>
      </c>
      <c r="C139" s="28" t="s">
        <v>39</v>
      </c>
      <c r="D139" s="28" t="s">
        <v>9</v>
      </c>
      <c r="E139" s="28" t="s">
        <v>87</v>
      </c>
      <c r="F139" s="28" t="s">
        <v>89</v>
      </c>
      <c r="G139" s="64">
        <v>5</v>
      </c>
      <c r="H139" s="66">
        <f t="shared" si="4"/>
        <v>2</v>
      </c>
      <c r="I139" s="155">
        <v>2021</v>
      </c>
    </row>
    <row r="140" spans="1:13" ht="12.75">
      <c r="A140" s="66">
        <v>5023</v>
      </c>
      <c r="B140" s="28" t="s">
        <v>37</v>
      </c>
      <c r="C140" s="28" t="s">
        <v>38</v>
      </c>
      <c r="D140" s="28" t="s">
        <v>9</v>
      </c>
      <c r="E140" s="28" t="s">
        <v>87</v>
      </c>
      <c r="F140" s="28" t="s">
        <v>92</v>
      </c>
      <c r="G140" s="166">
        <v>9</v>
      </c>
      <c r="H140" s="66">
        <f t="shared" si="4"/>
        <v>5</v>
      </c>
      <c r="I140" s="155">
        <v>2021</v>
      </c>
    </row>
    <row r="141" spans="1:13" ht="12.75">
      <c r="A141" s="66">
        <v>5024</v>
      </c>
      <c r="B141" s="28" t="s">
        <v>37</v>
      </c>
      <c r="C141" s="28" t="s">
        <v>38</v>
      </c>
      <c r="D141" s="28" t="s">
        <v>17</v>
      </c>
      <c r="E141" s="28" t="s">
        <v>86</v>
      </c>
      <c r="F141" s="28" t="s">
        <v>93</v>
      </c>
      <c r="G141" s="64">
        <v>6</v>
      </c>
      <c r="H141" s="66">
        <f t="shared" si="4"/>
        <v>6</v>
      </c>
      <c r="I141" s="155">
        <v>2021</v>
      </c>
    </row>
    <row r="142" spans="1:13" ht="12.75">
      <c r="A142" s="66">
        <v>5026</v>
      </c>
      <c r="B142" s="28" t="s">
        <v>37</v>
      </c>
      <c r="C142" s="28" t="s">
        <v>39</v>
      </c>
      <c r="D142" s="28" t="s">
        <v>17</v>
      </c>
      <c r="E142" s="28" t="s">
        <v>87</v>
      </c>
      <c r="F142" s="28" t="s">
        <v>92</v>
      </c>
      <c r="G142" s="166">
        <v>7</v>
      </c>
      <c r="H142" s="66">
        <f t="shared" si="4"/>
        <v>5</v>
      </c>
      <c r="I142" s="155">
        <v>2021</v>
      </c>
    </row>
    <row r="143" spans="1:13" ht="12.75">
      <c r="A143" s="66">
        <v>5027</v>
      </c>
      <c r="B143" s="28" t="s">
        <v>37</v>
      </c>
      <c r="C143" s="28" t="s">
        <v>39</v>
      </c>
      <c r="D143" s="28" t="s">
        <v>17</v>
      </c>
      <c r="E143" s="28" t="s">
        <v>86</v>
      </c>
      <c r="F143" s="28" t="s">
        <v>93</v>
      </c>
      <c r="G143" s="64">
        <v>8</v>
      </c>
      <c r="H143" s="66">
        <f t="shared" si="4"/>
        <v>6</v>
      </c>
      <c r="I143" s="155">
        <v>2021</v>
      </c>
    </row>
    <row r="144" spans="1:13" ht="12.75">
      <c r="A144" s="206">
        <v>5028</v>
      </c>
      <c r="B144" s="207" t="s">
        <v>37</v>
      </c>
      <c r="C144" s="207" t="s">
        <v>38</v>
      </c>
      <c r="D144" s="207" t="s">
        <v>17</v>
      </c>
      <c r="E144" s="207" t="s">
        <v>85</v>
      </c>
      <c r="F144" s="207" t="s">
        <v>84</v>
      </c>
      <c r="G144" s="665">
        <v>16</v>
      </c>
      <c r="H144" s="206">
        <f t="shared" si="4"/>
        <v>1</v>
      </c>
      <c r="I144" s="156">
        <v>2021</v>
      </c>
    </row>
    <row r="145" spans="1:9" ht="15.75" customHeight="1">
      <c r="A145" s="63"/>
      <c r="B145" s="63"/>
      <c r="C145" s="63"/>
      <c r="D145" s="63"/>
      <c r="E145" s="63"/>
      <c r="F145" s="63"/>
      <c r="G145" s="63"/>
      <c r="H145" s="63"/>
      <c r="I145" s="63"/>
    </row>
  </sheetData>
  <autoFilter ref="A1:I144" xr:uid="{00000000-0001-0000-0300-000000000000}">
    <sortState xmlns:xlrd2="http://schemas.microsoft.com/office/spreadsheetml/2017/richdata2" ref="A2:I144">
      <sortCondition ref="A1:A144"/>
    </sortState>
  </autoFilter>
  <mergeCells count="3">
    <mergeCell ref="K103:L103"/>
    <mergeCell ref="K62:M62"/>
    <mergeCell ref="O62:Q62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outlinePr summaryBelow="0" summaryRight="0"/>
  </sheetPr>
  <dimension ref="A1:T49"/>
  <sheetViews>
    <sheetView workbookViewId="0"/>
  </sheetViews>
  <sheetFormatPr defaultColWidth="12.5703125" defaultRowHeight="15.75" customHeight="1"/>
  <cols>
    <col min="1" max="1" width="17" bestFit="1" customWidth="1"/>
    <col min="2" max="2" width="19.42578125" bestFit="1" customWidth="1"/>
    <col min="3" max="6" width="18.28515625" bestFit="1" customWidth="1"/>
    <col min="7" max="7" width="20.140625" bestFit="1" customWidth="1"/>
    <col min="8" max="8" width="20.42578125" bestFit="1" customWidth="1"/>
    <col min="9" max="9" width="41.5703125" bestFit="1" customWidth="1"/>
    <col min="10" max="10" width="32.7109375" bestFit="1" customWidth="1"/>
    <col min="11" max="11" width="29.28515625" bestFit="1" customWidth="1"/>
    <col min="12" max="12" width="43.5703125" bestFit="1" customWidth="1"/>
    <col min="13" max="13" width="28" bestFit="1" customWidth="1"/>
    <col min="14" max="14" width="21.28515625" customWidth="1"/>
    <col min="15" max="15" width="29.7109375" bestFit="1" customWidth="1"/>
    <col min="16" max="16" width="42" bestFit="1" customWidth="1"/>
    <col min="17" max="17" width="20.85546875" bestFit="1" customWidth="1"/>
    <col min="18" max="18" width="33.85546875" bestFit="1" customWidth="1"/>
    <col min="19" max="19" width="24.28515625" bestFit="1" customWidth="1"/>
    <col min="20" max="20" width="18.28515625" bestFit="1" customWidth="1"/>
  </cols>
  <sheetData>
    <row r="1" spans="1:20" ht="15.75" customHeight="1">
      <c r="A1" s="20" t="s">
        <v>0</v>
      </c>
      <c r="B1" s="21" t="s">
        <v>40</v>
      </c>
      <c r="C1" s="21" t="s">
        <v>46</v>
      </c>
      <c r="D1" s="21" t="s">
        <v>47</v>
      </c>
      <c r="E1" s="21" t="s">
        <v>48</v>
      </c>
      <c r="F1" s="21" t="s">
        <v>49</v>
      </c>
      <c r="G1" s="21" t="s">
        <v>50</v>
      </c>
      <c r="H1" s="21" t="s">
        <v>52</v>
      </c>
      <c r="I1" s="21" t="s">
        <v>53</v>
      </c>
      <c r="J1" s="21" t="s">
        <v>54</v>
      </c>
      <c r="K1" s="21" t="s">
        <v>55</v>
      </c>
      <c r="L1" s="21" t="s">
        <v>56</v>
      </c>
      <c r="M1" s="21" t="s">
        <v>57</v>
      </c>
      <c r="N1" s="21" t="s">
        <v>58</v>
      </c>
      <c r="O1" s="21" t="s">
        <v>59</v>
      </c>
      <c r="P1" s="21" t="s">
        <v>60</v>
      </c>
      <c r="Q1" s="21" t="s">
        <v>61</v>
      </c>
      <c r="R1" s="21" t="s">
        <v>62</v>
      </c>
      <c r="S1" s="21" t="s">
        <v>63</v>
      </c>
      <c r="T1" s="22" t="s">
        <v>64</v>
      </c>
    </row>
    <row r="2" spans="1:20" ht="15.75" customHeight="1">
      <c r="A2" s="12">
        <v>1006</v>
      </c>
      <c r="B2" s="1" t="s">
        <v>41</v>
      </c>
      <c r="C2" s="1" t="s">
        <v>42</v>
      </c>
      <c r="D2" s="1" t="s">
        <v>42</v>
      </c>
      <c r="E2" s="1" t="s">
        <v>41</v>
      </c>
      <c r="F2" s="1" t="s">
        <v>41</v>
      </c>
      <c r="G2" s="1" t="s">
        <v>42</v>
      </c>
      <c r="H2" s="1" t="s">
        <v>42</v>
      </c>
      <c r="I2" s="1" t="s">
        <v>42</v>
      </c>
      <c r="J2" s="1" t="s">
        <v>45</v>
      </c>
      <c r="K2" s="1" t="s">
        <v>42</v>
      </c>
      <c r="L2" s="1" t="s">
        <v>42</v>
      </c>
      <c r="M2" s="1" t="s">
        <v>42</v>
      </c>
      <c r="N2" s="1" t="s">
        <v>45</v>
      </c>
      <c r="O2" s="1" t="s">
        <v>42</v>
      </c>
      <c r="P2" s="1" t="s">
        <v>42</v>
      </c>
      <c r="Q2" s="1" t="s">
        <v>42</v>
      </c>
      <c r="R2" s="1" t="s">
        <v>42</v>
      </c>
      <c r="S2" s="1" t="s">
        <v>41</v>
      </c>
      <c r="T2" s="13" t="s">
        <v>42</v>
      </c>
    </row>
    <row r="3" spans="1:20" ht="15.75" customHeight="1">
      <c r="A3" s="12">
        <v>1012</v>
      </c>
      <c r="B3" s="1" t="s">
        <v>42</v>
      </c>
      <c r="C3" s="1" t="s">
        <v>42</v>
      </c>
      <c r="D3" s="1" t="s">
        <v>42</v>
      </c>
      <c r="E3" s="1" t="s">
        <v>41</v>
      </c>
      <c r="F3" s="1" t="s">
        <v>41</v>
      </c>
      <c r="G3" s="1" t="s">
        <v>41</v>
      </c>
      <c r="H3" s="1" t="s">
        <v>43</v>
      </c>
      <c r="I3" s="1" t="s">
        <v>42</v>
      </c>
      <c r="J3" s="1" t="s">
        <v>42</v>
      </c>
      <c r="K3" s="1" t="s">
        <v>42</v>
      </c>
      <c r="L3" s="1" t="s">
        <v>45</v>
      </c>
      <c r="M3" s="1" t="s">
        <v>42</v>
      </c>
      <c r="N3" s="1" t="s">
        <v>42</v>
      </c>
      <c r="O3" s="1" t="s">
        <v>41</v>
      </c>
      <c r="P3" s="1" t="s">
        <v>45</v>
      </c>
      <c r="Q3" s="1" t="s">
        <v>42</v>
      </c>
      <c r="R3" s="1" t="s">
        <v>42</v>
      </c>
      <c r="S3" s="1" t="s">
        <v>42</v>
      </c>
      <c r="T3" s="13" t="s">
        <v>43</v>
      </c>
    </row>
    <row r="4" spans="1:20" ht="15.75" customHeight="1">
      <c r="A4" s="12">
        <v>2004</v>
      </c>
      <c r="B4" s="1" t="s">
        <v>43</v>
      </c>
      <c r="C4" s="1" t="s">
        <v>45</v>
      </c>
      <c r="D4" s="1" t="s">
        <v>42</v>
      </c>
      <c r="E4" s="1" t="s">
        <v>42</v>
      </c>
      <c r="F4" s="1" t="s">
        <v>42</v>
      </c>
      <c r="G4" s="1" t="s">
        <v>51</v>
      </c>
      <c r="H4" s="1" t="s">
        <v>41</v>
      </c>
      <c r="I4" s="1" t="s">
        <v>42</v>
      </c>
      <c r="J4" s="1" t="s">
        <v>45</v>
      </c>
      <c r="K4" s="1" t="s">
        <v>42</v>
      </c>
      <c r="L4" s="1" t="s">
        <v>45</v>
      </c>
      <c r="M4" s="1" t="s">
        <v>42</v>
      </c>
      <c r="N4" s="1" t="s">
        <v>42</v>
      </c>
      <c r="O4" s="1" t="s">
        <v>42</v>
      </c>
      <c r="P4" s="1" t="s">
        <v>42</v>
      </c>
      <c r="Q4" s="1" t="s">
        <v>42</v>
      </c>
      <c r="R4" s="1" t="s">
        <v>45</v>
      </c>
      <c r="S4" s="1" t="s">
        <v>42</v>
      </c>
      <c r="T4" s="13" t="s">
        <v>51</v>
      </c>
    </row>
    <row r="5" spans="1:20" ht="15.75" customHeight="1">
      <c r="A5" s="12">
        <v>3001</v>
      </c>
      <c r="B5" s="1" t="s">
        <v>42</v>
      </c>
      <c r="C5" s="1" t="s">
        <v>45</v>
      </c>
      <c r="D5" s="1" t="s">
        <v>42</v>
      </c>
      <c r="E5" s="1" t="s">
        <v>42</v>
      </c>
      <c r="F5" s="1" t="s">
        <v>41</v>
      </c>
      <c r="G5" s="1" t="s">
        <v>41</v>
      </c>
      <c r="H5" s="1" t="s">
        <v>42</v>
      </c>
      <c r="I5" s="1" t="s">
        <v>42</v>
      </c>
      <c r="J5" s="1" t="s">
        <v>45</v>
      </c>
      <c r="K5" s="1" t="s">
        <v>42</v>
      </c>
      <c r="L5" s="1" t="s">
        <v>42</v>
      </c>
      <c r="M5" s="1" t="s">
        <v>42</v>
      </c>
      <c r="N5" s="1" t="s">
        <v>45</v>
      </c>
      <c r="O5" s="1" t="s">
        <v>43</v>
      </c>
      <c r="P5" s="1" t="s">
        <v>41</v>
      </c>
      <c r="Q5" s="1" t="s">
        <v>42</v>
      </c>
      <c r="R5" s="1" t="s">
        <v>42</v>
      </c>
      <c r="S5" s="1" t="s">
        <v>45</v>
      </c>
      <c r="T5" s="13" t="s">
        <v>42</v>
      </c>
    </row>
    <row r="6" spans="1:20" ht="15.75" customHeight="1">
      <c r="A6" s="12">
        <v>4034</v>
      </c>
      <c r="B6" s="1" t="s">
        <v>41</v>
      </c>
      <c r="C6" s="1" t="s">
        <v>41</v>
      </c>
      <c r="D6" s="1" t="s">
        <v>42</v>
      </c>
      <c r="E6" s="1" t="s">
        <v>41</v>
      </c>
      <c r="F6" s="1" t="s">
        <v>41</v>
      </c>
      <c r="G6" s="1" t="s">
        <v>43</v>
      </c>
      <c r="H6" s="1" t="s">
        <v>42</v>
      </c>
      <c r="I6" s="1" t="s">
        <v>45</v>
      </c>
      <c r="J6" s="1" t="s">
        <v>42</v>
      </c>
      <c r="K6" s="1" t="s">
        <v>42</v>
      </c>
      <c r="L6" s="1" t="s">
        <v>41</v>
      </c>
      <c r="M6" s="1" t="s">
        <v>42</v>
      </c>
      <c r="N6" s="1" t="s">
        <v>42</v>
      </c>
      <c r="O6" s="1" t="s">
        <v>42</v>
      </c>
      <c r="P6" s="1" t="s">
        <v>42</v>
      </c>
      <c r="Q6" s="1" t="s">
        <v>41</v>
      </c>
      <c r="R6" s="1" t="s">
        <v>41</v>
      </c>
      <c r="S6" s="1" t="s">
        <v>43</v>
      </c>
      <c r="T6" s="13" t="s">
        <v>42</v>
      </c>
    </row>
    <row r="7" spans="1:20" ht="15.75" customHeight="1">
      <c r="A7" s="12">
        <v>4051</v>
      </c>
      <c r="B7" s="1" t="s">
        <v>42</v>
      </c>
      <c r="C7" s="1" t="s">
        <v>42</v>
      </c>
      <c r="D7" s="1" t="s">
        <v>41</v>
      </c>
      <c r="E7" s="1" t="s">
        <v>41</v>
      </c>
      <c r="F7" s="1" t="s">
        <v>42</v>
      </c>
      <c r="G7" s="1" t="s">
        <v>41</v>
      </c>
      <c r="H7" s="1" t="s">
        <v>41</v>
      </c>
      <c r="I7" s="1" t="s">
        <v>42</v>
      </c>
      <c r="J7" s="1" t="s">
        <v>45</v>
      </c>
      <c r="K7" s="1" t="s">
        <v>42</v>
      </c>
      <c r="L7" s="1" t="s">
        <v>42</v>
      </c>
      <c r="M7" s="1" t="s">
        <v>41</v>
      </c>
      <c r="N7" s="1" t="s">
        <v>42</v>
      </c>
      <c r="O7" s="1" t="s">
        <v>42</v>
      </c>
      <c r="P7" s="1" t="s">
        <v>45</v>
      </c>
      <c r="Q7" s="1" t="s">
        <v>42</v>
      </c>
      <c r="R7" s="1" t="s">
        <v>41</v>
      </c>
      <c r="S7" s="1" t="s">
        <v>41</v>
      </c>
      <c r="T7" s="13" t="s">
        <v>43</v>
      </c>
    </row>
    <row r="8" spans="1:20" ht="15.75" customHeight="1">
      <c r="A8" s="12">
        <v>4063</v>
      </c>
      <c r="B8" s="1" t="s">
        <v>43</v>
      </c>
      <c r="C8" s="1" t="s">
        <v>41</v>
      </c>
      <c r="D8" s="1" t="s">
        <v>41</v>
      </c>
      <c r="E8" s="1" t="s">
        <v>42</v>
      </c>
      <c r="F8" s="1" t="s">
        <v>42</v>
      </c>
      <c r="G8" s="1" t="s">
        <v>51</v>
      </c>
      <c r="H8" s="1" t="s">
        <v>41</v>
      </c>
      <c r="I8" s="1" t="s">
        <v>42</v>
      </c>
      <c r="J8" s="1" t="s">
        <v>42</v>
      </c>
      <c r="K8" s="1" t="s">
        <v>45</v>
      </c>
      <c r="L8" s="1" t="s">
        <v>42</v>
      </c>
      <c r="M8" s="1" t="s">
        <v>42</v>
      </c>
      <c r="N8" s="1" t="s">
        <v>41</v>
      </c>
      <c r="O8" s="1" t="s">
        <v>45</v>
      </c>
      <c r="P8" s="1" t="s">
        <v>45</v>
      </c>
      <c r="Q8" s="1" t="s">
        <v>41</v>
      </c>
      <c r="R8" s="1" t="s">
        <v>42</v>
      </c>
      <c r="S8" s="1" t="s">
        <v>41</v>
      </c>
      <c r="T8" s="13" t="s">
        <v>41</v>
      </c>
    </row>
    <row r="9" spans="1:20" ht="15.75" customHeight="1">
      <c r="A9" s="12">
        <v>4065</v>
      </c>
      <c r="B9" s="1" t="s">
        <v>44</v>
      </c>
      <c r="C9" s="1" t="s">
        <v>44</v>
      </c>
      <c r="D9" s="1" t="s">
        <v>44</v>
      </c>
      <c r="E9" s="1" t="s">
        <v>44</v>
      </c>
      <c r="F9" s="1" t="s">
        <v>44</v>
      </c>
      <c r="G9" s="1" t="s">
        <v>44</v>
      </c>
      <c r="H9" s="1" t="s">
        <v>44</v>
      </c>
      <c r="I9" s="1" t="s">
        <v>44</v>
      </c>
      <c r="J9" s="1" t="s">
        <v>44</v>
      </c>
      <c r="K9" s="1" t="s">
        <v>44</v>
      </c>
      <c r="L9" s="1" t="s">
        <v>44</v>
      </c>
      <c r="M9" s="1" t="s">
        <v>44</v>
      </c>
      <c r="N9" s="1" t="s">
        <v>44</v>
      </c>
      <c r="O9" s="1" t="s">
        <v>44</v>
      </c>
      <c r="P9" s="1" t="s">
        <v>44</v>
      </c>
      <c r="Q9" s="1" t="s">
        <v>44</v>
      </c>
      <c r="R9" s="1" t="s">
        <v>44</v>
      </c>
      <c r="S9" s="1" t="s">
        <v>44</v>
      </c>
      <c r="T9" s="13" t="s">
        <v>44</v>
      </c>
    </row>
    <row r="10" spans="1:20" ht="15.75" customHeight="1">
      <c r="A10" s="12">
        <v>4087</v>
      </c>
      <c r="B10" s="1" t="s">
        <v>41</v>
      </c>
      <c r="C10" s="1" t="s">
        <v>41</v>
      </c>
      <c r="D10" s="1" t="s">
        <v>41</v>
      </c>
      <c r="E10" s="1" t="s">
        <v>42</v>
      </c>
      <c r="F10" s="1" t="s">
        <v>42</v>
      </c>
      <c r="G10" s="1" t="s">
        <v>42</v>
      </c>
      <c r="H10" s="1" t="s">
        <v>42</v>
      </c>
      <c r="I10" s="1" t="s">
        <v>42</v>
      </c>
      <c r="J10" s="1" t="s">
        <v>42</v>
      </c>
      <c r="K10" s="1" t="s">
        <v>42</v>
      </c>
      <c r="L10" s="1" t="s">
        <v>42</v>
      </c>
      <c r="M10" s="1" t="s">
        <v>42</v>
      </c>
      <c r="N10" s="1" t="s">
        <v>42</v>
      </c>
      <c r="O10" s="1" t="s">
        <v>42</v>
      </c>
      <c r="P10" s="1" t="s">
        <v>45</v>
      </c>
      <c r="Q10" s="1" t="s">
        <v>42</v>
      </c>
      <c r="R10" s="1" t="s">
        <v>42</v>
      </c>
      <c r="S10" s="1" t="s">
        <v>41</v>
      </c>
      <c r="T10" s="13" t="s">
        <v>42</v>
      </c>
    </row>
    <row r="11" spans="1:20" ht="15.75" customHeight="1">
      <c r="A11" s="12">
        <v>4103</v>
      </c>
      <c r="B11" s="1" t="s">
        <v>41</v>
      </c>
      <c r="C11" s="1" t="s">
        <v>42</v>
      </c>
      <c r="D11" s="1" t="s">
        <v>41</v>
      </c>
      <c r="E11" s="1" t="s">
        <v>42</v>
      </c>
      <c r="F11" s="1" t="s">
        <v>42</v>
      </c>
      <c r="G11" s="1" t="s">
        <v>43</v>
      </c>
      <c r="H11" s="1" t="s">
        <v>42</v>
      </c>
      <c r="I11" s="1" t="s">
        <v>45</v>
      </c>
      <c r="J11" s="1" t="s">
        <v>42</v>
      </c>
      <c r="K11" s="1" t="s">
        <v>42</v>
      </c>
      <c r="L11" s="1" t="s">
        <v>45</v>
      </c>
      <c r="M11" s="1" t="s">
        <v>42</v>
      </c>
      <c r="N11" s="1" t="s">
        <v>42</v>
      </c>
      <c r="O11" s="1" t="s">
        <v>41</v>
      </c>
      <c r="P11" s="1" t="s">
        <v>42</v>
      </c>
      <c r="Q11" s="1" t="s">
        <v>41</v>
      </c>
      <c r="R11" s="1" t="s">
        <v>42</v>
      </c>
      <c r="S11" s="1" t="s">
        <v>41</v>
      </c>
      <c r="T11" s="13" t="s">
        <v>42</v>
      </c>
    </row>
    <row r="12" spans="1:20" ht="15.75" customHeight="1">
      <c r="A12" s="12">
        <v>4109</v>
      </c>
      <c r="B12" s="1" t="s">
        <v>42</v>
      </c>
      <c r="C12" s="1" t="s">
        <v>42</v>
      </c>
      <c r="D12" s="1" t="s">
        <v>41</v>
      </c>
      <c r="E12" s="1" t="s">
        <v>42</v>
      </c>
      <c r="F12" s="1" t="s">
        <v>42</v>
      </c>
      <c r="G12" s="1" t="s">
        <v>42</v>
      </c>
      <c r="H12" s="1" t="s">
        <v>42</v>
      </c>
      <c r="I12" s="1" t="s">
        <v>42</v>
      </c>
      <c r="J12" s="1" t="s">
        <v>42</v>
      </c>
      <c r="K12" s="1" t="s">
        <v>42</v>
      </c>
      <c r="L12" s="1" t="s">
        <v>45</v>
      </c>
      <c r="M12" s="1" t="s">
        <v>42</v>
      </c>
      <c r="N12" s="1" t="s">
        <v>42</v>
      </c>
      <c r="O12" s="1" t="s">
        <v>42</v>
      </c>
      <c r="P12" s="1" t="s">
        <v>45</v>
      </c>
      <c r="Q12" s="1" t="s">
        <v>41</v>
      </c>
      <c r="R12" s="1" t="s">
        <v>41</v>
      </c>
      <c r="S12" s="1" t="s">
        <v>42</v>
      </c>
      <c r="T12" s="13" t="s">
        <v>41</v>
      </c>
    </row>
    <row r="13" spans="1:20" ht="15.75" customHeight="1">
      <c r="A13" s="12">
        <v>4113</v>
      </c>
      <c r="B13" s="1" t="s">
        <v>41</v>
      </c>
      <c r="C13" s="1" t="s">
        <v>41</v>
      </c>
      <c r="D13" s="1" t="s">
        <v>42</v>
      </c>
      <c r="E13" s="1" t="s">
        <v>42</v>
      </c>
      <c r="F13" s="1" t="s">
        <v>42</v>
      </c>
      <c r="G13" s="1" t="s">
        <v>42</v>
      </c>
      <c r="H13" s="1" t="s">
        <v>42</v>
      </c>
      <c r="I13" s="1" t="s">
        <v>42</v>
      </c>
      <c r="J13" s="1" t="s">
        <v>45</v>
      </c>
      <c r="K13" s="1" t="s">
        <v>45</v>
      </c>
      <c r="L13" s="1" t="s">
        <v>42</v>
      </c>
      <c r="M13" s="1" t="s">
        <v>42</v>
      </c>
      <c r="N13" s="1" t="s">
        <v>41</v>
      </c>
      <c r="O13" s="1" t="s">
        <v>42</v>
      </c>
      <c r="P13" s="1" t="s">
        <v>42</v>
      </c>
      <c r="Q13" s="1" t="s">
        <v>42</v>
      </c>
      <c r="R13" s="1" t="s">
        <v>42</v>
      </c>
      <c r="S13" s="1" t="s">
        <v>41</v>
      </c>
      <c r="T13" s="13" t="s">
        <v>41</v>
      </c>
    </row>
    <row r="14" spans="1:20" ht="15.75" customHeight="1">
      <c r="A14" s="12">
        <v>5003</v>
      </c>
      <c r="B14" s="1" t="s">
        <v>42</v>
      </c>
      <c r="C14" s="1" t="s">
        <v>41</v>
      </c>
      <c r="D14" s="1" t="s">
        <v>41</v>
      </c>
      <c r="E14" s="1" t="s">
        <v>42</v>
      </c>
      <c r="F14" s="1" t="s">
        <v>42</v>
      </c>
      <c r="G14" s="1" t="s">
        <v>42</v>
      </c>
      <c r="H14" s="1" t="s">
        <v>43</v>
      </c>
      <c r="I14" s="1" t="s">
        <v>41</v>
      </c>
      <c r="J14" s="1" t="s">
        <v>42</v>
      </c>
      <c r="K14" s="1" t="s">
        <v>42</v>
      </c>
      <c r="L14" s="1" t="s">
        <v>45</v>
      </c>
      <c r="M14" s="1" t="s">
        <v>42</v>
      </c>
      <c r="N14" s="1" t="s">
        <v>41</v>
      </c>
      <c r="O14" s="1" t="s">
        <v>42</v>
      </c>
      <c r="P14" s="1" t="s">
        <v>45</v>
      </c>
      <c r="Q14" s="1" t="s">
        <v>43</v>
      </c>
      <c r="R14" s="1" t="s">
        <v>42</v>
      </c>
      <c r="S14" s="1" t="s">
        <v>45</v>
      </c>
      <c r="T14" s="13" t="s">
        <v>42</v>
      </c>
    </row>
    <row r="15" spans="1:20" ht="15.75" customHeight="1">
      <c r="A15" s="12">
        <v>5009</v>
      </c>
      <c r="B15" s="1" t="s">
        <v>41</v>
      </c>
      <c r="C15" s="1" t="s">
        <v>42</v>
      </c>
      <c r="D15" s="1" t="s">
        <v>42</v>
      </c>
      <c r="E15" s="1" t="s">
        <v>41</v>
      </c>
      <c r="F15" s="1" t="s">
        <v>42</v>
      </c>
      <c r="G15" s="1" t="s">
        <v>43</v>
      </c>
      <c r="H15" s="1" t="s">
        <v>43</v>
      </c>
      <c r="I15" s="1" t="s">
        <v>42</v>
      </c>
      <c r="J15" s="1" t="s">
        <v>42</v>
      </c>
      <c r="K15" s="1" t="s">
        <v>42</v>
      </c>
      <c r="L15" s="1" t="s">
        <v>42</v>
      </c>
      <c r="M15" s="1" t="s">
        <v>41</v>
      </c>
      <c r="N15" s="1" t="s">
        <v>42</v>
      </c>
      <c r="O15" s="1" t="s">
        <v>42</v>
      </c>
      <c r="P15" s="1" t="s">
        <v>42</v>
      </c>
      <c r="Q15" s="1" t="s">
        <v>41</v>
      </c>
      <c r="R15" s="1" t="s">
        <v>45</v>
      </c>
      <c r="S15" s="1" t="s">
        <v>42</v>
      </c>
      <c r="T15" s="13" t="s">
        <v>42</v>
      </c>
    </row>
    <row r="16" spans="1:20" ht="15.75" customHeight="1">
      <c r="A16" s="12">
        <v>5019</v>
      </c>
      <c r="B16" s="1" t="s">
        <v>44</v>
      </c>
      <c r="C16" s="1" t="s">
        <v>44</v>
      </c>
      <c r="D16" s="1" t="s">
        <v>44</v>
      </c>
      <c r="E16" s="1" t="s">
        <v>44</v>
      </c>
      <c r="F16" s="1" t="s">
        <v>44</v>
      </c>
      <c r="G16" s="1" t="s">
        <v>44</v>
      </c>
      <c r="H16" s="1" t="s">
        <v>44</v>
      </c>
      <c r="I16" s="1" t="s">
        <v>44</v>
      </c>
      <c r="J16" s="1" t="s">
        <v>44</v>
      </c>
      <c r="K16" s="1" t="s">
        <v>44</v>
      </c>
      <c r="L16" s="1" t="s">
        <v>44</v>
      </c>
      <c r="M16" s="1" t="s">
        <v>44</v>
      </c>
      <c r="N16" s="1" t="s">
        <v>44</v>
      </c>
      <c r="O16" s="1" t="s">
        <v>44</v>
      </c>
      <c r="P16" s="1" t="s">
        <v>44</v>
      </c>
      <c r="Q16" s="1" t="s">
        <v>44</v>
      </c>
      <c r="R16" s="1" t="s">
        <v>44</v>
      </c>
      <c r="S16" s="1" t="s">
        <v>44</v>
      </c>
      <c r="T16" s="13" t="s">
        <v>44</v>
      </c>
    </row>
    <row r="17" spans="1:20" ht="15.75" customHeight="1">
      <c r="A17" s="14">
        <v>5022</v>
      </c>
      <c r="B17" s="15" t="s">
        <v>45</v>
      </c>
      <c r="C17" s="15" t="s">
        <v>42</v>
      </c>
      <c r="D17" s="15" t="s">
        <v>41</v>
      </c>
      <c r="E17" s="15" t="s">
        <v>45</v>
      </c>
      <c r="F17" s="15" t="s">
        <v>43</v>
      </c>
      <c r="G17" s="15" t="s">
        <v>51</v>
      </c>
      <c r="H17" s="15" t="s">
        <v>41</v>
      </c>
      <c r="I17" s="15" t="s">
        <v>41</v>
      </c>
      <c r="J17" s="15" t="s">
        <v>42</v>
      </c>
      <c r="K17" s="15" t="s">
        <v>42</v>
      </c>
      <c r="L17" s="15" t="s">
        <v>45</v>
      </c>
      <c r="M17" s="15" t="s">
        <v>42</v>
      </c>
      <c r="N17" s="15" t="s">
        <v>42</v>
      </c>
      <c r="O17" s="15" t="s">
        <v>42</v>
      </c>
      <c r="P17" s="15" t="s">
        <v>45</v>
      </c>
      <c r="Q17" s="15" t="s">
        <v>41</v>
      </c>
      <c r="R17" s="15" t="s">
        <v>42</v>
      </c>
      <c r="S17" s="15" t="s">
        <v>42</v>
      </c>
      <c r="T17" s="16" t="s">
        <v>42</v>
      </c>
    </row>
    <row r="18" spans="1:20" ht="12.75">
      <c r="A18" s="1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20" ht="12.75">
      <c r="A19" s="18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20" ht="12.75">
      <c r="A20" s="18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20" ht="12.75">
      <c r="A21" s="18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20" ht="12.75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20" ht="12.75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20" ht="12.75">
      <c r="A24" s="18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20" ht="12.75">
      <c r="A25" s="1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20" ht="12.75">
      <c r="A26" s="1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20" ht="12.75">
      <c r="A27" s="1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20" ht="12.75">
      <c r="A28" s="18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33" spans="1:20" s="2" customFormat="1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1:20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spans="1:20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spans="1:20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spans="1:20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spans="1:20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spans="1:20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spans="1:20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spans="1:20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outlinePr summaryBelow="0" summaryRight="0"/>
  </sheetPr>
  <dimension ref="A1:F209"/>
  <sheetViews>
    <sheetView workbookViewId="0">
      <selection activeCell="H16" sqref="H16"/>
    </sheetView>
  </sheetViews>
  <sheetFormatPr defaultColWidth="12.5703125" defaultRowHeight="15.75" customHeight="1"/>
  <cols>
    <col min="1" max="1" width="16.28515625" customWidth="1"/>
    <col min="2" max="2" width="16.7109375" customWidth="1"/>
    <col min="4" max="4" width="16.5703125" customWidth="1"/>
    <col min="5" max="5" width="14.28515625" customWidth="1"/>
    <col min="6" max="6" width="16.28515625" customWidth="1"/>
    <col min="8" max="8" width="16.42578125" customWidth="1"/>
  </cols>
  <sheetData>
    <row r="1" spans="1:6" ht="13.5" thickBot="1">
      <c r="A1" s="373" t="s">
        <v>65</v>
      </c>
      <c r="B1" s="374" t="s">
        <v>66</v>
      </c>
      <c r="C1" s="374" t="s">
        <v>67</v>
      </c>
      <c r="D1" s="374" t="s">
        <v>68</v>
      </c>
      <c r="E1" s="374" t="s">
        <v>69</v>
      </c>
      <c r="F1" s="374" t="s">
        <v>70</v>
      </c>
    </row>
    <row r="2" spans="1:6" ht="12.75">
      <c r="A2" s="375">
        <v>11205</v>
      </c>
      <c r="B2" s="376" t="s">
        <v>75</v>
      </c>
      <c r="C2" s="376" t="s">
        <v>75</v>
      </c>
      <c r="D2" s="377">
        <v>44523</v>
      </c>
      <c r="E2" s="377">
        <v>44548</v>
      </c>
      <c r="F2" s="376" t="s">
        <v>73</v>
      </c>
    </row>
    <row r="3" spans="1:6" ht="12.75">
      <c r="A3" s="378">
        <v>11204</v>
      </c>
      <c r="B3" s="379" t="s">
        <v>75</v>
      </c>
      <c r="C3" s="379" t="s">
        <v>75</v>
      </c>
      <c r="D3" s="380">
        <v>44482</v>
      </c>
      <c r="E3" s="380">
        <v>44515</v>
      </c>
      <c r="F3" s="379" t="s">
        <v>76</v>
      </c>
    </row>
    <row r="4" spans="1:6" ht="12.75">
      <c r="A4" s="378">
        <v>11206</v>
      </c>
      <c r="B4" s="379" t="s">
        <v>75</v>
      </c>
      <c r="C4" s="379" t="s">
        <v>75</v>
      </c>
      <c r="D4" s="380">
        <v>44494</v>
      </c>
      <c r="E4" s="380">
        <v>44531</v>
      </c>
      <c r="F4" s="379" t="s">
        <v>77</v>
      </c>
    </row>
    <row r="5" spans="1:6" ht="12.75">
      <c r="A5" s="378">
        <v>11197</v>
      </c>
      <c r="B5" s="379" t="s">
        <v>75</v>
      </c>
      <c r="C5" s="379" t="s">
        <v>75</v>
      </c>
      <c r="D5" s="380">
        <v>44429</v>
      </c>
      <c r="E5" s="380">
        <v>44470</v>
      </c>
      <c r="F5" s="379" t="s">
        <v>76</v>
      </c>
    </row>
    <row r="6" spans="1:6" ht="12.75">
      <c r="A6" s="378">
        <v>11202</v>
      </c>
      <c r="B6" s="379" t="s">
        <v>75</v>
      </c>
      <c r="C6" s="379" t="s">
        <v>75</v>
      </c>
      <c r="D6" s="380">
        <v>44428</v>
      </c>
      <c r="E6" s="380">
        <v>44470</v>
      </c>
      <c r="F6" s="379" t="s">
        <v>76</v>
      </c>
    </row>
    <row r="7" spans="1:6" ht="12.75">
      <c r="A7" s="378">
        <v>11208</v>
      </c>
      <c r="B7" s="379" t="s">
        <v>75</v>
      </c>
      <c r="C7" s="379" t="s">
        <v>75</v>
      </c>
      <c r="D7" s="380">
        <v>44396</v>
      </c>
      <c r="E7" s="380">
        <v>44440</v>
      </c>
      <c r="F7" s="379" t="s">
        <v>76</v>
      </c>
    </row>
    <row r="8" spans="1:6" ht="12.75">
      <c r="A8" s="378">
        <v>11207</v>
      </c>
      <c r="B8" s="379" t="s">
        <v>75</v>
      </c>
      <c r="C8" s="379" t="s">
        <v>75</v>
      </c>
      <c r="D8" s="380">
        <v>44425</v>
      </c>
      <c r="E8" s="380">
        <v>44470</v>
      </c>
      <c r="F8" s="379" t="s">
        <v>79</v>
      </c>
    </row>
    <row r="9" spans="1:6" ht="12.75">
      <c r="A9" s="378">
        <v>11188</v>
      </c>
      <c r="B9" s="379" t="s">
        <v>75</v>
      </c>
      <c r="C9" s="379" t="s">
        <v>75</v>
      </c>
      <c r="D9" s="380">
        <v>44355</v>
      </c>
      <c r="E9" s="380">
        <v>44413</v>
      </c>
      <c r="F9" s="379" t="s">
        <v>73</v>
      </c>
    </row>
    <row r="10" spans="1:6" ht="12.75">
      <c r="A10" s="378">
        <v>11196</v>
      </c>
      <c r="B10" s="379" t="s">
        <v>75</v>
      </c>
      <c r="C10" s="379" t="s">
        <v>75</v>
      </c>
      <c r="D10" s="380">
        <v>44547</v>
      </c>
      <c r="E10" s="380">
        <v>44607</v>
      </c>
      <c r="F10" s="379" t="s">
        <v>78</v>
      </c>
    </row>
    <row r="11" spans="1:6" ht="12.75">
      <c r="A11" s="378">
        <v>11191</v>
      </c>
      <c r="B11" s="379" t="s">
        <v>75</v>
      </c>
      <c r="C11" s="379" t="s">
        <v>75</v>
      </c>
      <c r="D11" s="380">
        <v>44409</v>
      </c>
      <c r="E11" s="380">
        <v>44470</v>
      </c>
      <c r="F11" s="379" t="s">
        <v>73</v>
      </c>
    </row>
    <row r="12" spans="1:6" ht="12.75">
      <c r="A12" s="378">
        <v>11200</v>
      </c>
      <c r="B12" s="379" t="s">
        <v>75</v>
      </c>
      <c r="C12" s="379" t="s">
        <v>75</v>
      </c>
      <c r="D12" s="380">
        <v>44546</v>
      </c>
      <c r="E12" s="380">
        <v>44607</v>
      </c>
      <c r="F12" s="379" t="s">
        <v>73</v>
      </c>
    </row>
    <row r="13" spans="1:6" ht="12.75">
      <c r="A13" s="378">
        <v>11193</v>
      </c>
      <c r="B13" s="379" t="s">
        <v>75</v>
      </c>
      <c r="C13" s="379" t="s">
        <v>75</v>
      </c>
      <c r="D13" s="380">
        <v>44514</v>
      </c>
      <c r="E13" s="380">
        <v>44576</v>
      </c>
      <c r="F13" s="379" t="s">
        <v>76</v>
      </c>
    </row>
    <row r="14" spans="1:6" ht="12.75">
      <c r="A14" s="378">
        <v>11190</v>
      </c>
      <c r="B14" s="379" t="s">
        <v>75</v>
      </c>
      <c r="C14" s="379" t="s">
        <v>75</v>
      </c>
      <c r="D14" s="380">
        <v>44372</v>
      </c>
      <c r="E14" s="380">
        <v>44440</v>
      </c>
      <c r="F14" s="379" t="s">
        <v>73</v>
      </c>
    </row>
    <row r="15" spans="1:6" ht="12.75">
      <c r="A15" s="378">
        <v>11194</v>
      </c>
      <c r="B15" s="379" t="s">
        <v>75</v>
      </c>
      <c r="C15" s="379" t="s">
        <v>75</v>
      </c>
      <c r="D15" s="380">
        <v>44366</v>
      </c>
      <c r="E15" s="380">
        <v>44440</v>
      </c>
      <c r="F15" s="379" t="s">
        <v>74</v>
      </c>
    </row>
    <row r="16" spans="1:6" ht="12.75">
      <c r="A16" s="378">
        <v>11189</v>
      </c>
      <c r="B16" s="379" t="s">
        <v>75</v>
      </c>
      <c r="C16" s="379" t="s">
        <v>75</v>
      </c>
      <c r="D16" s="380">
        <v>44532</v>
      </c>
      <c r="E16" s="380">
        <v>44607</v>
      </c>
      <c r="F16" s="379" t="s">
        <v>73</v>
      </c>
    </row>
    <row r="17" spans="1:6" ht="12.75">
      <c r="A17" s="378">
        <v>11192</v>
      </c>
      <c r="B17" s="379" t="s">
        <v>75</v>
      </c>
      <c r="C17" s="379" t="s">
        <v>75</v>
      </c>
      <c r="D17" s="380">
        <v>44538</v>
      </c>
      <c r="E17" s="380">
        <v>44621</v>
      </c>
      <c r="F17" s="379" t="s">
        <v>76</v>
      </c>
    </row>
    <row r="18" spans="1:6" ht="12.75">
      <c r="A18" s="378">
        <v>11195</v>
      </c>
      <c r="B18" s="379" t="s">
        <v>75</v>
      </c>
      <c r="C18" s="379" t="s">
        <v>75</v>
      </c>
      <c r="D18" s="380">
        <v>44355</v>
      </c>
      <c r="E18" s="380">
        <v>44440</v>
      </c>
      <c r="F18" s="379" t="s">
        <v>73</v>
      </c>
    </row>
    <row r="19" spans="1:6" ht="12.75">
      <c r="A19" s="378">
        <v>11199</v>
      </c>
      <c r="B19" s="379" t="s">
        <v>75</v>
      </c>
      <c r="C19" s="379" t="s">
        <v>75</v>
      </c>
      <c r="D19" s="380">
        <v>44383</v>
      </c>
      <c r="E19" s="380">
        <v>44470</v>
      </c>
      <c r="F19" s="379" t="s">
        <v>73</v>
      </c>
    </row>
    <row r="20" spans="1:6" ht="12.75">
      <c r="A20" s="378">
        <v>11203</v>
      </c>
      <c r="B20" s="379" t="s">
        <v>75</v>
      </c>
      <c r="C20" s="379" t="s">
        <v>75</v>
      </c>
      <c r="D20" s="380">
        <v>44350</v>
      </c>
      <c r="E20" s="380">
        <v>44440</v>
      </c>
      <c r="F20" s="379" t="s">
        <v>76</v>
      </c>
    </row>
    <row r="21" spans="1:6" ht="12.75">
      <c r="A21" s="378">
        <v>11201</v>
      </c>
      <c r="B21" s="379" t="s">
        <v>75</v>
      </c>
      <c r="C21" s="379" t="s">
        <v>75</v>
      </c>
      <c r="D21" s="380">
        <v>44561</v>
      </c>
      <c r="E21" s="380">
        <v>44652</v>
      </c>
      <c r="F21" s="379" t="s">
        <v>73</v>
      </c>
    </row>
    <row r="22" spans="1:6" ht="12.75">
      <c r="A22" s="378">
        <v>11187</v>
      </c>
      <c r="B22" s="379" t="s">
        <v>75</v>
      </c>
      <c r="C22" s="379" t="s">
        <v>75</v>
      </c>
      <c r="D22" s="380">
        <v>44556</v>
      </c>
      <c r="E22" s="380">
        <v>44652</v>
      </c>
      <c r="F22" s="379" t="s">
        <v>73</v>
      </c>
    </row>
    <row r="23" spans="1:6" ht="12.75">
      <c r="A23" s="378">
        <v>11198</v>
      </c>
      <c r="B23" s="379" t="s">
        <v>75</v>
      </c>
      <c r="C23" s="379" t="s">
        <v>75</v>
      </c>
      <c r="D23" s="380">
        <v>44510</v>
      </c>
      <c r="E23" s="380">
        <v>44621</v>
      </c>
      <c r="F23" s="379" t="s">
        <v>76</v>
      </c>
    </row>
    <row r="24" spans="1:6" ht="12.75">
      <c r="A24" s="378">
        <v>11051</v>
      </c>
      <c r="B24" s="379" t="s">
        <v>71</v>
      </c>
      <c r="C24" s="379" t="s">
        <v>72</v>
      </c>
      <c r="D24" s="380">
        <v>44350</v>
      </c>
      <c r="E24" s="379" t="s">
        <v>72</v>
      </c>
      <c r="F24" s="379" t="s">
        <v>74</v>
      </c>
    </row>
    <row r="25" spans="1:6" ht="12.75">
      <c r="A25" s="378">
        <v>11097</v>
      </c>
      <c r="B25" s="379" t="s">
        <v>71</v>
      </c>
      <c r="C25" s="379" t="s">
        <v>72</v>
      </c>
      <c r="D25" s="380">
        <v>44354</v>
      </c>
      <c r="E25" s="379" t="s">
        <v>72</v>
      </c>
      <c r="F25" s="379" t="s">
        <v>74</v>
      </c>
    </row>
    <row r="26" spans="1:6" ht="12.75">
      <c r="A26" s="378">
        <v>11121</v>
      </c>
      <c r="B26" s="379" t="s">
        <v>71</v>
      </c>
      <c r="C26" s="379" t="s">
        <v>72</v>
      </c>
      <c r="D26" s="380">
        <v>44359</v>
      </c>
      <c r="E26" s="379" t="s">
        <v>72</v>
      </c>
      <c r="F26" s="379" t="s">
        <v>74</v>
      </c>
    </row>
    <row r="27" spans="1:6" ht="12.75">
      <c r="A27" s="378">
        <v>11156</v>
      </c>
      <c r="B27" s="379" t="s">
        <v>71</v>
      </c>
      <c r="C27" s="379" t="s">
        <v>72</v>
      </c>
      <c r="D27" s="380">
        <v>44360</v>
      </c>
      <c r="E27" s="379" t="s">
        <v>72</v>
      </c>
      <c r="F27" s="379" t="s">
        <v>74</v>
      </c>
    </row>
    <row r="28" spans="1:6" ht="12.75">
      <c r="A28" s="378">
        <v>11161</v>
      </c>
      <c r="B28" s="379" t="s">
        <v>71</v>
      </c>
      <c r="C28" s="379" t="s">
        <v>72</v>
      </c>
      <c r="D28" s="380">
        <v>44362</v>
      </c>
      <c r="E28" s="379" t="s">
        <v>72</v>
      </c>
      <c r="F28" s="379" t="s">
        <v>74</v>
      </c>
    </row>
    <row r="29" spans="1:6" ht="12.75">
      <c r="A29" s="378">
        <v>11036</v>
      </c>
      <c r="B29" s="379" t="s">
        <v>71</v>
      </c>
      <c r="C29" s="379" t="s">
        <v>72</v>
      </c>
      <c r="D29" s="380">
        <v>44371</v>
      </c>
      <c r="E29" s="379" t="s">
        <v>72</v>
      </c>
      <c r="F29" s="379" t="s">
        <v>74</v>
      </c>
    </row>
    <row r="30" spans="1:6" ht="12.75">
      <c r="A30" s="378">
        <v>11153</v>
      </c>
      <c r="B30" s="379" t="s">
        <v>71</v>
      </c>
      <c r="C30" s="379" t="s">
        <v>72</v>
      </c>
      <c r="D30" s="380">
        <v>44372</v>
      </c>
      <c r="E30" s="379" t="s">
        <v>72</v>
      </c>
      <c r="F30" s="379" t="s">
        <v>74</v>
      </c>
    </row>
    <row r="31" spans="1:6" ht="12.75">
      <c r="A31" s="378">
        <v>11025</v>
      </c>
      <c r="B31" s="379" t="s">
        <v>71</v>
      </c>
      <c r="C31" s="379" t="s">
        <v>72</v>
      </c>
      <c r="D31" s="380">
        <v>44376</v>
      </c>
      <c r="E31" s="379" t="s">
        <v>72</v>
      </c>
      <c r="F31" s="379" t="s">
        <v>74</v>
      </c>
    </row>
    <row r="32" spans="1:6" ht="12.75">
      <c r="A32" s="378">
        <v>11080</v>
      </c>
      <c r="B32" s="379" t="s">
        <v>71</v>
      </c>
      <c r="C32" s="379" t="s">
        <v>72</v>
      </c>
      <c r="D32" s="380">
        <v>44377</v>
      </c>
      <c r="E32" s="379" t="s">
        <v>72</v>
      </c>
      <c r="F32" s="379" t="s">
        <v>74</v>
      </c>
    </row>
    <row r="33" spans="1:6" ht="12.75">
      <c r="A33" s="378">
        <v>11079</v>
      </c>
      <c r="B33" s="379" t="s">
        <v>71</v>
      </c>
      <c r="C33" s="379" t="s">
        <v>72</v>
      </c>
      <c r="D33" s="380">
        <v>44389</v>
      </c>
      <c r="E33" s="379" t="s">
        <v>72</v>
      </c>
      <c r="F33" s="379" t="s">
        <v>74</v>
      </c>
    </row>
    <row r="34" spans="1:6" ht="12.75">
      <c r="A34" s="378">
        <v>11029</v>
      </c>
      <c r="B34" s="379" t="s">
        <v>71</v>
      </c>
      <c r="C34" s="379" t="s">
        <v>72</v>
      </c>
      <c r="D34" s="380">
        <v>44397</v>
      </c>
      <c r="E34" s="379" t="s">
        <v>72</v>
      </c>
      <c r="F34" s="379" t="s">
        <v>74</v>
      </c>
    </row>
    <row r="35" spans="1:6" ht="12.75">
      <c r="A35" s="378">
        <v>11055</v>
      </c>
      <c r="B35" s="379" t="s">
        <v>71</v>
      </c>
      <c r="C35" s="379" t="s">
        <v>72</v>
      </c>
      <c r="D35" s="380">
        <v>44405</v>
      </c>
      <c r="E35" s="379" t="s">
        <v>72</v>
      </c>
      <c r="F35" s="379" t="s">
        <v>74</v>
      </c>
    </row>
    <row r="36" spans="1:6" ht="12.75">
      <c r="A36" s="378">
        <v>11020</v>
      </c>
      <c r="B36" s="379" t="s">
        <v>71</v>
      </c>
      <c r="C36" s="379" t="s">
        <v>72</v>
      </c>
      <c r="D36" s="380">
        <v>44412</v>
      </c>
      <c r="E36" s="379" t="s">
        <v>72</v>
      </c>
      <c r="F36" s="379" t="s">
        <v>74</v>
      </c>
    </row>
    <row r="37" spans="1:6" ht="12.75">
      <c r="A37" s="378">
        <v>11162</v>
      </c>
      <c r="B37" s="379" t="s">
        <v>71</v>
      </c>
      <c r="C37" s="379" t="s">
        <v>72</v>
      </c>
      <c r="D37" s="380">
        <v>44415</v>
      </c>
      <c r="E37" s="379" t="s">
        <v>72</v>
      </c>
      <c r="F37" s="379" t="s">
        <v>74</v>
      </c>
    </row>
    <row r="38" spans="1:6" ht="12.75">
      <c r="A38" s="378">
        <v>11002</v>
      </c>
      <c r="B38" s="379" t="s">
        <v>71</v>
      </c>
      <c r="C38" s="379" t="s">
        <v>72</v>
      </c>
      <c r="D38" s="380">
        <v>44442</v>
      </c>
      <c r="E38" s="379" t="s">
        <v>72</v>
      </c>
      <c r="F38" s="379" t="s">
        <v>74</v>
      </c>
    </row>
    <row r="39" spans="1:6" ht="12.75">
      <c r="A39" s="378">
        <v>11128</v>
      </c>
      <c r="B39" s="379" t="s">
        <v>71</v>
      </c>
      <c r="C39" s="379" t="s">
        <v>72</v>
      </c>
      <c r="D39" s="380">
        <v>44451</v>
      </c>
      <c r="E39" s="379" t="s">
        <v>72</v>
      </c>
      <c r="F39" s="379" t="s">
        <v>74</v>
      </c>
    </row>
    <row r="40" spans="1:6" ht="12.75">
      <c r="A40" s="378">
        <v>11088</v>
      </c>
      <c r="B40" s="379" t="s">
        <v>71</v>
      </c>
      <c r="C40" s="379" t="s">
        <v>72</v>
      </c>
      <c r="D40" s="380">
        <v>44454</v>
      </c>
      <c r="E40" s="379" t="s">
        <v>72</v>
      </c>
      <c r="F40" s="379" t="s">
        <v>74</v>
      </c>
    </row>
    <row r="41" spans="1:6" ht="12.75">
      <c r="A41" s="378">
        <v>11125</v>
      </c>
      <c r="B41" s="379" t="s">
        <v>71</v>
      </c>
      <c r="C41" s="379" t="s">
        <v>72</v>
      </c>
      <c r="D41" s="380">
        <v>44498</v>
      </c>
      <c r="E41" s="379" t="s">
        <v>72</v>
      </c>
      <c r="F41" s="379" t="s">
        <v>74</v>
      </c>
    </row>
    <row r="42" spans="1:6" ht="12.75">
      <c r="A42" s="378">
        <v>11170</v>
      </c>
      <c r="B42" s="379" t="s">
        <v>71</v>
      </c>
      <c r="C42" s="379" t="s">
        <v>72</v>
      </c>
      <c r="D42" s="380">
        <v>44501</v>
      </c>
      <c r="E42" s="379" t="s">
        <v>72</v>
      </c>
      <c r="F42" s="379" t="s">
        <v>74</v>
      </c>
    </row>
    <row r="43" spans="1:6" ht="12.75">
      <c r="A43" s="378">
        <v>11112</v>
      </c>
      <c r="B43" s="379" t="s">
        <v>71</v>
      </c>
      <c r="C43" s="379" t="s">
        <v>72</v>
      </c>
      <c r="D43" s="380">
        <v>44502</v>
      </c>
      <c r="E43" s="379" t="s">
        <v>72</v>
      </c>
      <c r="F43" s="379" t="s">
        <v>74</v>
      </c>
    </row>
    <row r="44" spans="1:6" ht="12.75">
      <c r="A44" s="378">
        <v>11114</v>
      </c>
      <c r="B44" s="379" t="s">
        <v>71</v>
      </c>
      <c r="C44" s="379" t="s">
        <v>72</v>
      </c>
      <c r="D44" s="380">
        <v>44524</v>
      </c>
      <c r="E44" s="379" t="s">
        <v>72</v>
      </c>
      <c r="F44" s="379" t="s">
        <v>74</v>
      </c>
    </row>
    <row r="45" spans="1:6" ht="12.75">
      <c r="A45" s="378">
        <v>11024</v>
      </c>
      <c r="B45" s="379" t="s">
        <v>71</v>
      </c>
      <c r="C45" s="379" t="s">
        <v>72</v>
      </c>
      <c r="D45" s="380">
        <v>44528</v>
      </c>
      <c r="E45" s="379" t="s">
        <v>72</v>
      </c>
      <c r="F45" s="379" t="s">
        <v>74</v>
      </c>
    </row>
    <row r="46" spans="1:6" ht="12.75">
      <c r="A46" s="378">
        <v>11089</v>
      </c>
      <c r="B46" s="379" t="s">
        <v>71</v>
      </c>
      <c r="C46" s="379" t="s">
        <v>72</v>
      </c>
      <c r="D46" s="380">
        <v>44536</v>
      </c>
      <c r="E46" s="379" t="s">
        <v>72</v>
      </c>
      <c r="F46" s="379" t="s">
        <v>74</v>
      </c>
    </row>
    <row r="47" spans="1:6" ht="12.75">
      <c r="A47" s="378">
        <v>11164</v>
      </c>
      <c r="B47" s="379" t="s">
        <v>71</v>
      </c>
      <c r="C47" s="379" t="s">
        <v>72</v>
      </c>
      <c r="D47" s="380">
        <v>44541</v>
      </c>
      <c r="E47" s="379" t="s">
        <v>72</v>
      </c>
      <c r="F47" s="379" t="s">
        <v>74</v>
      </c>
    </row>
    <row r="48" spans="1:6" ht="12.75">
      <c r="A48" s="378">
        <v>11149</v>
      </c>
      <c r="B48" s="379" t="s">
        <v>71</v>
      </c>
      <c r="C48" s="379" t="s">
        <v>72</v>
      </c>
      <c r="D48" s="380">
        <v>44555</v>
      </c>
      <c r="E48" s="379" t="s">
        <v>72</v>
      </c>
      <c r="F48" s="379" t="s">
        <v>74</v>
      </c>
    </row>
    <row r="49" spans="1:6" ht="12.75">
      <c r="A49" s="378">
        <v>11151</v>
      </c>
      <c r="B49" s="379" t="s">
        <v>71</v>
      </c>
      <c r="C49" s="379" t="s">
        <v>72</v>
      </c>
      <c r="D49" s="380">
        <v>44362</v>
      </c>
      <c r="E49" s="379" t="s">
        <v>72</v>
      </c>
      <c r="F49" s="379" t="s">
        <v>78</v>
      </c>
    </row>
    <row r="50" spans="1:6" ht="12.75">
      <c r="A50" s="378">
        <v>11184</v>
      </c>
      <c r="B50" s="379" t="s">
        <v>75</v>
      </c>
      <c r="C50" s="379" t="s">
        <v>71</v>
      </c>
      <c r="D50" s="380">
        <v>44372</v>
      </c>
      <c r="E50" s="379" t="s">
        <v>72</v>
      </c>
      <c r="F50" s="379" t="s">
        <v>78</v>
      </c>
    </row>
    <row r="51" spans="1:6" ht="12.75">
      <c r="A51" s="378">
        <v>11100</v>
      </c>
      <c r="B51" s="379" t="s">
        <v>71</v>
      </c>
      <c r="C51" s="379" t="s">
        <v>72</v>
      </c>
      <c r="D51" s="380">
        <v>44384</v>
      </c>
      <c r="E51" s="379" t="s">
        <v>72</v>
      </c>
      <c r="F51" s="379" t="s">
        <v>78</v>
      </c>
    </row>
    <row r="52" spans="1:6" ht="12.75">
      <c r="A52" s="378">
        <v>11182</v>
      </c>
      <c r="B52" s="379" t="s">
        <v>75</v>
      </c>
      <c r="C52" s="379" t="s">
        <v>71</v>
      </c>
      <c r="D52" s="380">
        <v>44388</v>
      </c>
      <c r="E52" s="379" t="s">
        <v>72</v>
      </c>
      <c r="F52" s="379" t="s">
        <v>78</v>
      </c>
    </row>
    <row r="53" spans="1:6" ht="12.75">
      <c r="A53" s="378">
        <v>11046</v>
      </c>
      <c r="B53" s="379" t="s">
        <v>71</v>
      </c>
      <c r="C53" s="379" t="s">
        <v>72</v>
      </c>
      <c r="D53" s="380">
        <v>44390</v>
      </c>
      <c r="E53" s="379" t="s">
        <v>72</v>
      </c>
      <c r="F53" s="379" t="s">
        <v>78</v>
      </c>
    </row>
    <row r="54" spans="1:6" ht="12.75">
      <c r="A54" s="378">
        <v>11031</v>
      </c>
      <c r="B54" s="379" t="s">
        <v>71</v>
      </c>
      <c r="C54" s="379" t="s">
        <v>72</v>
      </c>
      <c r="D54" s="380">
        <v>44407</v>
      </c>
      <c r="E54" s="379" t="s">
        <v>72</v>
      </c>
      <c r="F54" s="379" t="s">
        <v>78</v>
      </c>
    </row>
    <row r="55" spans="1:6" ht="12.75">
      <c r="A55" s="378">
        <v>11056</v>
      </c>
      <c r="B55" s="379" t="s">
        <v>71</v>
      </c>
      <c r="C55" s="379" t="s">
        <v>72</v>
      </c>
      <c r="D55" s="380">
        <v>44408</v>
      </c>
      <c r="E55" s="379" t="s">
        <v>72</v>
      </c>
      <c r="F55" s="379" t="s">
        <v>78</v>
      </c>
    </row>
    <row r="56" spans="1:6" ht="12.75">
      <c r="A56" s="378">
        <v>11063</v>
      </c>
      <c r="B56" s="379" t="s">
        <v>71</v>
      </c>
      <c r="C56" s="379" t="s">
        <v>72</v>
      </c>
      <c r="D56" s="380">
        <v>44409</v>
      </c>
      <c r="E56" s="379" t="s">
        <v>72</v>
      </c>
      <c r="F56" s="379" t="s">
        <v>78</v>
      </c>
    </row>
    <row r="57" spans="1:6" ht="12.75">
      <c r="A57" s="378">
        <v>11148</v>
      </c>
      <c r="B57" s="379" t="s">
        <v>71</v>
      </c>
      <c r="C57" s="379" t="s">
        <v>72</v>
      </c>
      <c r="D57" s="380">
        <v>44412</v>
      </c>
      <c r="E57" s="379" t="s">
        <v>72</v>
      </c>
      <c r="F57" s="379" t="s">
        <v>78</v>
      </c>
    </row>
    <row r="58" spans="1:6" ht="12.75">
      <c r="A58" s="378">
        <v>11076</v>
      </c>
      <c r="B58" s="379" t="s">
        <v>71</v>
      </c>
      <c r="C58" s="379" t="s">
        <v>72</v>
      </c>
      <c r="D58" s="380">
        <v>44427</v>
      </c>
      <c r="E58" s="379" t="s">
        <v>72</v>
      </c>
      <c r="F58" s="379" t="s">
        <v>78</v>
      </c>
    </row>
    <row r="59" spans="1:6" ht="12.75">
      <c r="A59" s="378">
        <v>11132</v>
      </c>
      <c r="B59" s="379" t="s">
        <v>71</v>
      </c>
      <c r="C59" s="379" t="s">
        <v>72</v>
      </c>
      <c r="D59" s="380">
        <v>44441</v>
      </c>
      <c r="E59" s="379" t="s">
        <v>72</v>
      </c>
      <c r="F59" s="379" t="s">
        <v>78</v>
      </c>
    </row>
    <row r="60" spans="1:6" ht="12.75">
      <c r="A60" s="378">
        <v>11017</v>
      </c>
      <c r="B60" s="379" t="s">
        <v>71</v>
      </c>
      <c r="C60" s="379" t="s">
        <v>72</v>
      </c>
      <c r="D60" s="380">
        <v>44447</v>
      </c>
      <c r="E60" s="379" t="s">
        <v>72</v>
      </c>
      <c r="F60" s="379" t="s">
        <v>78</v>
      </c>
    </row>
    <row r="61" spans="1:6" ht="12.75">
      <c r="A61" s="378">
        <v>11171</v>
      </c>
      <c r="B61" s="379" t="s">
        <v>71</v>
      </c>
      <c r="C61" s="379" t="s">
        <v>72</v>
      </c>
      <c r="D61" s="380">
        <v>44460</v>
      </c>
      <c r="E61" s="379" t="s">
        <v>72</v>
      </c>
      <c r="F61" s="379" t="s">
        <v>78</v>
      </c>
    </row>
    <row r="62" spans="1:6" ht="12.75">
      <c r="A62" s="378">
        <v>11179</v>
      </c>
      <c r="B62" s="379" t="s">
        <v>71</v>
      </c>
      <c r="C62" s="379" t="s">
        <v>72</v>
      </c>
      <c r="D62" s="380">
        <v>44464</v>
      </c>
      <c r="E62" s="379" t="s">
        <v>72</v>
      </c>
      <c r="F62" s="379" t="s">
        <v>78</v>
      </c>
    </row>
    <row r="63" spans="1:6" ht="12.75">
      <c r="A63" s="378">
        <v>11062</v>
      </c>
      <c r="B63" s="379" t="s">
        <v>71</v>
      </c>
      <c r="C63" s="379" t="s">
        <v>72</v>
      </c>
      <c r="D63" s="380">
        <v>44471</v>
      </c>
      <c r="E63" s="379" t="s">
        <v>72</v>
      </c>
      <c r="F63" s="379" t="s">
        <v>78</v>
      </c>
    </row>
    <row r="64" spans="1:6" ht="12.75">
      <c r="A64" s="378">
        <v>11122</v>
      </c>
      <c r="B64" s="379" t="s">
        <v>71</v>
      </c>
      <c r="C64" s="379" t="s">
        <v>72</v>
      </c>
      <c r="D64" s="380">
        <v>44471</v>
      </c>
      <c r="E64" s="379" t="s">
        <v>72</v>
      </c>
      <c r="F64" s="379" t="s">
        <v>78</v>
      </c>
    </row>
    <row r="65" spans="1:6" ht="12.75">
      <c r="A65" s="378">
        <v>11150</v>
      </c>
      <c r="B65" s="379" t="s">
        <v>71</v>
      </c>
      <c r="C65" s="379" t="s">
        <v>72</v>
      </c>
      <c r="D65" s="380">
        <v>44477</v>
      </c>
      <c r="E65" s="379" t="s">
        <v>72</v>
      </c>
      <c r="F65" s="379" t="s">
        <v>78</v>
      </c>
    </row>
    <row r="66" spans="1:6" ht="12.75">
      <c r="A66" s="378">
        <v>11134</v>
      </c>
      <c r="B66" s="379" t="s">
        <v>71</v>
      </c>
      <c r="C66" s="379" t="s">
        <v>72</v>
      </c>
      <c r="D66" s="380">
        <v>44487</v>
      </c>
      <c r="E66" s="379" t="s">
        <v>72</v>
      </c>
      <c r="F66" s="379" t="s">
        <v>78</v>
      </c>
    </row>
    <row r="67" spans="1:6" ht="12.75">
      <c r="A67" s="378">
        <v>11101</v>
      </c>
      <c r="B67" s="379" t="s">
        <v>71</v>
      </c>
      <c r="C67" s="379" t="s">
        <v>72</v>
      </c>
      <c r="D67" s="380">
        <v>44488</v>
      </c>
      <c r="E67" s="379" t="s">
        <v>72</v>
      </c>
      <c r="F67" s="379" t="s">
        <v>78</v>
      </c>
    </row>
    <row r="68" spans="1:6" ht="12.75">
      <c r="A68" s="378">
        <v>11013</v>
      </c>
      <c r="B68" s="379" t="s">
        <v>71</v>
      </c>
      <c r="C68" s="379" t="s">
        <v>72</v>
      </c>
      <c r="D68" s="380">
        <v>44493</v>
      </c>
      <c r="E68" s="379" t="s">
        <v>72</v>
      </c>
      <c r="F68" s="379" t="s">
        <v>78</v>
      </c>
    </row>
    <row r="69" spans="1:6" ht="12.75">
      <c r="A69" s="378">
        <v>11163</v>
      </c>
      <c r="B69" s="379" t="s">
        <v>71</v>
      </c>
      <c r="C69" s="379" t="s">
        <v>72</v>
      </c>
      <c r="D69" s="380">
        <v>44494</v>
      </c>
      <c r="E69" s="379" t="s">
        <v>72</v>
      </c>
      <c r="F69" s="379" t="s">
        <v>78</v>
      </c>
    </row>
    <row r="70" spans="1:6" ht="12.75">
      <c r="A70" s="378">
        <v>11018</v>
      </c>
      <c r="B70" s="379" t="s">
        <v>71</v>
      </c>
      <c r="C70" s="379" t="s">
        <v>72</v>
      </c>
      <c r="D70" s="380">
        <v>44525</v>
      </c>
      <c r="E70" s="379" t="s">
        <v>72</v>
      </c>
      <c r="F70" s="379" t="s">
        <v>78</v>
      </c>
    </row>
    <row r="71" spans="1:6" ht="12.75">
      <c r="A71" s="378">
        <v>11034</v>
      </c>
      <c r="B71" s="379" t="s">
        <v>71</v>
      </c>
      <c r="C71" s="379" t="s">
        <v>72</v>
      </c>
      <c r="D71" s="380">
        <v>44534</v>
      </c>
      <c r="E71" s="379" t="s">
        <v>72</v>
      </c>
      <c r="F71" s="379" t="s">
        <v>78</v>
      </c>
    </row>
    <row r="72" spans="1:6" ht="12.75">
      <c r="A72" s="378">
        <v>11050</v>
      </c>
      <c r="B72" s="379" t="s">
        <v>71</v>
      </c>
      <c r="C72" s="379" t="s">
        <v>72</v>
      </c>
      <c r="D72" s="380">
        <v>44537</v>
      </c>
      <c r="E72" s="379" t="s">
        <v>72</v>
      </c>
      <c r="F72" s="379" t="s">
        <v>78</v>
      </c>
    </row>
    <row r="73" spans="1:6" ht="12.75">
      <c r="A73" s="378">
        <v>11186</v>
      </c>
      <c r="B73" s="379" t="s">
        <v>75</v>
      </c>
      <c r="C73" s="379" t="s">
        <v>71</v>
      </c>
      <c r="D73" s="380">
        <v>44538</v>
      </c>
      <c r="E73" s="379" t="s">
        <v>72</v>
      </c>
      <c r="F73" s="379" t="s">
        <v>78</v>
      </c>
    </row>
    <row r="74" spans="1:6" ht="12.75">
      <c r="A74" s="378">
        <v>11115</v>
      </c>
      <c r="B74" s="379" t="s">
        <v>71</v>
      </c>
      <c r="C74" s="379" t="s">
        <v>72</v>
      </c>
      <c r="D74" s="380">
        <v>44555</v>
      </c>
      <c r="E74" s="379" t="s">
        <v>72</v>
      </c>
      <c r="F74" s="379" t="s">
        <v>78</v>
      </c>
    </row>
    <row r="75" spans="1:6" ht="12.75">
      <c r="A75" s="378">
        <v>11117</v>
      </c>
      <c r="B75" s="379" t="s">
        <v>71</v>
      </c>
      <c r="C75" s="379" t="s">
        <v>72</v>
      </c>
      <c r="D75" s="380">
        <v>44556</v>
      </c>
      <c r="E75" s="379" t="s">
        <v>72</v>
      </c>
      <c r="F75" s="379" t="s">
        <v>78</v>
      </c>
    </row>
    <row r="76" spans="1:6" ht="12.75">
      <c r="A76" s="378">
        <v>11078</v>
      </c>
      <c r="B76" s="379" t="s">
        <v>71</v>
      </c>
      <c r="C76" s="379" t="s">
        <v>72</v>
      </c>
      <c r="D76" s="380">
        <v>44350</v>
      </c>
      <c r="E76" s="379" t="s">
        <v>72</v>
      </c>
      <c r="F76" s="379" t="s">
        <v>79</v>
      </c>
    </row>
    <row r="77" spans="1:6" ht="12.75">
      <c r="A77" s="378">
        <v>11045</v>
      </c>
      <c r="B77" s="379" t="s">
        <v>71</v>
      </c>
      <c r="C77" s="379" t="s">
        <v>72</v>
      </c>
      <c r="D77" s="380">
        <v>44357</v>
      </c>
      <c r="E77" s="379" t="s">
        <v>72</v>
      </c>
      <c r="F77" s="379" t="s">
        <v>79</v>
      </c>
    </row>
    <row r="78" spans="1:6" ht="12.75">
      <c r="A78" s="378">
        <v>11059</v>
      </c>
      <c r="B78" s="379" t="s">
        <v>71</v>
      </c>
      <c r="C78" s="379" t="s">
        <v>72</v>
      </c>
      <c r="D78" s="380">
        <v>44419</v>
      </c>
      <c r="E78" s="379" t="s">
        <v>72</v>
      </c>
      <c r="F78" s="379" t="s">
        <v>79</v>
      </c>
    </row>
    <row r="79" spans="1:6" ht="12.75">
      <c r="A79" s="378">
        <v>11054</v>
      </c>
      <c r="B79" s="379" t="s">
        <v>71</v>
      </c>
      <c r="C79" s="379" t="s">
        <v>72</v>
      </c>
      <c r="D79" s="380">
        <v>44458</v>
      </c>
      <c r="E79" s="379" t="s">
        <v>72</v>
      </c>
      <c r="F79" s="379" t="s">
        <v>79</v>
      </c>
    </row>
    <row r="80" spans="1:6" ht="12.75">
      <c r="A80" s="378">
        <v>11158</v>
      </c>
      <c r="B80" s="379" t="s">
        <v>71</v>
      </c>
      <c r="C80" s="379" t="s">
        <v>72</v>
      </c>
      <c r="D80" s="380">
        <v>44512</v>
      </c>
      <c r="E80" s="379" t="s">
        <v>72</v>
      </c>
      <c r="F80" s="379" t="s">
        <v>79</v>
      </c>
    </row>
    <row r="81" spans="1:6" ht="12.75">
      <c r="A81" s="378">
        <v>11067</v>
      </c>
      <c r="B81" s="379" t="s">
        <v>71</v>
      </c>
      <c r="C81" s="379" t="s">
        <v>72</v>
      </c>
      <c r="D81" s="380">
        <v>44352</v>
      </c>
      <c r="E81" s="379" t="s">
        <v>72</v>
      </c>
      <c r="F81" s="379" t="s">
        <v>73</v>
      </c>
    </row>
    <row r="82" spans="1:6" ht="12.75">
      <c r="A82" s="378">
        <v>11084</v>
      </c>
      <c r="B82" s="379" t="s">
        <v>71</v>
      </c>
      <c r="C82" s="379" t="s">
        <v>72</v>
      </c>
      <c r="D82" s="380">
        <v>44356</v>
      </c>
      <c r="E82" s="379" t="s">
        <v>72</v>
      </c>
      <c r="F82" s="379" t="s">
        <v>73</v>
      </c>
    </row>
    <row r="83" spans="1:6" ht="12.75">
      <c r="A83" s="378">
        <v>11123</v>
      </c>
      <c r="B83" s="379" t="s">
        <v>71</v>
      </c>
      <c r="C83" s="379" t="s">
        <v>72</v>
      </c>
      <c r="D83" s="380">
        <v>44356</v>
      </c>
      <c r="E83" s="379" t="s">
        <v>72</v>
      </c>
      <c r="F83" s="379" t="s">
        <v>73</v>
      </c>
    </row>
    <row r="84" spans="1:6" ht="12.75">
      <c r="A84" s="378">
        <v>11009</v>
      </c>
      <c r="B84" s="379" t="s">
        <v>71</v>
      </c>
      <c r="C84" s="379" t="s">
        <v>72</v>
      </c>
      <c r="D84" s="380">
        <v>44365</v>
      </c>
      <c r="E84" s="379" t="s">
        <v>72</v>
      </c>
      <c r="F84" s="379" t="s">
        <v>73</v>
      </c>
    </row>
    <row r="85" spans="1:6" ht="12.75">
      <c r="A85" s="378">
        <v>11120</v>
      </c>
      <c r="B85" s="379" t="s">
        <v>71</v>
      </c>
      <c r="C85" s="379" t="s">
        <v>72</v>
      </c>
      <c r="D85" s="380">
        <v>44366</v>
      </c>
      <c r="E85" s="379" t="s">
        <v>72</v>
      </c>
      <c r="F85" s="379" t="s">
        <v>73</v>
      </c>
    </row>
    <row r="86" spans="1:6" ht="12.75">
      <c r="A86" s="378">
        <v>11130</v>
      </c>
      <c r="B86" s="379" t="s">
        <v>71</v>
      </c>
      <c r="C86" s="379" t="s">
        <v>72</v>
      </c>
      <c r="D86" s="380">
        <v>44366</v>
      </c>
      <c r="E86" s="379" t="s">
        <v>72</v>
      </c>
      <c r="F86" s="379" t="s">
        <v>73</v>
      </c>
    </row>
    <row r="87" spans="1:6" ht="12.75">
      <c r="A87" s="378">
        <v>11003</v>
      </c>
      <c r="B87" s="379" t="s">
        <v>71</v>
      </c>
      <c r="C87" s="379" t="s">
        <v>72</v>
      </c>
      <c r="D87" s="380">
        <v>44368</v>
      </c>
      <c r="E87" s="379" t="s">
        <v>72</v>
      </c>
      <c r="F87" s="379" t="s">
        <v>73</v>
      </c>
    </row>
    <row r="88" spans="1:6" ht="12.75">
      <c r="A88" s="378">
        <v>11178</v>
      </c>
      <c r="B88" s="379" t="s">
        <v>71</v>
      </c>
      <c r="C88" s="379" t="s">
        <v>72</v>
      </c>
      <c r="D88" s="380">
        <v>44373</v>
      </c>
      <c r="E88" s="379" t="s">
        <v>72</v>
      </c>
      <c r="F88" s="379" t="s">
        <v>73</v>
      </c>
    </row>
    <row r="89" spans="1:6" ht="12.75">
      <c r="A89" s="378">
        <v>11092</v>
      </c>
      <c r="B89" s="379" t="s">
        <v>71</v>
      </c>
      <c r="C89" s="379" t="s">
        <v>72</v>
      </c>
      <c r="D89" s="380">
        <v>44375</v>
      </c>
      <c r="E89" s="379" t="s">
        <v>72</v>
      </c>
      <c r="F89" s="379" t="s">
        <v>73</v>
      </c>
    </row>
    <row r="90" spans="1:6" ht="12.75">
      <c r="A90" s="378">
        <v>11099</v>
      </c>
      <c r="B90" s="379" t="s">
        <v>71</v>
      </c>
      <c r="C90" s="379" t="s">
        <v>72</v>
      </c>
      <c r="D90" s="380">
        <v>44377</v>
      </c>
      <c r="E90" s="379" t="s">
        <v>72</v>
      </c>
      <c r="F90" s="379" t="s">
        <v>73</v>
      </c>
    </row>
    <row r="91" spans="1:6" ht="12.75">
      <c r="A91" s="378">
        <v>11043</v>
      </c>
      <c r="B91" s="379" t="s">
        <v>71</v>
      </c>
      <c r="C91" s="379" t="s">
        <v>72</v>
      </c>
      <c r="D91" s="380">
        <v>44379</v>
      </c>
      <c r="E91" s="379" t="s">
        <v>72</v>
      </c>
      <c r="F91" s="379" t="s">
        <v>73</v>
      </c>
    </row>
    <row r="92" spans="1:6" ht="12.75">
      <c r="A92" s="378">
        <v>11093</v>
      </c>
      <c r="B92" s="379" t="s">
        <v>71</v>
      </c>
      <c r="C92" s="379" t="s">
        <v>72</v>
      </c>
      <c r="D92" s="380">
        <v>44379</v>
      </c>
      <c r="E92" s="379" t="s">
        <v>72</v>
      </c>
      <c r="F92" s="379" t="s">
        <v>73</v>
      </c>
    </row>
    <row r="93" spans="1:6" ht="12.75">
      <c r="A93" s="378">
        <v>11022</v>
      </c>
      <c r="B93" s="379" t="s">
        <v>71</v>
      </c>
      <c r="C93" s="379" t="s">
        <v>72</v>
      </c>
      <c r="D93" s="380">
        <v>44380</v>
      </c>
      <c r="E93" s="379" t="s">
        <v>72</v>
      </c>
      <c r="F93" s="379" t="s">
        <v>73</v>
      </c>
    </row>
    <row r="94" spans="1:6" ht="12.75">
      <c r="A94" s="378">
        <v>11155</v>
      </c>
      <c r="B94" s="379" t="s">
        <v>71</v>
      </c>
      <c r="C94" s="379" t="s">
        <v>72</v>
      </c>
      <c r="D94" s="380">
        <v>44382</v>
      </c>
      <c r="E94" s="379" t="s">
        <v>72</v>
      </c>
      <c r="F94" s="379" t="s">
        <v>73</v>
      </c>
    </row>
    <row r="95" spans="1:6" ht="12.75">
      <c r="A95" s="378">
        <v>11106</v>
      </c>
      <c r="B95" s="379" t="s">
        <v>71</v>
      </c>
      <c r="C95" s="379" t="s">
        <v>72</v>
      </c>
      <c r="D95" s="380">
        <v>44383</v>
      </c>
      <c r="E95" s="379" t="s">
        <v>72</v>
      </c>
      <c r="F95" s="379" t="s">
        <v>73</v>
      </c>
    </row>
    <row r="96" spans="1:6" ht="12.75">
      <c r="A96" s="378">
        <v>11033</v>
      </c>
      <c r="B96" s="379" t="s">
        <v>71</v>
      </c>
      <c r="C96" s="379" t="s">
        <v>72</v>
      </c>
      <c r="D96" s="380">
        <v>44390</v>
      </c>
      <c r="E96" s="379" t="s">
        <v>72</v>
      </c>
      <c r="F96" s="379" t="s">
        <v>73</v>
      </c>
    </row>
    <row r="97" spans="1:6" ht="12.75">
      <c r="A97" s="378">
        <v>11081</v>
      </c>
      <c r="B97" s="379" t="s">
        <v>71</v>
      </c>
      <c r="C97" s="379" t="s">
        <v>72</v>
      </c>
      <c r="D97" s="380">
        <v>44392</v>
      </c>
      <c r="E97" s="379" t="s">
        <v>72</v>
      </c>
      <c r="F97" s="379" t="s">
        <v>73</v>
      </c>
    </row>
    <row r="98" spans="1:6" ht="12.75">
      <c r="A98" s="378">
        <v>11137</v>
      </c>
      <c r="B98" s="379" t="s">
        <v>71</v>
      </c>
      <c r="C98" s="379" t="s">
        <v>72</v>
      </c>
      <c r="D98" s="380">
        <v>44395</v>
      </c>
      <c r="E98" s="379" t="s">
        <v>72</v>
      </c>
      <c r="F98" s="379" t="s">
        <v>73</v>
      </c>
    </row>
    <row r="99" spans="1:6" ht="12.75">
      <c r="A99" s="378">
        <v>11037</v>
      </c>
      <c r="B99" s="379" t="s">
        <v>71</v>
      </c>
      <c r="C99" s="379" t="s">
        <v>72</v>
      </c>
      <c r="D99" s="380">
        <v>44397</v>
      </c>
      <c r="E99" s="379" t="s">
        <v>72</v>
      </c>
      <c r="F99" s="379" t="s">
        <v>73</v>
      </c>
    </row>
    <row r="100" spans="1:6" ht="12.75">
      <c r="A100" s="378">
        <v>11019</v>
      </c>
      <c r="B100" s="379" t="s">
        <v>71</v>
      </c>
      <c r="C100" s="379" t="s">
        <v>72</v>
      </c>
      <c r="D100" s="380">
        <v>44400</v>
      </c>
      <c r="E100" s="379" t="s">
        <v>72</v>
      </c>
      <c r="F100" s="379" t="s">
        <v>73</v>
      </c>
    </row>
    <row r="101" spans="1:6" ht="12.75">
      <c r="A101" s="378">
        <v>11061</v>
      </c>
      <c r="B101" s="379" t="s">
        <v>71</v>
      </c>
      <c r="C101" s="379" t="s">
        <v>72</v>
      </c>
      <c r="D101" s="380">
        <v>44400</v>
      </c>
      <c r="E101" s="379" t="s">
        <v>72</v>
      </c>
      <c r="F101" s="379" t="s">
        <v>73</v>
      </c>
    </row>
    <row r="102" spans="1:6" ht="12.75">
      <c r="A102" s="378">
        <v>11015</v>
      </c>
      <c r="B102" s="379" t="s">
        <v>71</v>
      </c>
      <c r="C102" s="379" t="s">
        <v>72</v>
      </c>
      <c r="D102" s="380">
        <v>44402</v>
      </c>
      <c r="E102" s="379" t="s">
        <v>72</v>
      </c>
      <c r="F102" s="379" t="s">
        <v>73</v>
      </c>
    </row>
    <row r="103" spans="1:6" ht="12.75">
      <c r="A103" s="378">
        <v>11075</v>
      </c>
      <c r="B103" s="379" t="s">
        <v>71</v>
      </c>
      <c r="C103" s="379" t="s">
        <v>72</v>
      </c>
      <c r="D103" s="380">
        <v>44403</v>
      </c>
      <c r="E103" s="379" t="s">
        <v>72</v>
      </c>
      <c r="F103" s="379" t="s">
        <v>73</v>
      </c>
    </row>
    <row r="104" spans="1:6" ht="12.75">
      <c r="A104" s="378">
        <v>11177</v>
      </c>
      <c r="B104" s="379" t="s">
        <v>71</v>
      </c>
      <c r="C104" s="379" t="s">
        <v>72</v>
      </c>
      <c r="D104" s="380">
        <v>44405</v>
      </c>
      <c r="E104" s="379" t="s">
        <v>72</v>
      </c>
      <c r="F104" s="379" t="s">
        <v>73</v>
      </c>
    </row>
    <row r="105" spans="1:6" ht="12.75">
      <c r="A105" s="378">
        <v>11172</v>
      </c>
      <c r="B105" s="379" t="s">
        <v>71</v>
      </c>
      <c r="C105" s="379" t="s">
        <v>72</v>
      </c>
      <c r="D105" s="380">
        <v>44408</v>
      </c>
      <c r="E105" s="379" t="s">
        <v>72</v>
      </c>
      <c r="F105" s="379" t="s">
        <v>73</v>
      </c>
    </row>
    <row r="106" spans="1:6" ht="12.75">
      <c r="A106" s="378">
        <v>11166</v>
      </c>
      <c r="B106" s="379" t="s">
        <v>71</v>
      </c>
      <c r="C106" s="379" t="s">
        <v>72</v>
      </c>
      <c r="D106" s="380">
        <v>44412</v>
      </c>
      <c r="E106" s="379" t="s">
        <v>72</v>
      </c>
      <c r="F106" s="379" t="s">
        <v>73</v>
      </c>
    </row>
    <row r="107" spans="1:6" ht="12.75">
      <c r="A107" s="378">
        <v>11174</v>
      </c>
      <c r="B107" s="379" t="s">
        <v>71</v>
      </c>
      <c r="C107" s="379" t="s">
        <v>72</v>
      </c>
      <c r="D107" s="380">
        <v>44413</v>
      </c>
      <c r="E107" s="379" t="s">
        <v>72</v>
      </c>
      <c r="F107" s="379" t="s">
        <v>73</v>
      </c>
    </row>
    <row r="108" spans="1:6" ht="12.75">
      <c r="A108" s="378">
        <v>11127</v>
      </c>
      <c r="B108" s="379" t="s">
        <v>71</v>
      </c>
      <c r="C108" s="379" t="s">
        <v>72</v>
      </c>
      <c r="D108" s="380">
        <v>44420</v>
      </c>
      <c r="E108" s="379" t="s">
        <v>72</v>
      </c>
      <c r="F108" s="379" t="s">
        <v>73</v>
      </c>
    </row>
    <row r="109" spans="1:6" ht="12.75">
      <c r="A109" s="378">
        <v>11014</v>
      </c>
      <c r="B109" s="379" t="s">
        <v>71</v>
      </c>
      <c r="C109" s="379" t="s">
        <v>72</v>
      </c>
      <c r="D109" s="380">
        <v>44424</v>
      </c>
      <c r="E109" s="379" t="s">
        <v>72</v>
      </c>
      <c r="F109" s="379" t="s">
        <v>73</v>
      </c>
    </row>
    <row r="110" spans="1:6" ht="12.75">
      <c r="A110" s="378">
        <v>11083</v>
      </c>
      <c r="B110" s="379" t="s">
        <v>71</v>
      </c>
      <c r="C110" s="379" t="s">
        <v>72</v>
      </c>
      <c r="D110" s="380">
        <v>44424</v>
      </c>
      <c r="E110" s="379" t="s">
        <v>72</v>
      </c>
      <c r="F110" s="379" t="s">
        <v>73</v>
      </c>
    </row>
    <row r="111" spans="1:6" ht="12.75">
      <c r="A111" s="378">
        <v>11077</v>
      </c>
      <c r="B111" s="379" t="s">
        <v>71</v>
      </c>
      <c r="C111" s="379" t="s">
        <v>72</v>
      </c>
      <c r="D111" s="380">
        <v>44426</v>
      </c>
      <c r="E111" s="379" t="s">
        <v>72</v>
      </c>
      <c r="F111" s="379" t="s">
        <v>73</v>
      </c>
    </row>
    <row r="112" spans="1:6" ht="12.75">
      <c r="A112" s="378">
        <v>11145</v>
      </c>
      <c r="B112" s="379" t="s">
        <v>71</v>
      </c>
      <c r="C112" s="379" t="s">
        <v>72</v>
      </c>
      <c r="D112" s="380">
        <v>44431</v>
      </c>
      <c r="E112" s="379" t="s">
        <v>72</v>
      </c>
      <c r="F112" s="379" t="s">
        <v>73</v>
      </c>
    </row>
    <row r="113" spans="1:6" ht="12.75">
      <c r="A113" s="378">
        <v>11087</v>
      </c>
      <c r="B113" s="379" t="s">
        <v>71</v>
      </c>
      <c r="C113" s="379" t="s">
        <v>72</v>
      </c>
      <c r="D113" s="380">
        <v>44432</v>
      </c>
      <c r="E113" s="379" t="s">
        <v>72</v>
      </c>
      <c r="F113" s="379" t="s">
        <v>73</v>
      </c>
    </row>
    <row r="114" spans="1:6" ht="12.75">
      <c r="A114" s="378">
        <v>11111</v>
      </c>
      <c r="B114" s="379" t="s">
        <v>71</v>
      </c>
      <c r="C114" s="379" t="s">
        <v>72</v>
      </c>
      <c r="D114" s="380">
        <v>44432</v>
      </c>
      <c r="E114" s="379" t="s">
        <v>72</v>
      </c>
      <c r="F114" s="379" t="s">
        <v>73</v>
      </c>
    </row>
    <row r="115" spans="1:6" ht="12.75">
      <c r="A115" s="378">
        <v>11094</v>
      </c>
      <c r="B115" s="379" t="s">
        <v>71</v>
      </c>
      <c r="C115" s="379" t="s">
        <v>72</v>
      </c>
      <c r="D115" s="380">
        <v>44436</v>
      </c>
      <c r="E115" s="379" t="s">
        <v>72</v>
      </c>
      <c r="F115" s="379" t="s">
        <v>73</v>
      </c>
    </row>
    <row r="116" spans="1:6" ht="12.75">
      <c r="A116" s="378">
        <v>11042</v>
      </c>
      <c r="B116" s="379" t="s">
        <v>71</v>
      </c>
      <c r="C116" s="379" t="s">
        <v>72</v>
      </c>
      <c r="D116" s="380">
        <v>44437</v>
      </c>
      <c r="E116" s="379" t="s">
        <v>72</v>
      </c>
      <c r="F116" s="379" t="s">
        <v>73</v>
      </c>
    </row>
    <row r="117" spans="1:6" ht="12.75">
      <c r="A117" s="378">
        <v>11006</v>
      </c>
      <c r="B117" s="379" t="s">
        <v>71</v>
      </c>
      <c r="C117" s="379" t="s">
        <v>72</v>
      </c>
      <c r="D117" s="380">
        <v>44440</v>
      </c>
      <c r="E117" s="379" t="s">
        <v>72</v>
      </c>
      <c r="F117" s="379" t="s">
        <v>73</v>
      </c>
    </row>
    <row r="118" spans="1:6" ht="12.75">
      <c r="A118" s="378">
        <v>11027</v>
      </c>
      <c r="B118" s="379" t="s">
        <v>71</v>
      </c>
      <c r="C118" s="379" t="s">
        <v>72</v>
      </c>
      <c r="D118" s="380">
        <v>44444</v>
      </c>
      <c r="E118" s="379" t="s">
        <v>72</v>
      </c>
      <c r="F118" s="379" t="s">
        <v>73</v>
      </c>
    </row>
    <row r="119" spans="1:6" ht="12.75">
      <c r="A119" s="378">
        <v>11086</v>
      </c>
      <c r="B119" s="379" t="s">
        <v>71</v>
      </c>
      <c r="C119" s="379" t="s">
        <v>72</v>
      </c>
      <c r="D119" s="380">
        <v>44446</v>
      </c>
      <c r="E119" s="379" t="s">
        <v>72</v>
      </c>
      <c r="F119" s="379" t="s">
        <v>73</v>
      </c>
    </row>
    <row r="120" spans="1:6" ht="12.75">
      <c r="A120" s="378">
        <v>11169</v>
      </c>
      <c r="B120" s="379" t="s">
        <v>71</v>
      </c>
      <c r="C120" s="379" t="s">
        <v>72</v>
      </c>
      <c r="D120" s="380">
        <v>44450</v>
      </c>
      <c r="E120" s="379" t="s">
        <v>72</v>
      </c>
      <c r="F120" s="379" t="s">
        <v>73</v>
      </c>
    </row>
    <row r="121" spans="1:6" ht="12.75">
      <c r="A121" s="378">
        <v>11154</v>
      </c>
      <c r="B121" s="379" t="s">
        <v>71</v>
      </c>
      <c r="C121" s="379" t="s">
        <v>72</v>
      </c>
      <c r="D121" s="380">
        <v>44452</v>
      </c>
      <c r="E121" s="379" t="s">
        <v>72</v>
      </c>
      <c r="F121" s="379" t="s">
        <v>73</v>
      </c>
    </row>
    <row r="122" spans="1:6" ht="12.75">
      <c r="A122" s="378">
        <v>11157</v>
      </c>
      <c r="B122" s="379" t="s">
        <v>71</v>
      </c>
      <c r="C122" s="379" t="s">
        <v>72</v>
      </c>
      <c r="D122" s="380">
        <v>44453</v>
      </c>
      <c r="E122" s="379" t="s">
        <v>72</v>
      </c>
      <c r="F122" s="379" t="s">
        <v>73</v>
      </c>
    </row>
    <row r="123" spans="1:6" ht="12.75">
      <c r="A123" s="378">
        <v>11012</v>
      </c>
      <c r="B123" s="379" t="s">
        <v>71</v>
      </c>
      <c r="C123" s="379" t="s">
        <v>72</v>
      </c>
      <c r="D123" s="380">
        <v>44459</v>
      </c>
      <c r="E123" s="379" t="s">
        <v>72</v>
      </c>
      <c r="F123" s="379" t="s">
        <v>73</v>
      </c>
    </row>
    <row r="124" spans="1:6" ht="12.75">
      <c r="A124" s="378">
        <v>11071</v>
      </c>
      <c r="B124" s="379" t="s">
        <v>71</v>
      </c>
      <c r="C124" s="379" t="s">
        <v>72</v>
      </c>
      <c r="D124" s="380">
        <v>44461</v>
      </c>
      <c r="E124" s="379" t="s">
        <v>72</v>
      </c>
      <c r="F124" s="379" t="s">
        <v>73</v>
      </c>
    </row>
    <row r="125" spans="1:6" ht="12.75">
      <c r="A125" s="378">
        <v>11082</v>
      </c>
      <c r="B125" s="379" t="s">
        <v>71</v>
      </c>
      <c r="C125" s="379" t="s">
        <v>72</v>
      </c>
      <c r="D125" s="380">
        <v>44461</v>
      </c>
      <c r="E125" s="379" t="s">
        <v>72</v>
      </c>
      <c r="F125" s="379" t="s">
        <v>73</v>
      </c>
    </row>
    <row r="126" spans="1:6" ht="12.75">
      <c r="A126" s="378">
        <v>11159</v>
      </c>
      <c r="B126" s="379" t="s">
        <v>71</v>
      </c>
      <c r="C126" s="379" t="s">
        <v>72</v>
      </c>
      <c r="D126" s="380">
        <v>44461</v>
      </c>
      <c r="E126" s="379" t="s">
        <v>72</v>
      </c>
      <c r="F126" s="379" t="s">
        <v>73</v>
      </c>
    </row>
    <row r="127" spans="1:6" ht="12.75">
      <c r="A127" s="378">
        <v>11066</v>
      </c>
      <c r="B127" s="379" t="s">
        <v>71</v>
      </c>
      <c r="C127" s="379" t="s">
        <v>72</v>
      </c>
      <c r="D127" s="380">
        <v>44462</v>
      </c>
      <c r="E127" s="379" t="s">
        <v>72</v>
      </c>
      <c r="F127" s="379" t="s">
        <v>73</v>
      </c>
    </row>
    <row r="128" spans="1:6" ht="12.75">
      <c r="A128" s="378">
        <v>11070</v>
      </c>
      <c r="B128" s="379" t="s">
        <v>71</v>
      </c>
      <c r="C128" s="379" t="s">
        <v>72</v>
      </c>
      <c r="D128" s="380">
        <v>44462</v>
      </c>
      <c r="E128" s="379" t="s">
        <v>72</v>
      </c>
      <c r="F128" s="379" t="s">
        <v>73</v>
      </c>
    </row>
    <row r="129" spans="1:6" ht="12.75">
      <c r="A129" s="378">
        <v>11124</v>
      </c>
      <c r="B129" s="379" t="s">
        <v>71</v>
      </c>
      <c r="C129" s="379" t="s">
        <v>72</v>
      </c>
      <c r="D129" s="380">
        <v>44462</v>
      </c>
      <c r="E129" s="379" t="s">
        <v>72</v>
      </c>
      <c r="F129" s="379" t="s">
        <v>73</v>
      </c>
    </row>
    <row r="130" spans="1:6" ht="12.75">
      <c r="A130" s="378">
        <v>11016</v>
      </c>
      <c r="B130" s="379" t="s">
        <v>71</v>
      </c>
      <c r="C130" s="379" t="s">
        <v>72</v>
      </c>
      <c r="D130" s="380">
        <v>44463</v>
      </c>
      <c r="E130" s="379" t="s">
        <v>72</v>
      </c>
      <c r="F130" s="379" t="s">
        <v>73</v>
      </c>
    </row>
    <row r="131" spans="1:6" ht="12.75">
      <c r="A131" s="378">
        <v>11173</v>
      </c>
      <c r="B131" s="379" t="s">
        <v>71</v>
      </c>
      <c r="C131" s="379" t="s">
        <v>72</v>
      </c>
      <c r="D131" s="380">
        <v>44464</v>
      </c>
      <c r="E131" s="379" t="s">
        <v>72</v>
      </c>
      <c r="F131" s="379" t="s">
        <v>73</v>
      </c>
    </row>
    <row r="132" spans="1:6" ht="12.75">
      <c r="A132" s="378">
        <v>11041</v>
      </c>
      <c r="B132" s="379" t="s">
        <v>71</v>
      </c>
      <c r="C132" s="379" t="s">
        <v>72</v>
      </c>
      <c r="D132" s="380">
        <v>44470</v>
      </c>
      <c r="E132" s="379" t="s">
        <v>72</v>
      </c>
      <c r="F132" s="379" t="s">
        <v>73</v>
      </c>
    </row>
    <row r="133" spans="1:6" ht="12.75">
      <c r="A133" s="378">
        <v>11167</v>
      </c>
      <c r="B133" s="379" t="s">
        <v>71</v>
      </c>
      <c r="C133" s="379" t="s">
        <v>72</v>
      </c>
      <c r="D133" s="380">
        <v>44470</v>
      </c>
      <c r="E133" s="379" t="s">
        <v>72</v>
      </c>
      <c r="F133" s="379" t="s">
        <v>73</v>
      </c>
    </row>
    <row r="134" spans="1:6" ht="12.75">
      <c r="A134" s="378">
        <v>11058</v>
      </c>
      <c r="B134" s="379" t="s">
        <v>71</v>
      </c>
      <c r="C134" s="379" t="s">
        <v>72</v>
      </c>
      <c r="D134" s="380">
        <v>44472</v>
      </c>
      <c r="E134" s="379" t="s">
        <v>72</v>
      </c>
      <c r="F134" s="379" t="s">
        <v>73</v>
      </c>
    </row>
    <row r="135" spans="1:6" ht="12.75">
      <c r="A135" s="378">
        <v>11147</v>
      </c>
      <c r="B135" s="379" t="s">
        <v>71</v>
      </c>
      <c r="C135" s="379" t="s">
        <v>72</v>
      </c>
      <c r="D135" s="380">
        <v>44472</v>
      </c>
      <c r="E135" s="379" t="s">
        <v>72</v>
      </c>
      <c r="F135" s="379" t="s">
        <v>73</v>
      </c>
    </row>
    <row r="136" spans="1:6" ht="12.75">
      <c r="A136" s="378">
        <v>11023</v>
      </c>
      <c r="B136" s="379" t="s">
        <v>71</v>
      </c>
      <c r="C136" s="379" t="s">
        <v>72</v>
      </c>
      <c r="D136" s="380">
        <v>44473</v>
      </c>
      <c r="E136" s="379" t="s">
        <v>72</v>
      </c>
      <c r="F136" s="379" t="s">
        <v>73</v>
      </c>
    </row>
    <row r="137" spans="1:6" ht="12.75">
      <c r="A137" s="378">
        <v>11091</v>
      </c>
      <c r="B137" s="379" t="s">
        <v>71</v>
      </c>
      <c r="C137" s="379" t="s">
        <v>72</v>
      </c>
      <c r="D137" s="380">
        <v>44473</v>
      </c>
      <c r="E137" s="379" t="s">
        <v>72</v>
      </c>
      <c r="F137" s="379" t="s">
        <v>73</v>
      </c>
    </row>
    <row r="138" spans="1:6" ht="12.75">
      <c r="A138" s="378">
        <v>11053</v>
      </c>
      <c r="B138" s="379" t="s">
        <v>71</v>
      </c>
      <c r="C138" s="379" t="s">
        <v>72</v>
      </c>
      <c r="D138" s="380">
        <v>44474</v>
      </c>
      <c r="E138" s="379" t="s">
        <v>72</v>
      </c>
      <c r="F138" s="379" t="s">
        <v>73</v>
      </c>
    </row>
    <row r="139" spans="1:6" ht="12.75">
      <c r="A139" s="378">
        <v>11069</v>
      </c>
      <c r="B139" s="379" t="s">
        <v>71</v>
      </c>
      <c r="C139" s="379" t="s">
        <v>72</v>
      </c>
      <c r="D139" s="380">
        <v>44477</v>
      </c>
      <c r="E139" s="379" t="s">
        <v>72</v>
      </c>
      <c r="F139" s="379" t="s">
        <v>73</v>
      </c>
    </row>
    <row r="140" spans="1:6" ht="12.75">
      <c r="A140" s="378">
        <v>11095</v>
      </c>
      <c r="B140" s="379" t="s">
        <v>71</v>
      </c>
      <c r="C140" s="379" t="s">
        <v>72</v>
      </c>
      <c r="D140" s="380">
        <v>44479</v>
      </c>
      <c r="E140" s="379" t="s">
        <v>72</v>
      </c>
      <c r="F140" s="379" t="s">
        <v>73</v>
      </c>
    </row>
    <row r="141" spans="1:6" ht="12.75">
      <c r="A141" s="378">
        <v>11048</v>
      </c>
      <c r="B141" s="379" t="s">
        <v>71</v>
      </c>
      <c r="C141" s="379" t="s">
        <v>72</v>
      </c>
      <c r="D141" s="380">
        <v>44483</v>
      </c>
      <c r="E141" s="379" t="s">
        <v>72</v>
      </c>
      <c r="F141" s="379" t="s">
        <v>73</v>
      </c>
    </row>
    <row r="142" spans="1:6" ht="12.75">
      <c r="A142" s="378">
        <v>11142</v>
      </c>
      <c r="B142" s="379" t="s">
        <v>71</v>
      </c>
      <c r="C142" s="379" t="s">
        <v>72</v>
      </c>
      <c r="D142" s="380">
        <v>44484</v>
      </c>
      <c r="E142" s="379" t="s">
        <v>72</v>
      </c>
      <c r="F142" s="379" t="s">
        <v>73</v>
      </c>
    </row>
    <row r="143" spans="1:6" ht="12.75">
      <c r="A143" s="378">
        <v>11180</v>
      </c>
      <c r="B143" s="379" t="s">
        <v>75</v>
      </c>
      <c r="C143" s="379" t="s">
        <v>71</v>
      </c>
      <c r="D143" s="380">
        <v>44489</v>
      </c>
      <c r="E143" s="379" t="s">
        <v>72</v>
      </c>
      <c r="F143" s="379" t="s">
        <v>73</v>
      </c>
    </row>
    <row r="144" spans="1:6" ht="12.75">
      <c r="A144" s="378">
        <v>11144</v>
      </c>
      <c r="B144" s="379" t="s">
        <v>71</v>
      </c>
      <c r="C144" s="379" t="s">
        <v>72</v>
      </c>
      <c r="D144" s="380">
        <v>44492</v>
      </c>
      <c r="E144" s="379" t="s">
        <v>72</v>
      </c>
      <c r="F144" s="379" t="s">
        <v>73</v>
      </c>
    </row>
    <row r="145" spans="1:6" ht="12.75">
      <c r="A145" s="378">
        <v>11026</v>
      </c>
      <c r="B145" s="379" t="s">
        <v>71</v>
      </c>
      <c r="C145" s="379" t="s">
        <v>72</v>
      </c>
      <c r="D145" s="380">
        <v>44497</v>
      </c>
      <c r="E145" s="379" t="s">
        <v>72</v>
      </c>
      <c r="F145" s="379" t="s">
        <v>73</v>
      </c>
    </row>
    <row r="146" spans="1:6" ht="12.75">
      <c r="A146" s="378">
        <v>11085</v>
      </c>
      <c r="B146" s="379" t="s">
        <v>71</v>
      </c>
      <c r="C146" s="379" t="s">
        <v>72</v>
      </c>
      <c r="D146" s="380">
        <v>44497</v>
      </c>
      <c r="E146" s="379" t="s">
        <v>72</v>
      </c>
      <c r="F146" s="379" t="s">
        <v>73</v>
      </c>
    </row>
    <row r="147" spans="1:6" ht="12.75">
      <c r="A147" s="378">
        <v>11028</v>
      </c>
      <c r="B147" s="379" t="s">
        <v>71</v>
      </c>
      <c r="C147" s="379" t="s">
        <v>72</v>
      </c>
      <c r="D147" s="380">
        <v>44500</v>
      </c>
      <c r="E147" s="379" t="s">
        <v>72</v>
      </c>
      <c r="F147" s="379" t="s">
        <v>73</v>
      </c>
    </row>
    <row r="148" spans="1:6" ht="12.75">
      <c r="A148" s="378">
        <v>11044</v>
      </c>
      <c r="B148" s="379" t="s">
        <v>71</v>
      </c>
      <c r="C148" s="379" t="s">
        <v>72</v>
      </c>
      <c r="D148" s="380">
        <v>44500</v>
      </c>
      <c r="E148" s="379" t="s">
        <v>72</v>
      </c>
      <c r="F148" s="379" t="s">
        <v>73</v>
      </c>
    </row>
    <row r="149" spans="1:6" ht="12.75">
      <c r="A149" s="378">
        <v>11165</v>
      </c>
      <c r="B149" s="379" t="s">
        <v>71</v>
      </c>
      <c r="C149" s="379" t="s">
        <v>72</v>
      </c>
      <c r="D149" s="380">
        <v>44500</v>
      </c>
      <c r="E149" s="379" t="s">
        <v>72</v>
      </c>
      <c r="F149" s="379" t="s">
        <v>73</v>
      </c>
    </row>
    <row r="150" spans="1:6" ht="12.75">
      <c r="A150" s="378">
        <v>11072</v>
      </c>
      <c r="B150" s="379" t="s">
        <v>71</v>
      </c>
      <c r="C150" s="379" t="s">
        <v>72</v>
      </c>
      <c r="D150" s="380">
        <v>44501</v>
      </c>
      <c r="E150" s="379" t="s">
        <v>72</v>
      </c>
      <c r="F150" s="379" t="s">
        <v>73</v>
      </c>
    </row>
    <row r="151" spans="1:6" ht="12.75">
      <c r="A151" s="378">
        <v>11110</v>
      </c>
      <c r="B151" s="379" t="s">
        <v>71</v>
      </c>
      <c r="C151" s="379" t="s">
        <v>72</v>
      </c>
      <c r="D151" s="380">
        <v>44505</v>
      </c>
      <c r="E151" s="379" t="s">
        <v>72</v>
      </c>
      <c r="F151" s="379" t="s">
        <v>73</v>
      </c>
    </row>
    <row r="152" spans="1:6" ht="12.75">
      <c r="A152" s="378">
        <v>11119</v>
      </c>
      <c r="B152" s="379" t="s">
        <v>71</v>
      </c>
      <c r="C152" s="379" t="s">
        <v>72</v>
      </c>
      <c r="D152" s="380">
        <v>44507</v>
      </c>
      <c r="E152" s="379" t="s">
        <v>72</v>
      </c>
      <c r="F152" s="379" t="s">
        <v>73</v>
      </c>
    </row>
    <row r="153" spans="1:6" ht="12.75">
      <c r="A153" s="378">
        <v>11113</v>
      </c>
      <c r="B153" s="379" t="s">
        <v>71</v>
      </c>
      <c r="C153" s="379" t="s">
        <v>72</v>
      </c>
      <c r="D153" s="380">
        <v>44508</v>
      </c>
      <c r="E153" s="379" t="s">
        <v>72</v>
      </c>
      <c r="F153" s="379" t="s">
        <v>73</v>
      </c>
    </row>
    <row r="154" spans="1:6" ht="12.75">
      <c r="A154" s="378">
        <v>11057</v>
      </c>
      <c r="B154" s="379" t="s">
        <v>71</v>
      </c>
      <c r="C154" s="379" t="s">
        <v>72</v>
      </c>
      <c r="D154" s="380">
        <v>44510</v>
      </c>
      <c r="E154" s="379" t="s">
        <v>72</v>
      </c>
      <c r="F154" s="379" t="s">
        <v>73</v>
      </c>
    </row>
    <row r="155" spans="1:6" ht="12.75">
      <c r="A155" s="378">
        <v>11032</v>
      </c>
      <c r="B155" s="379" t="s">
        <v>71</v>
      </c>
      <c r="C155" s="379" t="s">
        <v>72</v>
      </c>
      <c r="D155" s="380">
        <v>44511</v>
      </c>
      <c r="E155" s="379" t="s">
        <v>72</v>
      </c>
      <c r="F155" s="379" t="s">
        <v>73</v>
      </c>
    </row>
    <row r="156" spans="1:6" ht="12.75">
      <c r="A156" s="378">
        <v>11116</v>
      </c>
      <c r="B156" s="379" t="s">
        <v>71</v>
      </c>
      <c r="C156" s="379" t="s">
        <v>72</v>
      </c>
      <c r="D156" s="380">
        <v>44512</v>
      </c>
      <c r="E156" s="379" t="s">
        <v>72</v>
      </c>
      <c r="F156" s="379" t="s">
        <v>73</v>
      </c>
    </row>
    <row r="157" spans="1:6" ht="12.75">
      <c r="A157" s="378">
        <v>11181</v>
      </c>
      <c r="B157" s="379" t="s">
        <v>75</v>
      </c>
      <c r="C157" s="379" t="s">
        <v>71</v>
      </c>
      <c r="D157" s="380">
        <v>44512</v>
      </c>
      <c r="E157" s="379" t="s">
        <v>72</v>
      </c>
      <c r="F157" s="379" t="s">
        <v>73</v>
      </c>
    </row>
    <row r="158" spans="1:6" ht="12.75">
      <c r="A158" s="378">
        <v>11183</v>
      </c>
      <c r="B158" s="379" t="s">
        <v>75</v>
      </c>
      <c r="C158" s="379" t="s">
        <v>71</v>
      </c>
      <c r="D158" s="380">
        <v>44514</v>
      </c>
      <c r="E158" s="379" t="s">
        <v>72</v>
      </c>
      <c r="F158" s="379" t="s">
        <v>73</v>
      </c>
    </row>
    <row r="159" spans="1:6" ht="12.75">
      <c r="A159" s="378">
        <v>11001</v>
      </c>
      <c r="B159" s="379" t="s">
        <v>71</v>
      </c>
      <c r="C159" s="379" t="s">
        <v>72</v>
      </c>
      <c r="D159" s="380">
        <v>44515</v>
      </c>
      <c r="E159" s="379" t="s">
        <v>72</v>
      </c>
      <c r="F159" s="379" t="s">
        <v>73</v>
      </c>
    </row>
    <row r="160" spans="1:6" ht="12.75">
      <c r="A160" s="378">
        <v>11035</v>
      </c>
      <c r="B160" s="379" t="s">
        <v>71</v>
      </c>
      <c r="C160" s="379" t="s">
        <v>72</v>
      </c>
      <c r="D160" s="380">
        <v>44518</v>
      </c>
      <c r="E160" s="379" t="s">
        <v>72</v>
      </c>
      <c r="F160" s="379" t="s">
        <v>73</v>
      </c>
    </row>
    <row r="161" spans="1:6" ht="12.75">
      <c r="A161" s="378">
        <v>11068</v>
      </c>
      <c r="B161" s="379" t="s">
        <v>71</v>
      </c>
      <c r="C161" s="379" t="s">
        <v>72</v>
      </c>
      <c r="D161" s="380">
        <v>44518</v>
      </c>
      <c r="E161" s="379" t="s">
        <v>72</v>
      </c>
      <c r="F161" s="379" t="s">
        <v>73</v>
      </c>
    </row>
    <row r="162" spans="1:6" ht="12.75">
      <c r="A162" s="378">
        <v>11040</v>
      </c>
      <c r="B162" s="379" t="s">
        <v>71</v>
      </c>
      <c r="C162" s="379" t="s">
        <v>72</v>
      </c>
      <c r="D162" s="380">
        <v>44520</v>
      </c>
      <c r="E162" s="379" t="s">
        <v>72</v>
      </c>
      <c r="F162" s="379" t="s">
        <v>73</v>
      </c>
    </row>
    <row r="163" spans="1:6" ht="12.75">
      <c r="A163" s="378">
        <v>11096</v>
      </c>
      <c r="B163" s="379" t="s">
        <v>71</v>
      </c>
      <c r="C163" s="379" t="s">
        <v>72</v>
      </c>
      <c r="D163" s="380">
        <v>44520</v>
      </c>
      <c r="E163" s="379" t="s">
        <v>72</v>
      </c>
      <c r="F163" s="379" t="s">
        <v>73</v>
      </c>
    </row>
    <row r="164" spans="1:6" ht="12.75">
      <c r="A164" s="378">
        <v>11129</v>
      </c>
      <c r="B164" s="379" t="s">
        <v>71</v>
      </c>
      <c r="C164" s="379" t="s">
        <v>72</v>
      </c>
      <c r="D164" s="380">
        <v>44522</v>
      </c>
      <c r="E164" s="379" t="s">
        <v>72</v>
      </c>
      <c r="F164" s="379" t="s">
        <v>73</v>
      </c>
    </row>
    <row r="165" spans="1:6" ht="12.75">
      <c r="A165" s="378">
        <v>11004</v>
      </c>
      <c r="B165" s="379" t="s">
        <v>71</v>
      </c>
      <c r="C165" s="379" t="s">
        <v>72</v>
      </c>
      <c r="D165" s="380">
        <v>44524</v>
      </c>
      <c r="E165" s="379" t="s">
        <v>72</v>
      </c>
      <c r="F165" s="379" t="s">
        <v>73</v>
      </c>
    </row>
    <row r="166" spans="1:6" ht="12.75">
      <c r="A166" s="378">
        <v>11021</v>
      </c>
      <c r="B166" s="379" t="s">
        <v>71</v>
      </c>
      <c r="C166" s="379" t="s">
        <v>72</v>
      </c>
      <c r="D166" s="380">
        <v>44530</v>
      </c>
      <c r="E166" s="379" t="s">
        <v>72</v>
      </c>
      <c r="F166" s="379" t="s">
        <v>73</v>
      </c>
    </row>
    <row r="167" spans="1:6" ht="12.75">
      <c r="A167" s="378">
        <v>11073</v>
      </c>
      <c r="B167" s="379" t="s">
        <v>71</v>
      </c>
      <c r="C167" s="379" t="s">
        <v>72</v>
      </c>
      <c r="D167" s="380">
        <v>44531</v>
      </c>
      <c r="E167" s="379" t="s">
        <v>72</v>
      </c>
      <c r="F167" s="379" t="s">
        <v>73</v>
      </c>
    </row>
    <row r="168" spans="1:6" ht="12.75">
      <c r="A168" s="378">
        <v>11140</v>
      </c>
      <c r="B168" s="379" t="s">
        <v>71</v>
      </c>
      <c r="C168" s="379" t="s">
        <v>72</v>
      </c>
      <c r="D168" s="380">
        <v>44538</v>
      </c>
      <c r="E168" s="379" t="s">
        <v>72</v>
      </c>
      <c r="F168" s="379" t="s">
        <v>73</v>
      </c>
    </row>
    <row r="169" spans="1:6" ht="12.75">
      <c r="A169" s="378">
        <v>11030</v>
      </c>
      <c r="B169" s="379" t="s">
        <v>71</v>
      </c>
      <c r="C169" s="379" t="s">
        <v>72</v>
      </c>
      <c r="D169" s="380">
        <v>44540</v>
      </c>
      <c r="E169" s="379" t="s">
        <v>72</v>
      </c>
      <c r="F169" s="379" t="s">
        <v>73</v>
      </c>
    </row>
    <row r="170" spans="1:6" ht="12.75">
      <c r="A170" s="378">
        <v>11005</v>
      </c>
      <c r="B170" s="379" t="s">
        <v>71</v>
      </c>
      <c r="C170" s="379" t="s">
        <v>72</v>
      </c>
      <c r="D170" s="380">
        <v>44547</v>
      </c>
      <c r="E170" s="379" t="s">
        <v>72</v>
      </c>
      <c r="F170" s="379" t="s">
        <v>73</v>
      </c>
    </row>
    <row r="171" spans="1:6" ht="12.75">
      <c r="A171" s="378">
        <v>11008</v>
      </c>
      <c r="B171" s="379" t="s">
        <v>71</v>
      </c>
      <c r="C171" s="379" t="s">
        <v>72</v>
      </c>
      <c r="D171" s="380">
        <v>44547</v>
      </c>
      <c r="E171" s="379" t="s">
        <v>72</v>
      </c>
      <c r="F171" s="379" t="s">
        <v>73</v>
      </c>
    </row>
    <row r="172" spans="1:6" ht="12.75">
      <c r="A172" s="378">
        <v>11105</v>
      </c>
      <c r="B172" s="379" t="s">
        <v>71</v>
      </c>
      <c r="C172" s="379" t="s">
        <v>72</v>
      </c>
      <c r="D172" s="380">
        <v>44547</v>
      </c>
      <c r="E172" s="379" t="s">
        <v>72</v>
      </c>
      <c r="F172" s="379" t="s">
        <v>73</v>
      </c>
    </row>
    <row r="173" spans="1:6" ht="12.75">
      <c r="A173" s="378">
        <v>11007</v>
      </c>
      <c r="B173" s="379" t="s">
        <v>71</v>
      </c>
      <c r="C173" s="379" t="s">
        <v>72</v>
      </c>
      <c r="D173" s="380">
        <v>44549</v>
      </c>
      <c r="E173" s="379" t="s">
        <v>72</v>
      </c>
      <c r="F173" s="379" t="s">
        <v>73</v>
      </c>
    </row>
    <row r="174" spans="1:6" ht="12.75">
      <c r="A174" s="378">
        <v>11168</v>
      </c>
      <c r="B174" s="379" t="s">
        <v>71</v>
      </c>
      <c r="C174" s="379" t="s">
        <v>72</v>
      </c>
      <c r="D174" s="380">
        <v>44549</v>
      </c>
      <c r="E174" s="379" t="s">
        <v>72</v>
      </c>
      <c r="F174" s="379" t="s">
        <v>73</v>
      </c>
    </row>
    <row r="175" spans="1:6" ht="12.75">
      <c r="A175" s="378">
        <v>11131</v>
      </c>
      <c r="B175" s="379" t="s">
        <v>71</v>
      </c>
      <c r="C175" s="379" t="s">
        <v>72</v>
      </c>
      <c r="D175" s="380">
        <v>44550</v>
      </c>
      <c r="E175" s="379" t="s">
        <v>72</v>
      </c>
      <c r="F175" s="379" t="s">
        <v>73</v>
      </c>
    </row>
    <row r="176" spans="1:6" ht="12.75">
      <c r="A176" s="378">
        <v>11107</v>
      </c>
      <c r="B176" s="379" t="s">
        <v>71</v>
      </c>
      <c r="C176" s="379" t="s">
        <v>72</v>
      </c>
      <c r="D176" s="380">
        <v>44551</v>
      </c>
      <c r="E176" s="379" t="s">
        <v>72</v>
      </c>
      <c r="F176" s="379" t="s">
        <v>73</v>
      </c>
    </row>
    <row r="177" spans="1:6" ht="12.75">
      <c r="A177" s="378">
        <v>11109</v>
      </c>
      <c r="B177" s="379" t="s">
        <v>71</v>
      </c>
      <c r="C177" s="379" t="s">
        <v>72</v>
      </c>
      <c r="D177" s="380">
        <v>44552</v>
      </c>
      <c r="E177" s="379" t="s">
        <v>72</v>
      </c>
      <c r="F177" s="379" t="s">
        <v>73</v>
      </c>
    </row>
    <row r="178" spans="1:6" ht="12.75">
      <c r="A178" s="378">
        <v>11135</v>
      </c>
      <c r="B178" s="379" t="s">
        <v>71</v>
      </c>
      <c r="C178" s="379" t="s">
        <v>72</v>
      </c>
      <c r="D178" s="380">
        <v>44552</v>
      </c>
      <c r="E178" s="379" t="s">
        <v>72</v>
      </c>
      <c r="F178" s="379" t="s">
        <v>73</v>
      </c>
    </row>
    <row r="179" spans="1:6" ht="12.75">
      <c r="A179" s="378">
        <v>11176</v>
      </c>
      <c r="B179" s="379" t="s">
        <v>71</v>
      </c>
      <c r="C179" s="379" t="s">
        <v>72</v>
      </c>
      <c r="D179" s="380">
        <v>44552</v>
      </c>
      <c r="E179" s="379" t="s">
        <v>72</v>
      </c>
      <c r="F179" s="379" t="s">
        <v>73</v>
      </c>
    </row>
    <row r="180" spans="1:6" ht="12.75">
      <c r="A180" s="378">
        <v>11074</v>
      </c>
      <c r="B180" s="379" t="s">
        <v>71</v>
      </c>
      <c r="C180" s="379" t="s">
        <v>72</v>
      </c>
      <c r="D180" s="380">
        <v>44554</v>
      </c>
      <c r="E180" s="379" t="s">
        <v>72</v>
      </c>
      <c r="F180" s="379" t="s">
        <v>73</v>
      </c>
    </row>
    <row r="181" spans="1:6" ht="12.75">
      <c r="A181" s="378">
        <v>11138</v>
      </c>
      <c r="B181" s="379" t="s">
        <v>71</v>
      </c>
      <c r="C181" s="379" t="s">
        <v>72</v>
      </c>
      <c r="D181" s="380">
        <v>44559</v>
      </c>
      <c r="E181" s="379" t="s">
        <v>72</v>
      </c>
      <c r="F181" s="379" t="s">
        <v>73</v>
      </c>
    </row>
    <row r="182" spans="1:6" ht="12.75">
      <c r="A182" s="378">
        <v>11065</v>
      </c>
      <c r="B182" s="379" t="s">
        <v>71</v>
      </c>
      <c r="C182" s="379" t="s">
        <v>72</v>
      </c>
      <c r="D182" s="380">
        <v>44357</v>
      </c>
      <c r="E182" s="379" t="s">
        <v>72</v>
      </c>
      <c r="F182" s="379" t="s">
        <v>77</v>
      </c>
    </row>
    <row r="183" spans="1:6" ht="12.75">
      <c r="A183" s="378">
        <v>11060</v>
      </c>
      <c r="B183" s="379" t="s">
        <v>71</v>
      </c>
      <c r="C183" s="379" t="s">
        <v>72</v>
      </c>
      <c r="D183" s="380">
        <v>44358</v>
      </c>
      <c r="E183" s="379" t="s">
        <v>72</v>
      </c>
      <c r="F183" s="379" t="s">
        <v>77</v>
      </c>
    </row>
    <row r="184" spans="1:6" ht="12.75">
      <c r="A184" s="378">
        <v>11038</v>
      </c>
      <c r="B184" s="379" t="s">
        <v>71</v>
      </c>
      <c r="C184" s="379" t="s">
        <v>72</v>
      </c>
      <c r="D184" s="380">
        <v>44364</v>
      </c>
      <c r="E184" s="379" t="s">
        <v>72</v>
      </c>
      <c r="F184" s="379" t="s">
        <v>77</v>
      </c>
    </row>
    <row r="185" spans="1:6" ht="12.75">
      <c r="A185" s="378">
        <v>11011</v>
      </c>
      <c r="B185" s="379" t="s">
        <v>71</v>
      </c>
      <c r="C185" s="379" t="s">
        <v>72</v>
      </c>
      <c r="D185" s="380">
        <v>44384</v>
      </c>
      <c r="E185" s="379" t="s">
        <v>72</v>
      </c>
      <c r="F185" s="379" t="s">
        <v>77</v>
      </c>
    </row>
    <row r="186" spans="1:6" ht="12.75">
      <c r="A186" s="378">
        <v>11185</v>
      </c>
      <c r="B186" s="379" t="s">
        <v>75</v>
      </c>
      <c r="C186" s="379" t="s">
        <v>71</v>
      </c>
      <c r="D186" s="380">
        <v>44391</v>
      </c>
      <c r="E186" s="379" t="s">
        <v>72</v>
      </c>
      <c r="F186" s="379" t="s">
        <v>77</v>
      </c>
    </row>
    <row r="187" spans="1:6" ht="12.75">
      <c r="A187" s="378">
        <v>11146</v>
      </c>
      <c r="B187" s="379" t="s">
        <v>71</v>
      </c>
      <c r="C187" s="379" t="s">
        <v>72</v>
      </c>
      <c r="D187" s="380">
        <v>44396</v>
      </c>
      <c r="E187" s="379" t="s">
        <v>72</v>
      </c>
      <c r="F187" s="379" t="s">
        <v>77</v>
      </c>
    </row>
    <row r="188" spans="1:6" ht="12.75">
      <c r="A188" s="378">
        <v>11118</v>
      </c>
      <c r="B188" s="379" t="s">
        <v>71</v>
      </c>
      <c r="C188" s="379" t="s">
        <v>72</v>
      </c>
      <c r="D188" s="380">
        <v>44398</v>
      </c>
      <c r="E188" s="379" t="s">
        <v>72</v>
      </c>
      <c r="F188" s="379" t="s">
        <v>77</v>
      </c>
    </row>
    <row r="189" spans="1:6" ht="12.75">
      <c r="A189" s="378">
        <v>11175</v>
      </c>
      <c r="B189" s="379" t="s">
        <v>71</v>
      </c>
      <c r="C189" s="379" t="s">
        <v>72</v>
      </c>
      <c r="D189" s="380">
        <v>44406</v>
      </c>
      <c r="E189" s="379" t="s">
        <v>72</v>
      </c>
      <c r="F189" s="379" t="s">
        <v>77</v>
      </c>
    </row>
    <row r="190" spans="1:6" ht="12.75">
      <c r="A190" s="378">
        <v>11039</v>
      </c>
      <c r="B190" s="379" t="s">
        <v>71</v>
      </c>
      <c r="C190" s="379" t="s">
        <v>72</v>
      </c>
      <c r="D190" s="380">
        <v>44416</v>
      </c>
      <c r="E190" s="379" t="s">
        <v>72</v>
      </c>
      <c r="F190" s="379" t="s">
        <v>77</v>
      </c>
    </row>
    <row r="191" spans="1:6" ht="12.75">
      <c r="A191" s="378">
        <v>11090</v>
      </c>
      <c r="B191" s="379" t="s">
        <v>71</v>
      </c>
      <c r="C191" s="379" t="s">
        <v>72</v>
      </c>
      <c r="D191" s="380">
        <v>44423</v>
      </c>
      <c r="E191" s="379" t="s">
        <v>72</v>
      </c>
      <c r="F191" s="379" t="s">
        <v>77</v>
      </c>
    </row>
    <row r="192" spans="1:6" ht="12.75">
      <c r="A192" s="378">
        <v>11064</v>
      </c>
      <c r="B192" s="379" t="s">
        <v>71</v>
      </c>
      <c r="C192" s="379" t="s">
        <v>72</v>
      </c>
      <c r="D192" s="380">
        <v>44459</v>
      </c>
      <c r="E192" s="379" t="s">
        <v>72</v>
      </c>
      <c r="F192" s="379" t="s">
        <v>77</v>
      </c>
    </row>
    <row r="193" spans="1:6" ht="12.75">
      <c r="A193" s="378">
        <v>11108</v>
      </c>
      <c r="B193" s="379" t="s">
        <v>71</v>
      </c>
      <c r="C193" s="379" t="s">
        <v>72</v>
      </c>
      <c r="D193" s="380">
        <v>44480</v>
      </c>
      <c r="E193" s="379" t="s">
        <v>72</v>
      </c>
      <c r="F193" s="379" t="s">
        <v>77</v>
      </c>
    </row>
    <row r="194" spans="1:6" ht="12.75">
      <c r="A194" s="378">
        <v>11047</v>
      </c>
      <c r="B194" s="379" t="s">
        <v>71</v>
      </c>
      <c r="C194" s="379" t="s">
        <v>72</v>
      </c>
      <c r="D194" s="380">
        <v>44490</v>
      </c>
      <c r="E194" s="379" t="s">
        <v>72</v>
      </c>
      <c r="F194" s="379" t="s">
        <v>77</v>
      </c>
    </row>
    <row r="195" spans="1:6" ht="12.75">
      <c r="A195" s="378">
        <v>11143</v>
      </c>
      <c r="B195" s="379" t="s">
        <v>71</v>
      </c>
      <c r="C195" s="379" t="s">
        <v>72</v>
      </c>
      <c r="D195" s="380">
        <v>44491</v>
      </c>
      <c r="E195" s="379" t="s">
        <v>72</v>
      </c>
      <c r="F195" s="379" t="s">
        <v>77</v>
      </c>
    </row>
    <row r="196" spans="1:6" ht="12.75">
      <c r="A196" s="378">
        <v>11049</v>
      </c>
      <c r="B196" s="379" t="s">
        <v>71</v>
      </c>
      <c r="C196" s="379" t="s">
        <v>72</v>
      </c>
      <c r="D196" s="380">
        <v>44542</v>
      </c>
      <c r="E196" s="379" t="s">
        <v>72</v>
      </c>
      <c r="F196" s="379" t="s">
        <v>77</v>
      </c>
    </row>
    <row r="197" spans="1:6" ht="12.75">
      <c r="A197" s="378">
        <v>11098</v>
      </c>
      <c r="B197" s="379" t="s">
        <v>71</v>
      </c>
      <c r="C197" s="379" t="s">
        <v>72</v>
      </c>
      <c r="D197" s="380">
        <v>44550</v>
      </c>
      <c r="E197" s="379" t="s">
        <v>72</v>
      </c>
      <c r="F197" s="379" t="s">
        <v>77</v>
      </c>
    </row>
    <row r="198" spans="1:6" ht="12.75">
      <c r="A198" s="378">
        <v>11103</v>
      </c>
      <c r="B198" s="379" t="s">
        <v>71</v>
      </c>
      <c r="C198" s="379" t="s">
        <v>72</v>
      </c>
      <c r="D198" s="380">
        <v>44553</v>
      </c>
      <c r="E198" s="379" t="s">
        <v>72</v>
      </c>
      <c r="F198" s="379" t="s">
        <v>77</v>
      </c>
    </row>
    <row r="199" spans="1:6" ht="12.75">
      <c r="A199" s="378">
        <v>11052</v>
      </c>
      <c r="B199" s="379" t="s">
        <v>71</v>
      </c>
      <c r="C199" s="379" t="s">
        <v>72</v>
      </c>
      <c r="D199" s="380">
        <v>44558</v>
      </c>
      <c r="E199" s="379" t="s">
        <v>72</v>
      </c>
      <c r="F199" s="379" t="s">
        <v>77</v>
      </c>
    </row>
    <row r="200" spans="1:6" ht="12.75">
      <c r="A200" s="378">
        <v>11136</v>
      </c>
      <c r="B200" s="379" t="s">
        <v>71</v>
      </c>
      <c r="C200" s="379" t="s">
        <v>72</v>
      </c>
      <c r="D200" s="380">
        <v>44373</v>
      </c>
      <c r="E200" s="379" t="s">
        <v>72</v>
      </c>
      <c r="F200" s="379" t="s">
        <v>76</v>
      </c>
    </row>
    <row r="201" spans="1:6" ht="12.75">
      <c r="A201" s="378">
        <v>11010</v>
      </c>
      <c r="B201" s="379" t="s">
        <v>71</v>
      </c>
      <c r="C201" s="379" t="s">
        <v>72</v>
      </c>
      <c r="D201" s="380">
        <v>44394</v>
      </c>
      <c r="E201" s="379" t="s">
        <v>72</v>
      </c>
      <c r="F201" s="379" t="s">
        <v>76</v>
      </c>
    </row>
    <row r="202" spans="1:6" ht="12.75">
      <c r="A202" s="378">
        <v>11102</v>
      </c>
      <c r="B202" s="379" t="s">
        <v>71</v>
      </c>
      <c r="C202" s="379" t="s">
        <v>72</v>
      </c>
      <c r="D202" s="380">
        <v>44401</v>
      </c>
      <c r="E202" s="379" t="s">
        <v>72</v>
      </c>
      <c r="F202" s="379" t="s">
        <v>76</v>
      </c>
    </row>
    <row r="203" spans="1:6" ht="12.75">
      <c r="A203" s="378">
        <v>11104</v>
      </c>
      <c r="B203" s="379" t="s">
        <v>71</v>
      </c>
      <c r="C203" s="379" t="s">
        <v>72</v>
      </c>
      <c r="D203" s="380">
        <v>44407</v>
      </c>
      <c r="E203" s="379" t="s">
        <v>72</v>
      </c>
      <c r="F203" s="379" t="s">
        <v>76</v>
      </c>
    </row>
    <row r="204" spans="1:6" ht="12.75">
      <c r="A204" s="378">
        <v>11160</v>
      </c>
      <c r="B204" s="379" t="s">
        <v>71</v>
      </c>
      <c r="C204" s="379" t="s">
        <v>72</v>
      </c>
      <c r="D204" s="380">
        <v>44416</v>
      </c>
      <c r="E204" s="379" t="s">
        <v>72</v>
      </c>
      <c r="F204" s="379" t="s">
        <v>76</v>
      </c>
    </row>
    <row r="205" spans="1:6" ht="12.75">
      <c r="A205" s="378">
        <v>11152</v>
      </c>
      <c r="B205" s="379" t="s">
        <v>71</v>
      </c>
      <c r="C205" s="379" t="s">
        <v>72</v>
      </c>
      <c r="D205" s="380">
        <v>44426</v>
      </c>
      <c r="E205" s="379" t="s">
        <v>72</v>
      </c>
      <c r="F205" s="379" t="s">
        <v>76</v>
      </c>
    </row>
    <row r="206" spans="1:6" ht="12.75">
      <c r="A206" s="378">
        <v>11126</v>
      </c>
      <c r="B206" s="379" t="s">
        <v>71</v>
      </c>
      <c r="C206" s="379" t="s">
        <v>72</v>
      </c>
      <c r="D206" s="380">
        <v>44446</v>
      </c>
      <c r="E206" s="379" t="s">
        <v>72</v>
      </c>
      <c r="F206" s="379" t="s">
        <v>76</v>
      </c>
    </row>
    <row r="207" spans="1:6" ht="12.75">
      <c r="A207" s="378">
        <v>11133</v>
      </c>
      <c r="B207" s="379" t="s">
        <v>71</v>
      </c>
      <c r="C207" s="379" t="s">
        <v>72</v>
      </c>
      <c r="D207" s="380">
        <v>44475</v>
      </c>
      <c r="E207" s="379" t="s">
        <v>72</v>
      </c>
      <c r="F207" s="379" t="s">
        <v>76</v>
      </c>
    </row>
    <row r="208" spans="1:6" ht="12.75">
      <c r="A208" s="378">
        <v>11139</v>
      </c>
      <c r="B208" s="379" t="s">
        <v>71</v>
      </c>
      <c r="C208" s="379" t="s">
        <v>72</v>
      </c>
      <c r="D208" s="380">
        <v>44513</v>
      </c>
      <c r="E208" s="379" t="s">
        <v>72</v>
      </c>
      <c r="F208" s="379" t="s">
        <v>76</v>
      </c>
    </row>
    <row r="209" spans="1:6" ht="13.5" thickBot="1">
      <c r="A209" s="381">
        <v>11141</v>
      </c>
      <c r="B209" s="382" t="s">
        <v>71</v>
      </c>
      <c r="C209" s="382" t="s">
        <v>72</v>
      </c>
      <c r="D209" s="383">
        <v>44534</v>
      </c>
      <c r="E209" s="382" t="s">
        <v>72</v>
      </c>
      <c r="F209" s="382" t="s">
        <v>76</v>
      </c>
    </row>
  </sheetData>
  <autoFilter ref="A1:F1" xr:uid="{00000000-0001-0000-02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B49C-831C-41A0-B38F-95CD1E097133}">
  <sheetPr>
    <tabColor theme="1" tint="0.499984740745262"/>
  </sheetPr>
  <dimension ref="B1:U49"/>
  <sheetViews>
    <sheetView workbookViewId="0">
      <selection activeCell="H32" sqref="H32"/>
    </sheetView>
  </sheetViews>
  <sheetFormatPr defaultRowHeight="12.75"/>
  <cols>
    <col min="1" max="1" width="1.42578125" customWidth="1"/>
    <col min="2" max="2" width="21.7109375" bestFit="1" customWidth="1"/>
    <col min="3" max="3" width="26.7109375" customWidth="1"/>
    <col min="4" max="4" width="16.140625" bestFit="1" customWidth="1"/>
    <col min="5" max="5" width="16.7109375" bestFit="1" customWidth="1"/>
    <col min="6" max="6" width="19.140625" bestFit="1" customWidth="1"/>
    <col min="7" max="7" width="17.28515625" bestFit="1" customWidth="1"/>
    <col min="8" max="8" width="14.140625" bestFit="1" customWidth="1"/>
    <col min="9" max="9" width="11.5703125" bestFit="1" customWidth="1"/>
    <col min="10" max="10" width="19.85546875" bestFit="1" customWidth="1"/>
    <col min="11" max="11" width="22.28515625" bestFit="1" customWidth="1"/>
    <col min="12" max="12" width="15.5703125" bestFit="1" customWidth="1"/>
    <col min="13" max="13" width="20.42578125" bestFit="1" customWidth="1"/>
    <col min="14" max="14" width="23" bestFit="1" customWidth="1"/>
    <col min="15" max="15" width="13.28515625" bestFit="1" customWidth="1"/>
    <col min="16" max="16" width="16.140625" bestFit="1" customWidth="1"/>
    <col min="17" max="17" width="19.85546875" bestFit="1" customWidth="1"/>
    <col min="18" max="18" width="22.28515625" bestFit="1" customWidth="1"/>
    <col min="19" max="19" width="15.5703125" bestFit="1" customWidth="1"/>
    <col min="20" max="20" width="21.140625" customWidth="1"/>
    <col min="21" max="21" width="23" bestFit="1" customWidth="1"/>
  </cols>
  <sheetData>
    <row r="1" spans="2:21" ht="13.5" thickBot="1">
      <c r="O1" s="927" t="s">
        <v>256</v>
      </c>
      <c r="P1" s="928"/>
      <c r="Q1" s="928"/>
      <c r="R1" s="928"/>
      <c r="S1" s="928"/>
      <c r="T1" s="928"/>
      <c r="U1" s="929"/>
    </row>
    <row r="2" spans="2:21" ht="13.5" thickBot="1">
      <c r="B2" s="69" t="str">
        <f>Dashboard!BF21</f>
        <v>Department</v>
      </c>
      <c r="C2" s="68" t="str">
        <f>Dashboard!BG21</f>
        <v>Team</v>
      </c>
      <c r="D2" s="48" t="str">
        <f>Dashboard!BH21</f>
        <v>Total Employees</v>
      </c>
      <c r="E2" s="48" t="str">
        <f>Dashboard!BI21</f>
        <v>T. Days of Leave</v>
      </c>
      <c r="F2" s="253" t="str">
        <f>Dashboard!BJ21</f>
        <v>Planned Leave</v>
      </c>
      <c r="G2" s="253" t="str">
        <f>Dashboard!BK21</f>
        <v>Unplanned Leave</v>
      </c>
      <c r="H2" s="396" t="str">
        <f>Dashboard!BP21</f>
        <v>Overtime Rate</v>
      </c>
      <c r="I2" s="128" t="str">
        <f>Dashboard!BU21</f>
        <v>Cost of Abs.</v>
      </c>
      <c r="J2" s="72" t="str">
        <f>Dashboard!BV21</f>
        <v>Cost of OT (Planned)</v>
      </c>
      <c r="K2" s="72" t="str">
        <f>Dashboard!BW21</f>
        <v>Cost of OT (Unplanned)</v>
      </c>
      <c r="L2" s="128" t="str">
        <f>Dashboard!BX21</f>
        <v>Total Cost of OT</v>
      </c>
      <c r="M2" s="564" t="str">
        <f>Dashboard!BY21</f>
        <v>Detailed Cost of Abs1</v>
      </c>
      <c r="N2" s="262" t="str">
        <f>Dashboard!BZ21</f>
        <v>Avg. Cost per Employee</v>
      </c>
      <c r="O2" s="593" t="s">
        <v>257</v>
      </c>
      <c r="P2" s="601" t="s">
        <v>258</v>
      </c>
      <c r="Q2" s="594" t="s">
        <v>254</v>
      </c>
      <c r="R2" s="596" t="s">
        <v>255</v>
      </c>
      <c r="S2" s="597" t="s">
        <v>251</v>
      </c>
      <c r="T2" s="593" t="s">
        <v>269</v>
      </c>
      <c r="U2" s="593" t="s">
        <v>243</v>
      </c>
    </row>
    <row r="3" spans="2:21">
      <c r="B3" s="93" t="str">
        <f>Dashboard!BF22</f>
        <v>Customer Experience</v>
      </c>
      <c r="C3" s="97" t="str">
        <f>Dashboard!BG22</f>
        <v>Success</v>
      </c>
      <c r="D3" s="8">
        <f>Dashboard!BH22</f>
        <v>9</v>
      </c>
      <c r="E3" s="11">
        <f>Dashboard!BI22</f>
        <v>58</v>
      </c>
      <c r="F3" s="11">
        <f>Dashboard!BJ22</f>
        <v>41</v>
      </c>
      <c r="G3" s="11">
        <f>Dashboard!BK22</f>
        <v>17</v>
      </c>
      <c r="H3" s="272">
        <f>Dashboard!BP22</f>
        <v>26.625</v>
      </c>
      <c r="I3" s="277">
        <f>Dashboard!BU22</f>
        <v>8236</v>
      </c>
      <c r="J3" s="277">
        <f>Dashboard!BV22</f>
        <v>2183.25</v>
      </c>
      <c r="K3" s="277">
        <f>Dashboard!BW22</f>
        <v>3621</v>
      </c>
      <c r="L3" s="277">
        <f>Dashboard!BX22</f>
        <v>5804.25</v>
      </c>
      <c r="M3" s="277">
        <f>Dashboard!BY22</f>
        <v>14040.25</v>
      </c>
      <c r="N3" s="223">
        <f>Dashboard!BZ22</f>
        <v>1560.0277777777778</v>
      </c>
      <c r="O3" s="11">
        <f>F3*(1+$E$29)</f>
        <v>45.1</v>
      </c>
      <c r="P3" s="8">
        <f t="shared" ref="P3:P24" si="0">G3*(1+$F$29)</f>
        <v>15.3</v>
      </c>
      <c r="Q3" s="561">
        <f>O3*8*(1-$D$29)*H3</f>
        <v>2401.5750000000003</v>
      </c>
      <c r="R3" s="223">
        <f>P3*8*H3</f>
        <v>3258.9</v>
      </c>
      <c r="S3" s="223">
        <f>Q3+R3</f>
        <v>5660.4750000000004</v>
      </c>
      <c r="T3" s="623">
        <f>I3+S3</f>
        <v>13896.475</v>
      </c>
      <c r="U3" s="604">
        <f>T3/D3</f>
        <v>1544.0527777777779</v>
      </c>
    </row>
    <row r="4" spans="2:21" ht="13.5" thickBot="1">
      <c r="B4" s="94" t="str">
        <f>Dashboard!BF23</f>
        <v>Customer Experience</v>
      </c>
      <c r="C4" s="98" t="str">
        <f>Dashboard!BG23</f>
        <v>Support</v>
      </c>
      <c r="D4" s="40">
        <f>Dashboard!BH23</f>
        <v>19</v>
      </c>
      <c r="E4" s="4">
        <f>Dashboard!BI23</f>
        <v>68</v>
      </c>
      <c r="F4" s="4">
        <f>Dashboard!BJ23</f>
        <v>30</v>
      </c>
      <c r="G4" s="4">
        <f>Dashboard!BK23</f>
        <v>38</v>
      </c>
      <c r="H4" s="280">
        <f>Dashboard!BP23</f>
        <v>26.625</v>
      </c>
      <c r="I4" s="281">
        <f>Dashboard!BU23</f>
        <v>9656</v>
      </c>
      <c r="J4" s="281">
        <f>Dashboard!BV23</f>
        <v>1597.5</v>
      </c>
      <c r="K4" s="281">
        <f>Dashboard!BW23</f>
        <v>8094</v>
      </c>
      <c r="L4" s="281">
        <f>Dashboard!BX23</f>
        <v>9691.5</v>
      </c>
      <c r="M4" s="281">
        <f>Dashboard!BY23</f>
        <v>19347.5</v>
      </c>
      <c r="N4" s="225">
        <f>Dashboard!BZ23</f>
        <v>1018.2894736842105</v>
      </c>
      <c r="O4" s="4">
        <f t="shared" ref="O4:O24" si="1">F4*(1+$E$29)</f>
        <v>33</v>
      </c>
      <c r="P4" s="10">
        <f t="shared" si="0"/>
        <v>34.200000000000003</v>
      </c>
      <c r="Q4" s="563">
        <f t="shared" ref="Q4:Q24" si="2">O4*8*(1-$D$29)*H4</f>
        <v>1757.25</v>
      </c>
      <c r="R4" s="225">
        <f t="shared" ref="R4:R24" si="3">P4*8*H4</f>
        <v>7284.6</v>
      </c>
      <c r="S4" s="225">
        <f t="shared" ref="S4:S24" si="4">Q4+R4</f>
        <v>9041.85</v>
      </c>
      <c r="T4" s="624">
        <f t="shared" ref="T4:T24" si="5">I4+S4</f>
        <v>18697.849999999999</v>
      </c>
      <c r="U4" s="620">
        <f t="shared" ref="U4:U24" si="6">T4/D4</f>
        <v>984.09736842105258</v>
      </c>
    </row>
    <row r="5" spans="2:21">
      <c r="B5" s="90" t="str">
        <f>Dashboard!BF24</f>
        <v>Marketing</v>
      </c>
      <c r="C5" s="99" t="str">
        <f>Dashboard!BG24</f>
        <v>Customer Marketing</v>
      </c>
      <c r="D5" s="8">
        <f>Dashboard!BH24</f>
        <v>9</v>
      </c>
      <c r="E5" s="11">
        <f>Dashboard!BI24</f>
        <v>17</v>
      </c>
      <c r="F5" s="11">
        <f>Dashboard!BJ24</f>
        <v>15</v>
      </c>
      <c r="G5" s="11">
        <f>Dashboard!BK24</f>
        <v>2</v>
      </c>
      <c r="H5" s="272">
        <f>Dashboard!BP24</f>
        <v>46.094999999999999</v>
      </c>
      <c r="I5" s="277">
        <f>Dashboard!BU24</f>
        <v>4179.28</v>
      </c>
      <c r="J5" s="277">
        <f>Dashboard!BV24</f>
        <v>1382.85</v>
      </c>
      <c r="K5" s="277">
        <f>Dashboard!BW24</f>
        <v>737.52</v>
      </c>
      <c r="L5" s="277">
        <f>Dashboard!BX24</f>
        <v>2120.37</v>
      </c>
      <c r="M5" s="277">
        <f>Dashboard!BY24</f>
        <v>6299.65</v>
      </c>
      <c r="N5" s="223">
        <f>Dashboard!BZ24</f>
        <v>699.96111111111111</v>
      </c>
      <c r="O5" s="11">
        <f t="shared" si="1"/>
        <v>16.5</v>
      </c>
      <c r="P5" s="8">
        <f t="shared" si="0"/>
        <v>1.8</v>
      </c>
      <c r="Q5" s="561">
        <f t="shared" si="2"/>
        <v>1521.135</v>
      </c>
      <c r="R5" s="223">
        <f t="shared" si="3"/>
        <v>663.76800000000003</v>
      </c>
      <c r="S5" s="223">
        <f t="shared" si="4"/>
        <v>2184.9030000000002</v>
      </c>
      <c r="T5" s="623">
        <f t="shared" si="5"/>
        <v>6364.183</v>
      </c>
      <c r="U5" s="604">
        <f t="shared" si="6"/>
        <v>707.13144444444447</v>
      </c>
    </row>
    <row r="6" spans="2:21">
      <c r="B6" s="91" t="str">
        <f>Dashboard!BF25</f>
        <v>Marketing</v>
      </c>
      <c r="C6" s="100" t="str">
        <f>Dashboard!BG25</f>
        <v>Leap</v>
      </c>
      <c r="D6" s="9">
        <f>Dashboard!BH25</f>
        <v>4</v>
      </c>
      <c r="E6" s="3">
        <f>Dashboard!BI25</f>
        <v>54</v>
      </c>
      <c r="F6" s="3">
        <f>Dashboard!BJ25</f>
        <v>17</v>
      </c>
      <c r="G6" s="3">
        <f>Dashboard!BK25</f>
        <v>37</v>
      </c>
      <c r="H6" s="270">
        <f>Dashboard!BP25</f>
        <v>46.094999999999999</v>
      </c>
      <c r="I6" s="278">
        <f>Dashboard!BU25</f>
        <v>13275.36</v>
      </c>
      <c r="J6" s="278">
        <f>Dashboard!BV25</f>
        <v>1567.23</v>
      </c>
      <c r="K6" s="278">
        <f>Dashboard!BW25</f>
        <v>13644.119999999999</v>
      </c>
      <c r="L6" s="278">
        <f>Dashboard!BX25</f>
        <v>15211.349999999999</v>
      </c>
      <c r="M6" s="278">
        <f>Dashboard!BY25</f>
        <v>28486.71</v>
      </c>
      <c r="N6" s="224">
        <f>Dashboard!BZ25</f>
        <v>7121.6774999999998</v>
      </c>
      <c r="O6" s="3">
        <f t="shared" si="1"/>
        <v>18.700000000000003</v>
      </c>
      <c r="P6" s="9">
        <f t="shared" si="0"/>
        <v>33.300000000000004</v>
      </c>
      <c r="Q6" s="562">
        <f t="shared" si="2"/>
        <v>1723.9530000000002</v>
      </c>
      <c r="R6" s="224">
        <f t="shared" si="3"/>
        <v>12279.708000000001</v>
      </c>
      <c r="S6" s="224">
        <f t="shared" si="4"/>
        <v>14003.661</v>
      </c>
      <c r="T6" s="625">
        <f t="shared" si="5"/>
        <v>27279.021000000001</v>
      </c>
      <c r="U6" s="605">
        <f t="shared" si="6"/>
        <v>6819.7552500000002</v>
      </c>
    </row>
    <row r="7" spans="2:21" ht="13.5" thickBot="1">
      <c r="B7" s="92" t="str">
        <f>Dashboard!BF26</f>
        <v>Marketing</v>
      </c>
      <c r="C7" s="101" t="str">
        <f>Dashboard!BG26</f>
        <v>Unknown</v>
      </c>
      <c r="D7" s="10">
        <f>Dashboard!BH26</f>
        <v>2</v>
      </c>
      <c r="E7" s="4">
        <f>Dashboard!BI26</f>
        <v>5</v>
      </c>
      <c r="F7" s="4">
        <f>Dashboard!BJ26</f>
        <v>5</v>
      </c>
      <c r="G7" s="4">
        <f>Dashboard!BK26</f>
        <v>0</v>
      </c>
      <c r="H7" s="280">
        <f>Dashboard!BP26</f>
        <v>46.094999999999999</v>
      </c>
      <c r="I7" s="281">
        <f>Dashboard!BU26</f>
        <v>1229.2</v>
      </c>
      <c r="J7" s="281">
        <f>Dashboard!BV26</f>
        <v>460.95</v>
      </c>
      <c r="K7" s="281">
        <f>Dashboard!BW26</f>
        <v>0</v>
      </c>
      <c r="L7" s="281">
        <f>Dashboard!BX26</f>
        <v>460.95</v>
      </c>
      <c r="M7" s="281">
        <f>Dashboard!BY26</f>
        <v>1690.15</v>
      </c>
      <c r="N7" s="225">
        <f>Dashboard!BZ26</f>
        <v>845.07500000000005</v>
      </c>
      <c r="O7" s="4">
        <f t="shared" si="1"/>
        <v>5.5</v>
      </c>
      <c r="P7" s="10">
        <f t="shared" si="0"/>
        <v>0</v>
      </c>
      <c r="Q7" s="563">
        <f t="shared" si="2"/>
        <v>507.04499999999996</v>
      </c>
      <c r="R7" s="225">
        <f t="shared" si="3"/>
        <v>0</v>
      </c>
      <c r="S7" s="225">
        <f t="shared" si="4"/>
        <v>507.04499999999996</v>
      </c>
      <c r="T7" s="624">
        <f t="shared" si="5"/>
        <v>1736.2449999999999</v>
      </c>
      <c r="U7" s="620">
        <f t="shared" si="6"/>
        <v>868.12249999999995</v>
      </c>
    </row>
    <row r="8" spans="2:21">
      <c r="B8" s="81" t="str">
        <f>Dashboard!BF27</f>
        <v>Operations</v>
      </c>
      <c r="C8" s="102" t="str">
        <f>Dashboard!BG27</f>
        <v>Biz Ops</v>
      </c>
      <c r="D8" s="8">
        <f>Dashboard!BH27</f>
        <v>4</v>
      </c>
      <c r="E8" s="11">
        <f>Dashboard!BI27</f>
        <v>25</v>
      </c>
      <c r="F8" s="11">
        <f>Dashboard!BJ27</f>
        <v>15</v>
      </c>
      <c r="G8" s="11">
        <f>Dashboard!BK27</f>
        <v>10</v>
      </c>
      <c r="H8" s="272">
        <f>Dashboard!BP27</f>
        <v>53.849999999999994</v>
      </c>
      <c r="I8" s="277">
        <f>Dashboard!BU27</f>
        <v>7180</v>
      </c>
      <c r="J8" s="277">
        <f>Dashboard!BV27</f>
        <v>1615.4999999999998</v>
      </c>
      <c r="K8" s="277">
        <f>Dashboard!BW27</f>
        <v>4308</v>
      </c>
      <c r="L8" s="277">
        <f>Dashboard!BX27</f>
        <v>5923.5</v>
      </c>
      <c r="M8" s="277">
        <f>Dashboard!BY27</f>
        <v>13103.5</v>
      </c>
      <c r="N8" s="223">
        <f>Dashboard!BZ27</f>
        <v>3275.875</v>
      </c>
      <c r="O8" s="11">
        <f t="shared" si="1"/>
        <v>16.5</v>
      </c>
      <c r="P8" s="8">
        <f t="shared" si="0"/>
        <v>9</v>
      </c>
      <c r="Q8" s="561">
        <f t="shared" si="2"/>
        <v>1777.0499999999997</v>
      </c>
      <c r="R8" s="223">
        <f t="shared" si="3"/>
        <v>3877.2</v>
      </c>
      <c r="S8" s="223">
        <f t="shared" si="4"/>
        <v>5654.25</v>
      </c>
      <c r="T8" s="623">
        <f t="shared" si="5"/>
        <v>12834.25</v>
      </c>
      <c r="U8" s="604">
        <f t="shared" si="6"/>
        <v>3208.5625</v>
      </c>
    </row>
    <row r="9" spans="2:21">
      <c r="B9" s="82" t="str">
        <f>Dashboard!BF28</f>
        <v>Operations</v>
      </c>
      <c r="C9" s="103" t="str">
        <f>Dashboard!BG28</f>
        <v>Compliance</v>
      </c>
      <c r="D9" s="9">
        <f>Dashboard!BH28</f>
        <v>8</v>
      </c>
      <c r="E9" s="3">
        <f>Dashboard!BI28</f>
        <v>25</v>
      </c>
      <c r="F9" s="3">
        <f>Dashboard!BJ28</f>
        <v>0</v>
      </c>
      <c r="G9" s="3">
        <f>Dashboard!BK28</f>
        <v>25</v>
      </c>
      <c r="H9" s="270">
        <f>Dashboard!BP28</f>
        <v>51.525000000000006</v>
      </c>
      <c r="I9" s="278">
        <f>Dashboard!BU28</f>
        <v>6870</v>
      </c>
      <c r="J9" s="278">
        <f>Dashboard!BV28</f>
        <v>0</v>
      </c>
      <c r="K9" s="278">
        <f>Dashboard!BW28</f>
        <v>10305.000000000002</v>
      </c>
      <c r="L9" s="278">
        <f>Dashboard!BX28</f>
        <v>10305.000000000002</v>
      </c>
      <c r="M9" s="278">
        <f>Dashboard!BY28</f>
        <v>17175</v>
      </c>
      <c r="N9" s="224">
        <f>Dashboard!BZ28</f>
        <v>2146.875</v>
      </c>
      <c r="O9" s="3">
        <f t="shared" si="1"/>
        <v>0</v>
      </c>
      <c r="P9" s="9">
        <f t="shared" si="0"/>
        <v>22.5</v>
      </c>
      <c r="Q9" s="562">
        <f t="shared" si="2"/>
        <v>0</v>
      </c>
      <c r="R9" s="224">
        <f t="shared" si="3"/>
        <v>9274.5000000000018</v>
      </c>
      <c r="S9" s="224">
        <f t="shared" si="4"/>
        <v>9274.5000000000018</v>
      </c>
      <c r="T9" s="625">
        <f t="shared" si="5"/>
        <v>16144.500000000002</v>
      </c>
      <c r="U9" s="605">
        <f t="shared" si="6"/>
        <v>2018.0625000000002</v>
      </c>
    </row>
    <row r="10" spans="2:21">
      <c r="B10" s="82" t="str">
        <f>Dashboard!BF29</f>
        <v>Operations</v>
      </c>
      <c r="C10" s="103" t="str">
        <f>Dashboard!BG29</f>
        <v>Finance</v>
      </c>
      <c r="D10" s="9">
        <f>Dashboard!BH29</f>
        <v>5</v>
      </c>
      <c r="E10" s="3">
        <f>Dashboard!BI29</f>
        <v>5</v>
      </c>
      <c r="F10" s="3">
        <f>Dashboard!BJ29</f>
        <v>5</v>
      </c>
      <c r="G10" s="3">
        <f>Dashboard!BK29</f>
        <v>0</v>
      </c>
      <c r="H10" s="270">
        <f>Dashboard!BP29</f>
        <v>66.045000000000002</v>
      </c>
      <c r="I10" s="278">
        <f>Dashboard!BU29</f>
        <v>1761.2</v>
      </c>
      <c r="J10" s="278">
        <f>Dashboard!BV29</f>
        <v>660.45</v>
      </c>
      <c r="K10" s="278">
        <f>Dashboard!BW29</f>
        <v>0</v>
      </c>
      <c r="L10" s="278">
        <f>Dashboard!BX29</f>
        <v>660.45</v>
      </c>
      <c r="M10" s="278">
        <f>Dashboard!BY29</f>
        <v>2421.65</v>
      </c>
      <c r="N10" s="224">
        <f>Dashboard!BZ29</f>
        <v>484.33000000000004</v>
      </c>
      <c r="O10" s="3">
        <f t="shared" si="1"/>
        <v>5.5</v>
      </c>
      <c r="P10" s="9">
        <f t="shared" si="0"/>
        <v>0</v>
      </c>
      <c r="Q10" s="562">
        <f t="shared" si="2"/>
        <v>726.495</v>
      </c>
      <c r="R10" s="224">
        <f t="shared" si="3"/>
        <v>0</v>
      </c>
      <c r="S10" s="224">
        <f t="shared" si="4"/>
        <v>726.495</v>
      </c>
      <c r="T10" s="625">
        <f t="shared" si="5"/>
        <v>2487.6950000000002</v>
      </c>
      <c r="U10" s="605">
        <f t="shared" si="6"/>
        <v>497.53900000000004</v>
      </c>
    </row>
    <row r="11" spans="2:21" ht="13.5" thickBot="1">
      <c r="B11" s="300" t="str">
        <f>Dashboard!BF30</f>
        <v>Operations</v>
      </c>
      <c r="C11" s="104" t="str">
        <f>Dashboard!BG30</f>
        <v>Talent Acquisition</v>
      </c>
      <c r="D11" s="10">
        <f>Dashboard!BH30</f>
        <v>7</v>
      </c>
      <c r="E11" s="4">
        <f>Dashboard!BI30</f>
        <v>16</v>
      </c>
      <c r="F11" s="4">
        <f>Dashboard!BJ30</f>
        <v>5</v>
      </c>
      <c r="G11" s="4">
        <f>Dashboard!BK30</f>
        <v>11</v>
      </c>
      <c r="H11" s="280">
        <f>Dashboard!BP30</f>
        <v>44.924999999999997</v>
      </c>
      <c r="I11" s="281">
        <f>Dashboard!BU30</f>
        <v>3833.6</v>
      </c>
      <c r="J11" s="281">
        <f>Dashboard!BV30</f>
        <v>449.25</v>
      </c>
      <c r="K11" s="281">
        <f>Dashboard!BW30</f>
        <v>3953.3999999999996</v>
      </c>
      <c r="L11" s="281">
        <f>Dashboard!BX30</f>
        <v>4402.6499999999996</v>
      </c>
      <c r="M11" s="281">
        <f>Dashboard!BY30</f>
        <v>8236.25</v>
      </c>
      <c r="N11" s="225">
        <f>Dashboard!BZ30</f>
        <v>1176.6071428571429</v>
      </c>
      <c r="O11" s="4">
        <f t="shared" si="1"/>
        <v>5.5</v>
      </c>
      <c r="P11" s="10">
        <f t="shared" si="0"/>
        <v>9.9</v>
      </c>
      <c r="Q11" s="563">
        <f t="shared" si="2"/>
        <v>494.17499999999995</v>
      </c>
      <c r="R11" s="225">
        <f t="shared" si="3"/>
        <v>3558.06</v>
      </c>
      <c r="S11" s="225">
        <f t="shared" si="4"/>
        <v>4052.2349999999997</v>
      </c>
      <c r="T11" s="624">
        <f t="shared" si="5"/>
        <v>7885.8349999999991</v>
      </c>
      <c r="U11" s="620">
        <f t="shared" si="6"/>
        <v>1126.5478571428571</v>
      </c>
    </row>
    <row r="12" spans="2:21">
      <c r="B12" s="78" t="str">
        <f>Dashboard!BF31</f>
        <v>Product &amp; Engineering</v>
      </c>
      <c r="C12" s="116" t="str">
        <f>Dashboard!BG31</f>
        <v>Activation</v>
      </c>
      <c r="D12" s="8">
        <f>Dashboard!BH31</f>
        <v>11</v>
      </c>
      <c r="E12" s="11">
        <f>Dashboard!BI31</f>
        <v>53</v>
      </c>
      <c r="F12" s="11">
        <f>Dashboard!BJ31</f>
        <v>33</v>
      </c>
      <c r="G12" s="11">
        <f>Dashboard!BK31</f>
        <v>20</v>
      </c>
      <c r="H12" s="272">
        <f>Dashboard!BP31</f>
        <v>35.894999999999996</v>
      </c>
      <c r="I12" s="277">
        <f>Dashboard!BU31</f>
        <v>10146.32</v>
      </c>
      <c r="J12" s="277">
        <f>Dashboard!BV31</f>
        <v>2369.0699999999997</v>
      </c>
      <c r="K12" s="277">
        <f>Dashboard!BW31</f>
        <v>5743.1999999999989</v>
      </c>
      <c r="L12" s="277">
        <f>Dashboard!BX31</f>
        <v>8112.2699999999986</v>
      </c>
      <c r="M12" s="277">
        <f>Dashboard!BY31</f>
        <v>18258.589999999997</v>
      </c>
      <c r="N12" s="595">
        <f>Dashboard!BZ31</f>
        <v>1659.8718181818178</v>
      </c>
      <c r="O12" s="606">
        <f t="shared" si="1"/>
        <v>36.300000000000004</v>
      </c>
      <c r="P12" s="8">
        <f t="shared" si="0"/>
        <v>18</v>
      </c>
      <c r="Q12" s="592">
        <f t="shared" si="2"/>
        <v>2605.9769999999999</v>
      </c>
      <c r="R12" s="595">
        <f t="shared" si="3"/>
        <v>5168.8799999999992</v>
      </c>
      <c r="S12" s="595">
        <f t="shared" si="4"/>
        <v>7774.8569999999991</v>
      </c>
      <c r="T12" s="623">
        <f t="shared" si="5"/>
        <v>17921.177</v>
      </c>
      <c r="U12" s="604">
        <f t="shared" si="6"/>
        <v>1629.197909090909</v>
      </c>
    </row>
    <row r="13" spans="2:21">
      <c r="B13" s="79" t="str">
        <f>Dashboard!BF32</f>
        <v>Product &amp; Engineering</v>
      </c>
      <c r="C13" s="117" t="str">
        <f>Dashboard!BG32</f>
        <v>Business Enablement</v>
      </c>
      <c r="D13" s="9">
        <f>Dashboard!BH32</f>
        <v>9</v>
      </c>
      <c r="E13" s="3">
        <f>Dashboard!BI32</f>
        <v>18</v>
      </c>
      <c r="F13" s="3">
        <f>Dashboard!BJ32</f>
        <v>15</v>
      </c>
      <c r="G13" s="3">
        <f>Dashboard!BK32</f>
        <v>3</v>
      </c>
      <c r="H13" s="270">
        <f>Dashboard!BP32</f>
        <v>68.699999999999989</v>
      </c>
      <c r="I13" s="278">
        <f>Dashboard!BU32</f>
        <v>6595.2</v>
      </c>
      <c r="J13" s="278">
        <f>Dashboard!BV32</f>
        <v>2060.9999999999995</v>
      </c>
      <c r="K13" s="278">
        <f>Dashboard!BW32</f>
        <v>1648.7999999999997</v>
      </c>
      <c r="L13" s="278">
        <f>Dashboard!BX32</f>
        <v>3709.7999999999993</v>
      </c>
      <c r="M13" s="278">
        <f>Dashboard!BY32</f>
        <v>10305</v>
      </c>
      <c r="N13" s="224">
        <f>Dashboard!BZ32</f>
        <v>1145</v>
      </c>
      <c r="O13" s="3">
        <f t="shared" si="1"/>
        <v>16.5</v>
      </c>
      <c r="P13" s="9">
        <f t="shared" si="0"/>
        <v>2.7</v>
      </c>
      <c r="Q13" s="562">
        <f t="shared" si="2"/>
        <v>2267.0999999999995</v>
      </c>
      <c r="R13" s="224">
        <f t="shared" si="3"/>
        <v>1483.9199999999998</v>
      </c>
      <c r="S13" s="224">
        <f t="shared" si="4"/>
        <v>3751.0199999999995</v>
      </c>
      <c r="T13" s="625">
        <f t="shared" si="5"/>
        <v>10346.219999999999</v>
      </c>
      <c r="U13" s="605">
        <f t="shared" si="6"/>
        <v>1149.58</v>
      </c>
    </row>
    <row r="14" spans="2:21">
      <c r="B14" s="79" t="str">
        <f>Dashboard!BF33</f>
        <v>Product &amp; Engineering</v>
      </c>
      <c r="C14" s="117" t="str">
        <f>Dashboard!BG33</f>
        <v>Buyer Experience</v>
      </c>
      <c r="D14" s="9">
        <f>Dashboard!BH33</f>
        <v>11</v>
      </c>
      <c r="E14" s="3">
        <f>Dashboard!BI33</f>
        <v>43</v>
      </c>
      <c r="F14" s="3">
        <f>Dashboard!BJ33</f>
        <v>11</v>
      </c>
      <c r="G14" s="3">
        <f>Dashboard!BK33</f>
        <v>32</v>
      </c>
      <c r="H14" s="270">
        <f>Dashboard!BP33</f>
        <v>68.699999999999989</v>
      </c>
      <c r="I14" s="278">
        <f>Dashboard!BU33</f>
        <v>15755.199999999999</v>
      </c>
      <c r="J14" s="278">
        <f>Dashboard!BV33</f>
        <v>1511.3999999999996</v>
      </c>
      <c r="K14" s="278">
        <f>Dashboard!BW33</f>
        <v>17587.199999999997</v>
      </c>
      <c r="L14" s="278">
        <f>Dashboard!BX33</f>
        <v>19098.599999999999</v>
      </c>
      <c r="M14" s="278">
        <f>Dashboard!BY33</f>
        <v>34853.799999999996</v>
      </c>
      <c r="N14" s="224">
        <f>Dashboard!BZ33</f>
        <v>3168.5272727272722</v>
      </c>
      <c r="O14" s="3">
        <f t="shared" si="1"/>
        <v>12.100000000000001</v>
      </c>
      <c r="P14" s="9">
        <f t="shared" si="0"/>
        <v>28.8</v>
      </c>
      <c r="Q14" s="562">
        <f t="shared" si="2"/>
        <v>1662.54</v>
      </c>
      <c r="R14" s="224">
        <f t="shared" si="3"/>
        <v>15828.479999999998</v>
      </c>
      <c r="S14" s="224">
        <f t="shared" si="4"/>
        <v>17491.019999999997</v>
      </c>
      <c r="T14" s="625">
        <f t="shared" si="5"/>
        <v>33246.219999999994</v>
      </c>
      <c r="U14" s="605">
        <f t="shared" si="6"/>
        <v>3022.383636363636</v>
      </c>
    </row>
    <row r="15" spans="2:21">
      <c r="B15" s="79" t="str">
        <f>Dashboard!BF34</f>
        <v>Product &amp; Engineering</v>
      </c>
      <c r="C15" s="117" t="str">
        <f>Dashboard!BG34</f>
        <v>Core UX</v>
      </c>
      <c r="D15" s="9">
        <f>Dashboard!BH34</f>
        <v>6</v>
      </c>
      <c r="E15" s="3">
        <f>Dashboard!BI34</f>
        <v>23</v>
      </c>
      <c r="F15" s="3">
        <f>Dashboard!BJ34</f>
        <v>23</v>
      </c>
      <c r="G15" s="3">
        <f>Dashboard!BK34</f>
        <v>0</v>
      </c>
      <c r="H15" s="270">
        <f>Dashboard!BP34</f>
        <v>57.614999999999995</v>
      </c>
      <c r="I15" s="278">
        <f>Dashboard!BU34</f>
        <v>7067.44</v>
      </c>
      <c r="J15" s="278">
        <f>Dashboard!BV34</f>
        <v>2650.29</v>
      </c>
      <c r="K15" s="278">
        <f>Dashboard!BW34</f>
        <v>0</v>
      </c>
      <c r="L15" s="278">
        <f>Dashboard!BX34</f>
        <v>2650.29</v>
      </c>
      <c r="M15" s="278">
        <f>Dashboard!BY34</f>
        <v>9717.73</v>
      </c>
      <c r="N15" s="224">
        <f>Dashboard!BZ34</f>
        <v>1619.6216666666667</v>
      </c>
      <c r="O15" s="3">
        <f t="shared" si="1"/>
        <v>25.3</v>
      </c>
      <c r="P15" s="9">
        <f t="shared" si="0"/>
        <v>0</v>
      </c>
      <c r="Q15" s="562">
        <f t="shared" si="2"/>
        <v>2915.319</v>
      </c>
      <c r="R15" s="224">
        <f t="shared" si="3"/>
        <v>0</v>
      </c>
      <c r="S15" s="224">
        <f t="shared" si="4"/>
        <v>2915.319</v>
      </c>
      <c r="T15" s="625">
        <f t="shared" si="5"/>
        <v>9982.759</v>
      </c>
      <c r="U15" s="605">
        <f t="shared" si="6"/>
        <v>1663.7931666666666</v>
      </c>
    </row>
    <row r="16" spans="2:21">
      <c r="B16" s="79" t="str">
        <f>Dashboard!BF35</f>
        <v>Product &amp; Engineering</v>
      </c>
      <c r="C16" s="117" t="str">
        <f>Dashboard!BG35</f>
        <v>Data Analytics</v>
      </c>
      <c r="D16" s="9">
        <f>Dashboard!BH35</f>
        <v>20</v>
      </c>
      <c r="E16" s="3">
        <f>Dashboard!BI35</f>
        <v>95</v>
      </c>
      <c r="F16" s="3">
        <f>Dashboard!BJ35</f>
        <v>89</v>
      </c>
      <c r="G16" s="3">
        <f>Dashboard!BK35</f>
        <v>6</v>
      </c>
      <c r="H16" s="270">
        <f>Dashboard!BP35</f>
        <v>72.78</v>
      </c>
      <c r="I16" s="278">
        <f>Dashboard!BU35</f>
        <v>36875.200000000004</v>
      </c>
      <c r="J16" s="278">
        <f>Dashboard!BV35</f>
        <v>12954.84</v>
      </c>
      <c r="K16" s="278">
        <f>Dashboard!BW35</f>
        <v>3493.44</v>
      </c>
      <c r="L16" s="278">
        <f>Dashboard!BX35</f>
        <v>16448.28</v>
      </c>
      <c r="M16" s="278">
        <f>Dashboard!BY35</f>
        <v>53323.48</v>
      </c>
      <c r="N16" s="224">
        <f>Dashboard!BZ35</f>
        <v>2666.174</v>
      </c>
      <c r="O16" s="3">
        <f t="shared" si="1"/>
        <v>97.9</v>
      </c>
      <c r="P16" s="9">
        <f t="shared" si="0"/>
        <v>5.4</v>
      </c>
      <c r="Q16" s="562">
        <f t="shared" si="2"/>
        <v>14250.324000000001</v>
      </c>
      <c r="R16" s="224">
        <f t="shared" si="3"/>
        <v>3144.0960000000005</v>
      </c>
      <c r="S16" s="224">
        <f t="shared" si="4"/>
        <v>17394.420000000002</v>
      </c>
      <c r="T16" s="625">
        <f t="shared" si="5"/>
        <v>54269.62000000001</v>
      </c>
      <c r="U16" s="605">
        <f t="shared" si="6"/>
        <v>2713.4810000000007</v>
      </c>
    </row>
    <row r="17" spans="2:21">
      <c r="B17" s="79" t="str">
        <f>Dashboard!BF36</f>
        <v>Product &amp; Engineering</v>
      </c>
      <c r="C17" s="117" t="str">
        <f>Dashboard!BG36</f>
        <v>Data Engineering</v>
      </c>
      <c r="D17" s="9">
        <f>Dashboard!BH36</f>
        <v>19</v>
      </c>
      <c r="E17" s="3">
        <f>Dashboard!BI36</f>
        <v>87</v>
      </c>
      <c r="F17" s="3">
        <f>Dashboard!BJ36</f>
        <v>62</v>
      </c>
      <c r="G17" s="3">
        <f>Dashboard!BK36</f>
        <v>25</v>
      </c>
      <c r="H17" s="270">
        <f>Dashboard!BP36</f>
        <v>72.78</v>
      </c>
      <c r="I17" s="278">
        <f>Dashboard!BU36</f>
        <v>33769.920000000006</v>
      </c>
      <c r="J17" s="278">
        <f>Dashboard!BV36</f>
        <v>9024.7199999999993</v>
      </c>
      <c r="K17" s="278">
        <f>Dashboard!BW36</f>
        <v>14556</v>
      </c>
      <c r="L17" s="278">
        <f>Dashboard!BX36</f>
        <v>23580.720000000001</v>
      </c>
      <c r="M17" s="278">
        <f>Dashboard!BY36</f>
        <v>57350.640000000007</v>
      </c>
      <c r="N17" s="224">
        <f>Dashboard!BZ36</f>
        <v>3018.4547368421058</v>
      </c>
      <c r="O17" s="3">
        <f t="shared" si="1"/>
        <v>68.2</v>
      </c>
      <c r="P17" s="9">
        <f t="shared" si="0"/>
        <v>22.5</v>
      </c>
      <c r="Q17" s="562">
        <f t="shared" si="2"/>
        <v>9927.1920000000009</v>
      </c>
      <c r="R17" s="224">
        <f t="shared" si="3"/>
        <v>13100.4</v>
      </c>
      <c r="S17" s="224">
        <f t="shared" si="4"/>
        <v>23027.592000000001</v>
      </c>
      <c r="T17" s="625">
        <f t="shared" si="5"/>
        <v>56797.512000000002</v>
      </c>
      <c r="U17" s="605">
        <f t="shared" si="6"/>
        <v>2989.3427368421053</v>
      </c>
    </row>
    <row r="18" spans="2:21">
      <c r="B18" s="79" t="str">
        <f>Dashboard!BF37</f>
        <v>Product &amp; Engineering</v>
      </c>
      <c r="C18" s="117" t="str">
        <f>Dashboard!BG37</f>
        <v>Feedback</v>
      </c>
      <c r="D18" s="9">
        <f>Dashboard!BH37</f>
        <v>9</v>
      </c>
      <c r="E18" s="3">
        <f>Dashboard!BI37</f>
        <v>23</v>
      </c>
      <c r="F18" s="3">
        <f>Dashboard!BJ37</f>
        <v>11</v>
      </c>
      <c r="G18" s="3">
        <f>Dashboard!BK37</f>
        <v>12</v>
      </c>
      <c r="H18" s="270">
        <f>Dashboard!BP37</f>
        <v>68.699999999999989</v>
      </c>
      <c r="I18" s="278">
        <f>Dashboard!BU37</f>
        <v>8427.1999999999989</v>
      </c>
      <c r="J18" s="278">
        <f>Dashboard!BV37</f>
        <v>1511.3999999999996</v>
      </c>
      <c r="K18" s="278">
        <f>Dashboard!BW37</f>
        <v>6595.1999999999989</v>
      </c>
      <c r="L18" s="278">
        <f>Dashboard!BX37</f>
        <v>8106.5999999999985</v>
      </c>
      <c r="M18" s="278">
        <f>Dashboard!BY37</f>
        <v>16533.799999999996</v>
      </c>
      <c r="N18" s="224">
        <f>Dashboard!BZ37</f>
        <v>1837.0888888888885</v>
      </c>
      <c r="O18" s="3">
        <f t="shared" si="1"/>
        <v>12.100000000000001</v>
      </c>
      <c r="P18" s="9">
        <f t="shared" si="0"/>
        <v>10.8</v>
      </c>
      <c r="Q18" s="562">
        <f t="shared" si="2"/>
        <v>1662.54</v>
      </c>
      <c r="R18" s="224">
        <f t="shared" si="3"/>
        <v>5935.6799999999994</v>
      </c>
      <c r="S18" s="224">
        <f t="shared" si="4"/>
        <v>7598.2199999999993</v>
      </c>
      <c r="T18" s="625">
        <f t="shared" si="5"/>
        <v>16025.419999999998</v>
      </c>
      <c r="U18" s="605">
        <f t="shared" si="6"/>
        <v>1780.6022222222221</v>
      </c>
    </row>
    <row r="19" spans="2:21">
      <c r="B19" s="79" t="str">
        <f>Dashboard!BF38</f>
        <v>Product &amp; Engineering</v>
      </c>
      <c r="C19" s="117" t="str">
        <f>Dashboard!BG38</f>
        <v>Foundations</v>
      </c>
      <c r="D19" s="9">
        <f>Dashboard!BH38</f>
        <v>6</v>
      </c>
      <c r="E19" s="3">
        <f>Dashboard!BI38</f>
        <v>16</v>
      </c>
      <c r="F19" s="3">
        <f>Dashboard!BJ38</f>
        <v>0</v>
      </c>
      <c r="G19" s="3">
        <f>Dashboard!BK38</f>
        <v>16</v>
      </c>
      <c r="H19" s="270">
        <f>Dashboard!BP38</f>
        <v>68.699999999999989</v>
      </c>
      <c r="I19" s="278">
        <f>Dashboard!BU38</f>
        <v>5862.4</v>
      </c>
      <c r="J19" s="278">
        <f>Dashboard!BV38</f>
        <v>0</v>
      </c>
      <c r="K19" s="278">
        <f>Dashboard!BW38</f>
        <v>8793.5999999999985</v>
      </c>
      <c r="L19" s="278">
        <f>Dashboard!BX38</f>
        <v>8793.5999999999985</v>
      </c>
      <c r="M19" s="278">
        <f>Dashboard!BY38</f>
        <v>14655.999999999998</v>
      </c>
      <c r="N19" s="224">
        <f>Dashboard!BZ38</f>
        <v>2442.6666666666665</v>
      </c>
      <c r="O19" s="3">
        <f t="shared" si="1"/>
        <v>0</v>
      </c>
      <c r="P19" s="9">
        <f t="shared" si="0"/>
        <v>14.4</v>
      </c>
      <c r="Q19" s="562">
        <f t="shared" si="2"/>
        <v>0</v>
      </c>
      <c r="R19" s="224">
        <f t="shared" si="3"/>
        <v>7914.2399999999989</v>
      </c>
      <c r="S19" s="224">
        <f t="shared" si="4"/>
        <v>7914.2399999999989</v>
      </c>
      <c r="T19" s="625">
        <f t="shared" si="5"/>
        <v>13776.64</v>
      </c>
      <c r="U19" s="605">
        <f t="shared" si="6"/>
        <v>2296.1066666666666</v>
      </c>
    </row>
    <row r="20" spans="2:21">
      <c r="B20" s="79" t="str">
        <f>Dashboard!BF39</f>
        <v>Product &amp; Engineering</v>
      </c>
      <c r="C20" s="117" t="str">
        <f>Dashboard!BG39</f>
        <v>Monetization Platform</v>
      </c>
      <c r="D20" s="9">
        <f>Dashboard!BH39</f>
        <v>11</v>
      </c>
      <c r="E20" s="3">
        <f>Dashboard!BI39</f>
        <v>68</v>
      </c>
      <c r="F20" s="3">
        <f>Dashboard!BJ39</f>
        <v>44</v>
      </c>
      <c r="G20" s="3">
        <f>Dashboard!BK39</f>
        <v>24</v>
      </c>
      <c r="H20" s="270">
        <f>Dashboard!BP39</f>
        <v>68.699999999999989</v>
      </c>
      <c r="I20" s="278">
        <f>Dashboard!BU39</f>
        <v>24915.199999999997</v>
      </c>
      <c r="J20" s="278">
        <f>Dashboard!BV39</f>
        <v>6045.5999999999985</v>
      </c>
      <c r="K20" s="278">
        <f>Dashboard!BW39</f>
        <v>13190.399999999998</v>
      </c>
      <c r="L20" s="278">
        <f>Dashboard!BX39</f>
        <v>19235.999999999996</v>
      </c>
      <c r="M20" s="278">
        <f>Dashboard!BY39</f>
        <v>44151.199999999997</v>
      </c>
      <c r="N20" s="224">
        <f>Dashboard!BZ39</f>
        <v>4013.7454545454543</v>
      </c>
      <c r="O20" s="3">
        <f t="shared" si="1"/>
        <v>48.400000000000006</v>
      </c>
      <c r="P20" s="9">
        <f t="shared" si="0"/>
        <v>21.6</v>
      </c>
      <c r="Q20" s="562">
        <f t="shared" si="2"/>
        <v>6650.16</v>
      </c>
      <c r="R20" s="224">
        <f t="shared" si="3"/>
        <v>11871.359999999999</v>
      </c>
      <c r="S20" s="224">
        <f t="shared" si="4"/>
        <v>18521.519999999997</v>
      </c>
      <c r="T20" s="625">
        <f t="shared" si="5"/>
        <v>43436.719999999994</v>
      </c>
      <c r="U20" s="605">
        <f t="shared" si="6"/>
        <v>3948.7927272727266</v>
      </c>
    </row>
    <row r="21" spans="2:21">
      <c r="B21" s="79" t="str">
        <f>Dashboard!BF40</f>
        <v>Product &amp; Engineering</v>
      </c>
      <c r="C21" s="117" t="str">
        <f>Dashboard!BG40</f>
        <v>Security &amp; Auth</v>
      </c>
      <c r="D21" s="9">
        <f>Dashboard!BH40</f>
        <v>4</v>
      </c>
      <c r="E21" s="3">
        <f>Dashboard!BI40</f>
        <v>38</v>
      </c>
      <c r="F21" s="3">
        <f>Dashboard!BJ40</f>
        <v>25</v>
      </c>
      <c r="G21" s="3">
        <f>Dashboard!BK40</f>
        <v>13</v>
      </c>
      <c r="H21" s="270">
        <f>Dashboard!BP40</f>
        <v>68.699999999999989</v>
      </c>
      <c r="I21" s="278">
        <f>Dashboard!BU40</f>
        <v>13923.199999999999</v>
      </c>
      <c r="J21" s="278">
        <f>Dashboard!BV40</f>
        <v>3434.9999999999995</v>
      </c>
      <c r="K21" s="278">
        <f>Dashboard!BW40</f>
        <v>7144.7999999999993</v>
      </c>
      <c r="L21" s="278">
        <f>Dashboard!BX40</f>
        <v>10579.8</v>
      </c>
      <c r="M21" s="278">
        <f>Dashboard!BY40</f>
        <v>24503</v>
      </c>
      <c r="N21" s="224">
        <f>Dashboard!BZ40</f>
        <v>6125.75</v>
      </c>
      <c r="O21" s="3">
        <f t="shared" si="1"/>
        <v>27.500000000000004</v>
      </c>
      <c r="P21" s="9">
        <f t="shared" si="0"/>
        <v>11.700000000000001</v>
      </c>
      <c r="Q21" s="562">
        <f t="shared" si="2"/>
        <v>3778.5</v>
      </c>
      <c r="R21" s="224">
        <f t="shared" si="3"/>
        <v>6430.32</v>
      </c>
      <c r="S21" s="224">
        <f t="shared" si="4"/>
        <v>10208.82</v>
      </c>
      <c r="T21" s="625">
        <f t="shared" si="5"/>
        <v>24132.019999999997</v>
      </c>
      <c r="U21" s="605">
        <f t="shared" si="6"/>
        <v>6033.0049999999992</v>
      </c>
    </row>
    <row r="22" spans="2:21">
      <c r="B22" s="79" t="str">
        <f>Dashboard!BF41</f>
        <v>Product &amp; Engineering</v>
      </c>
      <c r="C22" s="117" t="str">
        <f>Dashboard!BG41</f>
        <v>SRE</v>
      </c>
      <c r="D22" s="9">
        <f>Dashboard!BH41</f>
        <v>8</v>
      </c>
      <c r="E22" s="3">
        <f>Dashboard!BI41</f>
        <v>35</v>
      </c>
      <c r="F22" s="3">
        <f>Dashboard!BJ41</f>
        <v>31</v>
      </c>
      <c r="G22" s="3">
        <f>Dashboard!BK41</f>
        <v>4</v>
      </c>
      <c r="H22" s="270">
        <f>Dashboard!BP41</f>
        <v>68.699999999999989</v>
      </c>
      <c r="I22" s="278">
        <f>Dashboard!BU41</f>
        <v>12824</v>
      </c>
      <c r="J22" s="278">
        <f>Dashboard!BV41</f>
        <v>4259.3999999999996</v>
      </c>
      <c r="K22" s="278">
        <f>Dashboard!BW41</f>
        <v>2198.3999999999996</v>
      </c>
      <c r="L22" s="278">
        <f>Dashboard!BX41</f>
        <v>6457.7999999999993</v>
      </c>
      <c r="M22" s="278">
        <f>Dashboard!BY41</f>
        <v>19281.8</v>
      </c>
      <c r="N22" s="224">
        <f>Dashboard!BZ41</f>
        <v>2410.2249999999999</v>
      </c>
      <c r="O22" s="3">
        <f t="shared" si="1"/>
        <v>34.1</v>
      </c>
      <c r="P22" s="9">
        <f t="shared" si="0"/>
        <v>3.6</v>
      </c>
      <c r="Q22" s="562">
        <f t="shared" si="2"/>
        <v>4685.3399999999992</v>
      </c>
      <c r="R22" s="224">
        <f t="shared" si="3"/>
        <v>1978.5599999999997</v>
      </c>
      <c r="S22" s="224">
        <f t="shared" si="4"/>
        <v>6663.8999999999987</v>
      </c>
      <c r="T22" s="625">
        <f t="shared" si="5"/>
        <v>19487.899999999998</v>
      </c>
      <c r="U22" s="605">
        <f t="shared" si="6"/>
        <v>2435.9874999999997</v>
      </c>
    </row>
    <row r="23" spans="2:21" ht="13.5" thickBot="1">
      <c r="B23" s="302" t="str">
        <f>Dashboard!BF42</f>
        <v>Product &amp; Engineering</v>
      </c>
      <c r="C23" s="118" t="str">
        <f>Dashboard!BG42</f>
        <v>Supply Chain</v>
      </c>
      <c r="D23" s="10">
        <f>Dashboard!BH42</f>
        <v>7</v>
      </c>
      <c r="E23" s="4">
        <f>Dashboard!BI42</f>
        <v>20</v>
      </c>
      <c r="F23" s="4">
        <f>Dashboard!BJ42</f>
        <v>16</v>
      </c>
      <c r="G23" s="4">
        <f>Dashboard!BK42</f>
        <v>4</v>
      </c>
      <c r="H23" s="280">
        <f>Dashboard!BP42</f>
        <v>55.574999999999996</v>
      </c>
      <c r="I23" s="281">
        <f>Dashboard!BU42</f>
        <v>5928</v>
      </c>
      <c r="J23" s="281">
        <f>Dashboard!BV42</f>
        <v>1778.3999999999999</v>
      </c>
      <c r="K23" s="281">
        <f>Dashboard!BW42</f>
        <v>1778.3999999999999</v>
      </c>
      <c r="L23" s="281">
        <f>Dashboard!BX42</f>
        <v>3556.7999999999997</v>
      </c>
      <c r="M23" s="281">
        <f>Dashboard!BY42</f>
        <v>9484.7999999999993</v>
      </c>
      <c r="N23" s="389">
        <f>Dashboard!BZ42</f>
        <v>1354.9714285714285</v>
      </c>
      <c r="O23" s="49">
        <f t="shared" si="1"/>
        <v>17.600000000000001</v>
      </c>
      <c r="P23" s="10">
        <f t="shared" si="0"/>
        <v>3.6</v>
      </c>
      <c r="Q23" s="589">
        <f t="shared" si="2"/>
        <v>1956.24</v>
      </c>
      <c r="R23" s="389">
        <f t="shared" si="3"/>
        <v>1600.56</v>
      </c>
      <c r="S23" s="389">
        <f t="shared" si="4"/>
        <v>3556.8</v>
      </c>
      <c r="T23" s="624">
        <f t="shared" si="5"/>
        <v>9484.7999999999993</v>
      </c>
      <c r="U23" s="620">
        <f t="shared" si="6"/>
        <v>1354.9714285714285</v>
      </c>
    </row>
    <row r="24" spans="2:21" ht="13.5" thickBot="1">
      <c r="B24" s="301" t="str">
        <f>Dashboard!BF43</f>
        <v>Sales</v>
      </c>
      <c r="C24" s="120" t="str">
        <f>Dashboard!BG43</f>
        <v>Sales</v>
      </c>
      <c r="D24" s="41">
        <f>Dashboard!BH43</f>
        <v>22</v>
      </c>
      <c r="E24" s="299">
        <f>Dashboard!BI43</f>
        <v>168</v>
      </c>
      <c r="F24" s="299">
        <f>Dashboard!BJ43</f>
        <v>129</v>
      </c>
      <c r="G24" s="299">
        <f>Dashboard!BK43</f>
        <v>39</v>
      </c>
      <c r="H24" s="571">
        <f>Dashboard!BP43</f>
        <v>21.330000000000002</v>
      </c>
      <c r="I24" s="573">
        <f>Dashboard!BU43</f>
        <v>19111.68</v>
      </c>
      <c r="J24" s="573">
        <f>Dashboard!BV43</f>
        <v>5503.14</v>
      </c>
      <c r="K24" s="573">
        <f>Dashboard!BW43</f>
        <v>6654.9600000000009</v>
      </c>
      <c r="L24" s="573">
        <f>Dashboard!BX43</f>
        <v>12158.100000000002</v>
      </c>
      <c r="M24" s="572">
        <f>Dashboard!BY43</f>
        <v>31269.780000000002</v>
      </c>
      <c r="N24" s="590">
        <f>Dashboard!BZ43</f>
        <v>1421.3536363636365</v>
      </c>
      <c r="O24" s="41">
        <f t="shared" si="1"/>
        <v>141.9</v>
      </c>
      <c r="P24" s="607">
        <f t="shared" si="0"/>
        <v>35.1</v>
      </c>
      <c r="Q24" s="591">
        <f t="shared" si="2"/>
        <v>6053.4540000000006</v>
      </c>
      <c r="R24" s="591">
        <f t="shared" si="3"/>
        <v>5989.4640000000009</v>
      </c>
      <c r="S24" s="621">
        <f t="shared" si="4"/>
        <v>12042.918000000001</v>
      </c>
      <c r="T24" s="626">
        <f t="shared" si="5"/>
        <v>31154.598000000002</v>
      </c>
      <c r="U24" s="608">
        <f t="shared" si="6"/>
        <v>1416.1180909090911</v>
      </c>
    </row>
    <row r="25" spans="2:21" ht="13.5" thickBot="1">
      <c r="B25" s="721" t="str">
        <f>Dashboard!BF44</f>
        <v>Total</v>
      </c>
      <c r="C25" s="722"/>
      <c r="D25" s="62">
        <f>Dashboard!BH44</f>
        <v>210</v>
      </c>
      <c r="E25" s="230">
        <f>Dashboard!BI44</f>
        <v>960</v>
      </c>
      <c r="F25" s="62">
        <f>Dashboard!BJ44</f>
        <v>622</v>
      </c>
      <c r="G25" s="62">
        <f>Dashboard!BK44</f>
        <v>338</v>
      </c>
      <c r="H25" s="568">
        <f>Dashboard!BP44</f>
        <v>0</v>
      </c>
      <c r="I25" s="261">
        <f>Dashboard!BU44</f>
        <v>257421.60000000003</v>
      </c>
      <c r="J25" s="261">
        <f>Dashboard!BV44</f>
        <v>63021.24</v>
      </c>
      <c r="K25" s="261">
        <f>Dashboard!BW44</f>
        <v>134047.43999999997</v>
      </c>
      <c r="L25" s="261">
        <f>Dashboard!BX44</f>
        <v>197068.67999999996</v>
      </c>
      <c r="M25" s="565">
        <f>Dashboard!BY44</f>
        <v>454490.28</v>
      </c>
      <c r="N25" s="565">
        <f>Dashboard!BZ44</f>
        <v>2327.8258443129166</v>
      </c>
      <c r="O25" s="386"/>
      <c r="P25" s="588"/>
      <c r="Q25" s="609">
        <f>SUM(Q3:Q24)</f>
        <v>69323.364000000001</v>
      </c>
      <c r="R25" s="609">
        <f>SUM(R3:R24)</f>
        <v>120642.696</v>
      </c>
      <c r="S25" s="609">
        <f t="shared" ref="S25:T25" si="7">SUM(S3:S24)</f>
        <v>189966.05999999997</v>
      </c>
      <c r="T25" s="622">
        <f t="shared" si="7"/>
        <v>447387.66</v>
      </c>
      <c r="U25" s="598">
        <f>AVERAGE(U3:U24)</f>
        <v>2282.1469673814358</v>
      </c>
    </row>
    <row r="27" spans="2:21" ht="13.5" thickBot="1"/>
    <row r="28" spans="2:21" ht="13.5" thickBot="1">
      <c r="B28" s="68" t="s">
        <v>264</v>
      </c>
      <c r="C28" s="42" t="s">
        <v>272</v>
      </c>
      <c r="D28" s="409" t="s">
        <v>265</v>
      </c>
      <c r="E28" s="403" t="s">
        <v>267</v>
      </c>
      <c r="F28" s="600" t="s">
        <v>266</v>
      </c>
    </row>
    <row r="29" spans="2:21" ht="13.5" thickBot="1">
      <c r="B29" s="599">
        <v>0.5</v>
      </c>
      <c r="C29" s="633">
        <v>1</v>
      </c>
      <c r="D29" s="535">
        <f>Dashboard!L9</f>
        <v>0.75</v>
      </c>
      <c r="E29" s="602">
        <f>Dashboard!L11</f>
        <v>0.1</v>
      </c>
      <c r="F29" s="603">
        <f>Dashboard!L13</f>
        <v>-0.1</v>
      </c>
    </row>
    <row r="30" spans="2:21">
      <c r="B30" s="630">
        <v>0.45</v>
      </c>
      <c r="C30" s="634">
        <v>0.95</v>
      </c>
    </row>
    <row r="31" spans="2:21">
      <c r="B31" s="630">
        <v>0.4</v>
      </c>
      <c r="C31" s="634">
        <v>0.9</v>
      </c>
    </row>
    <row r="32" spans="2:21">
      <c r="B32" s="630">
        <v>0.35</v>
      </c>
      <c r="C32" s="634">
        <v>0.85</v>
      </c>
    </row>
    <row r="33" spans="2:3">
      <c r="B33" s="630">
        <v>0.3</v>
      </c>
      <c r="C33" s="634">
        <v>0.8</v>
      </c>
    </row>
    <row r="34" spans="2:3">
      <c r="B34" s="630">
        <v>0.25</v>
      </c>
      <c r="C34" s="634">
        <v>0.75</v>
      </c>
    </row>
    <row r="35" spans="2:3">
      <c r="B35" s="630">
        <v>0.2</v>
      </c>
      <c r="C35" s="634">
        <v>0.7</v>
      </c>
    </row>
    <row r="36" spans="2:3">
      <c r="B36" s="630">
        <v>0.15</v>
      </c>
      <c r="C36" s="634">
        <v>0.65</v>
      </c>
    </row>
    <row r="37" spans="2:3">
      <c r="B37" s="630">
        <v>0.1</v>
      </c>
      <c r="C37" s="634">
        <v>0.6</v>
      </c>
    </row>
    <row r="38" spans="2:3">
      <c r="B38" s="630">
        <v>0.05</v>
      </c>
      <c r="C38" s="634">
        <v>0.55000000000000004</v>
      </c>
    </row>
    <row r="39" spans="2:3">
      <c r="B39" s="631">
        <v>0</v>
      </c>
      <c r="C39" s="634">
        <v>0.5</v>
      </c>
    </row>
    <row r="40" spans="2:3">
      <c r="B40" s="630">
        <v>-0.05</v>
      </c>
      <c r="C40" s="634">
        <v>0.45</v>
      </c>
    </row>
    <row r="41" spans="2:3">
      <c r="B41" s="631">
        <v>-0.1</v>
      </c>
      <c r="C41" s="634">
        <v>0.39999999999999902</v>
      </c>
    </row>
    <row r="42" spans="2:3">
      <c r="B42" s="630">
        <v>-0.15</v>
      </c>
      <c r="C42" s="634">
        <v>0.34999999999999898</v>
      </c>
    </row>
    <row r="43" spans="2:3">
      <c r="B43" s="631">
        <v>-0.2</v>
      </c>
      <c r="C43" s="634">
        <v>0.29999999999999899</v>
      </c>
    </row>
    <row r="44" spans="2:3">
      <c r="B44" s="630">
        <v>-0.25</v>
      </c>
      <c r="C44" s="634">
        <v>0.249999999999999</v>
      </c>
    </row>
    <row r="45" spans="2:3">
      <c r="B45" s="631">
        <v>-0.3</v>
      </c>
      <c r="C45" s="634">
        <v>0.19999999999999901</v>
      </c>
    </row>
    <row r="46" spans="2:3">
      <c r="B46" s="630">
        <v>-0.35</v>
      </c>
      <c r="C46" s="634">
        <v>0.149999999999999</v>
      </c>
    </row>
    <row r="47" spans="2:3">
      <c r="B47" s="631">
        <v>-0.4</v>
      </c>
      <c r="C47" s="634">
        <v>9.9999999999999006E-2</v>
      </c>
    </row>
    <row r="48" spans="2:3">
      <c r="B48" s="630">
        <v>-0.45</v>
      </c>
      <c r="C48" s="634">
        <v>4.9999999999998997E-2</v>
      </c>
    </row>
    <row r="49" spans="2:3" ht="13.5" thickBot="1">
      <c r="B49" s="632">
        <v>-0.5</v>
      </c>
      <c r="C49" s="635">
        <v>0</v>
      </c>
    </row>
  </sheetData>
  <mergeCells count="2">
    <mergeCell ref="B25:C25"/>
    <mergeCell ref="O1:U1"/>
  </mergeCells>
  <conditionalFormatting sqref="B29:B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DB4A-9182-4E9A-A80A-B3DC38A2CD94}">
  <sheetPr codeName="Sheet10">
    <tabColor theme="1" tint="0.499984740745262"/>
  </sheetPr>
  <dimension ref="B1:O32"/>
  <sheetViews>
    <sheetView workbookViewId="0">
      <selection activeCell="L31" sqref="L31"/>
    </sheetView>
  </sheetViews>
  <sheetFormatPr defaultRowHeight="12.75"/>
  <cols>
    <col min="1" max="1" width="2.7109375" customWidth="1"/>
    <col min="2" max="2" width="26.140625" customWidth="1"/>
    <col min="3" max="3" width="22.7109375" customWidth="1"/>
    <col min="4" max="4" width="8.140625" bestFit="1" customWidth="1"/>
    <col min="5" max="5" width="11.5703125" bestFit="1" customWidth="1"/>
    <col min="6" max="6" width="20.85546875" customWidth="1"/>
    <col min="7" max="7" width="26" customWidth="1"/>
    <col min="8" max="8" width="20.85546875" bestFit="1" customWidth="1"/>
    <col min="9" max="9" width="3" customWidth="1"/>
    <col min="10" max="10" width="23" customWidth="1"/>
    <col min="11" max="11" width="17.5703125" bestFit="1" customWidth="1"/>
    <col min="12" max="12" width="21.28515625" customWidth="1"/>
    <col min="13" max="13" width="19" customWidth="1"/>
    <col min="14" max="14" width="18.42578125" customWidth="1"/>
    <col min="15" max="15" width="19.7109375" customWidth="1"/>
  </cols>
  <sheetData>
    <row r="1" spans="2:15" ht="13.5" thickBot="1">
      <c r="G1" s="7"/>
      <c r="H1" s="7"/>
    </row>
    <row r="2" spans="2:15" ht="13.5" thickBot="1">
      <c r="B2" s="69" t="str">
        <f>Dashboard!V21</f>
        <v>Department</v>
      </c>
      <c r="C2" s="68" t="str">
        <f>Dashboard!W21</f>
        <v>Team</v>
      </c>
      <c r="D2" s="194" t="s">
        <v>138</v>
      </c>
      <c r="E2" s="664" t="s">
        <v>139</v>
      </c>
      <c r="F2" s="263" t="s">
        <v>130</v>
      </c>
      <c r="G2" s="263" t="s">
        <v>129</v>
      </c>
      <c r="H2" s="48" t="s">
        <v>131</v>
      </c>
      <c r="J2" s="369" t="str">
        <f>Dashboard!V13</f>
        <v>Department</v>
      </c>
      <c r="K2" s="60" t="s">
        <v>140</v>
      </c>
      <c r="L2" s="664" t="s">
        <v>139</v>
      </c>
      <c r="M2" s="263" t="s">
        <v>130</v>
      </c>
      <c r="N2" s="129" t="s">
        <v>137</v>
      </c>
      <c r="O2" s="129" t="s">
        <v>131</v>
      </c>
    </row>
    <row r="3" spans="2:15">
      <c r="B3" s="93" t="str">
        <f>Dashboard!V22</f>
        <v>Customer Experience</v>
      </c>
      <c r="C3" s="97" t="str">
        <f>Dashboard!W22</f>
        <v>Success</v>
      </c>
      <c r="D3" s="173">
        <f>Dashboard!AA22</f>
        <v>4.9956933677863913E-2</v>
      </c>
      <c r="E3" s="182">
        <f t="shared" ref="E3:E24" si="0">$D$25</f>
        <v>3.5437430786267994E-2</v>
      </c>
      <c r="F3" s="173" t="str">
        <f>IF(AND(D3&gt;$D$25,OR(D3&gt;=LARGE($D$3:$D$24,1),D3&gt;=LARGE($D$3:$D$24,2),D3&gt;=LARGE($D$3:$D$24,3))),ROUND(D3*100,2)&amp;"%, "&amp;C3,"")</f>
        <v/>
      </c>
      <c r="G3" s="189" t="str">
        <f>IF(D3&gt;E3,ROUND(D3*100,2)&amp;"%, "&amp;C3,"")</f>
        <v>5%, Success</v>
      </c>
      <c r="H3" s="190" t="str">
        <f>IF(Dashboard!$Q$52=$B$30,F3,IF(Dashboard!$Q$52=$B$32,"",G3))</f>
        <v/>
      </c>
      <c r="J3" s="457" t="s">
        <v>37</v>
      </c>
      <c r="K3" s="144">
        <f>Dashboard!AA14</f>
        <v>3.4883720930232558E-2</v>
      </c>
      <c r="L3" s="185">
        <f>$K$8</f>
        <v>3.5437430786267994E-2</v>
      </c>
      <c r="M3" s="195" t="str">
        <f>IF(AND(K3&gt;$K$8,OR(K3&gt;=LARGE($K$3:$K$7,1),K3&gt;=LARGE($K$3:$K$7,2),K3&gt;=LARGE($K$3:$K$7,3))),ROUND(K3*100,2)&amp;"%, "&amp;J3,"")</f>
        <v/>
      </c>
      <c r="N3" s="195" t="str">
        <f>IF(K3&gt;L3,ROUND(K3*100,2)&amp;"%, "&amp;J3,"")</f>
        <v/>
      </c>
      <c r="O3" s="173" t="str">
        <f>IF(Dashboard!Q52=$B$30,M3,IF(Dashboard!Q52=$B$32,"",N3))</f>
        <v/>
      </c>
    </row>
    <row r="4" spans="2:15" ht="13.5" thickBot="1">
      <c r="B4" s="94" t="str">
        <f>Dashboard!V23</f>
        <v>Customer Experience</v>
      </c>
      <c r="C4" s="98" t="str">
        <f>Dashboard!W23</f>
        <v>Support</v>
      </c>
      <c r="D4" s="174">
        <f>Dashboard!AA23</f>
        <v>2.77437780497756E-2</v>
      </c>
      <c r="E4" s="183">
        <f t="shared" si="0"/>
        <v>3.5437430786267994E-2</v>
      </c>
      <c r="F4" s="174" t="str">
        <f t="shared" ref="F4:F24" si="1">IF(AND(D4&gt;$D$25,OR(D4&gt;=LARGE($D$3:$D$24,1),D4&gt;=LARGE($D$3:$D$24,2),D4&gt;=LARGE($D$3:$D$24,3))),ROUND(D4*100,2)&amp;"%, "&amp;C4,"")</f>
        <v/>
      </c>
      <c r="G4" s="183" t="str">
        <f t="shared" ref="G4:G24" si="2">IF(D4&gt;E4,ROUND(D4*100,2)&amp;"%, "&amp;C4,"")</f>
        <v/>
      </c>
      <c r="H4" s="174" t="str">
        <f>IF(Dashboard!$Q$52=$B$30,F4,IF(Dashboard!$Q$52=$B$32,"",G4))</f>
        <v/>
      </c>
      <c r="J4" s="458" t="s">
        <v>18</v>
      </c>
      <c r="K4" s="145">
        <f>Dashboard!AA15</f>
        <v>3.9276485788113692E-2</v>
      </c>
      <c r="L4" s="186">
        <f>$K$8</f>
        <v>3.5437430786267994E-2</v>
      </c>
      <c r="M4" s="196" t="str">
        <f>IF(AND(K4&gt;$K$8,OR(K4&gt;=LARGE($K$3:$K$7,1),K4&gt;=LARGE($K$3:$K$7,2),K4&gt;=LARGE($K$3:$K$7,3))),ROUND(K4*100,2)&amp;"%, "&amp;J4,"")</f>
        <v>3.93%, Marketing</v>
      </c>
      <c r="N4" s="196" t="str">
        <f>IF(K4&gt;L4,ROUND(K4*100,2)&amp;"%, "&amp;J4,"")</f>
        <v>3.93%, Marketing</v>
      </c>
      <c r="O4" s="174" t="str">
        <f>IF(Dashboard!Q53=$B$30,M4,IF(Dashboard!Q53=$B$32,"",N4))</f>
        <v>3.93%, Marketing</v>
      </c>
    </row>
    <row r="5" spans="2:15">
      <c r="B5" s="90" t="str">
        <f>Dashboard!V24</f>
        <v>Marketing</v>
      </c>
      <c r="C5" s="99" t="str">
        <f>Dashboard!W24</f>
        <v>Customer Marketing</v>
      </c>
      <c r="D5" s="174">
        <f>Dashboard!AA24</f>
        <v>1.4642549526270457E-2</v>
      </c>
      <c r="E5" s="183">
        <f t="shared" si="0"/>
        <v>3.5437430786267994E-2</v>
      </c>
      <c r="F5" s="174" t="str">
        <f t="shared" si="1"/>
        <v/>
      </c>
      <c r="G5" s="183" t="str">
        <f t="shared" si="2"/>
        <v/>
      </c>
      <c r="H5" s="174" t="str">
        <f>IF(Dashboard!$Q$52=$B$30,F5,IF(Dashboard!$Q$52=$B$32,"",G5))</f>
        <v/>
      </c>
      <c r="J5" s="459" t="s">
        <v>7</v>
      </c>
      <c r="K5" s="145">
        <f>Dashboard!AA16</f>
        <v>2.2932816537467701E-2</v>
      </c>
      <c r="L5" s="186">
        <f>$K$8</f>
        <v>3.5437430786267994E-2</v>
      </c>
      <c r="M5" s="196" t="str">
        <f t="shared" ref="M5:M7" si="3">IF(AND(K5&gt;$K$8,OR(K5&gt;=LARGE($K$3:$K$7,1),K5&gt;=LARGE($K$3:$K$7,2),K5&gt;=LARGE($K$3:$K$7,3))),ROUND(K5*100,2)&amp;"%, "&amp;J5,"")</f>
        <v/>
      </c>
      <c r="N5" s="196" t="str">
        <f t="shared" ref="N5:N6" si="4">IF(K5&gt;L5,ROUND(K5*100,2)&amp;"%, "&amp;J5,"")</f>
        <v/>
      </c>
      <c r="O5" s="174" t="str">
        <f>IF(Dashboard!Q54=$B$30,M5,IF(Dashboard!Q54=$B$32,"",N5))</f>
        <v/>
      </c>
    </row>
    <row r="6" spans="2:15">
      <c r="B6" s="91" t="str">
        <f>Dashboard!V25</f>
        <v>Marketing</v>
      </c>
      <c r="C6" s="100" t="str">
        <f>Dashboard!W25</f>
        <v>Leap</v>
      </c>
      <c r="D6" s="174">
        <f>Dashboard!AA25</f>
        <v>0.10465116279069768</v>
      </c>
      <c r="E6" s="183">
        <f t="shared" si="0"/>
        <v>3.5437430786267994E-2</v>
      </c>
      <c r="F6" s="174" t="str">
        <f t="shared" si="1"/>
        <v>10.47%, Leap</v>
      </c>
      <c r="G6" s="183" t="str">
        <f t="shared" si="2"/>
        <v>10.47%, Leap</v>
      </c>
      <c r="H6" s="174" t="str">
        <f>IF(Dashboard!$Q$52=$B$30,F6,IF(Dashboard!$Q$52=$B$32,"",G6))</f>
        <v>10.47%, Leap</v>
      </c>
      <c r="J6" s="460" t="s">
        <v>22</v>
      </c>
      <c r="K6" s="145">
        <f>Dashboard!AA17</f>
        <v>3.3250048049202383E-2</v>
      </c>
      <c r="L6" s="186">
        <f>$K$8</f>
        <v>3.5437430786267994E-2</v>
      </c>
      <c r="M6" s="196" t="str">
        <f t="shared" si="3"/>
        <v/>
      </c>
      <c r="N6" s="196" t="str">
        <f t="shared" si="4"/>
        <v/>
      </c>
      <c r="O6" s="174" t="str">
        <f>IF(Dashboard!Q55=$B$30,M6,IF(Dashboard!Q55=$B$32,"",N6))</f>
        <v/>
      </c>
    </row>
    <row r="7" spans="2:15" ht="13.5" thickBot="1">
      <c r="B7" s="92" t="str">
        <f>Dashboard!V26</f>
        <v>Marketing</v>
      </c>
      <c r="C7" s="101" t="str">
        <f>Dashboard!W26</f>
        <v>Unknown</v>
      </c>
      <c r="D7" s="174">
        <f>Dashboard!AA26</f>
        <v>1.937984496124031E-2</v>
      </c>
      <c r="E7" s="183">
        <f t="shared" si="0"/>
        <v>3.5437430786267994E-2</v>
      </c>
      <c r="F7" s="174" t="str">
        <f t="shared" si="1"/>
        <v/>
      </c>
      <c r="G7" s="183" t="str">
        <f t="shared" si="2"/>
        <v/>
      </c>
      <c r="H7" s="174" t="str">
        <f>IF(Dashboard!$Q$52=$B$30,F7,IF(Dashboard!$Q$52=$B$32,"",G7))</f>
        <v/>
      </c>
      <c r="J7" s="461" t="s">
        <v>15</v>
      </c>
      <c r="K7" s="146">
        <f>Dashboard!AA18</f>
        <v>5.9196617336152217E-2</v>
      </c>
      <c r="L7" s="187">
        <f>$K$8</f>
        <v>3.5437430786267994E-2</v>
      </c>
      <c r="M7" s="197" t="str">
        <f t="shared" si="3"/>
        <v>5.92%, Sales</v>
      </c>
      <c r="N7" s="197" t="str">
        <f>IF(K7&gt;L7,ROUND(K7*100,2)&amp;"%, "&amp;J7,"")</f>
        <v>5.92%, Sales</v>
      </c>
      <c r="O7" s="175" t="str">
        <f>IF(Dashboard!Q56=$B$30,M7,IF(Dashboard!Q56=$B$32,"",N7))</f>
        <v>5.92%, Sales</v>
      </c>
    </row>
    <row r="8" spans="2:15" ht="13.5" thickBot="1">
      <c r="B8" s="81" t="str">
        <f>Dashboard!V27</f>
        <v>Operations</v>
      </c>
      <c r="C8" s="102" t="str">
        <f>Dashboard!W27</f>
        <v>Biz Ops</v>
      </c>
      <c r="D8" s="174">
        <f>Dashboard!AA27</f>
        <v>4.8449612403100778E-2</v>
      </c>
      <c r="E8" s="183">
        <f t="shared" si="0"/>
        <v>3.5437430786267994E-2</v>
      </c>
      <c r="F8" s="174" t="str">
        <f t="shared" si="1"/>
        <v/>
      </c>
      <c r="G8" s="183" t="str">
        <f t="shared" si="2"/>
        <v>4.84%, Biz Ops</v>
      </c>
      <c r="H8" s="174" t="str">
        <f>IF(Dashboard!$Q$52=$B$30,F8,IF(Dashboard!$Q$52=$B$32,"",G8))</f>
        <v/>
      </c>
      <c r="J8" s="456" t="s">
        <v>110</v>
      </c>
      <c r="K8" s="203">
        <f>Dashboard!$AA$19</f>
        <v>3.5437430786267994E-2</v>
      </c>
      <c r="M8" s="180"/>
      <c r="N8" s="188"/>
    </row>
    <row r="9" spans="2:15" ht="13.5" thickBot="1">
      <c r="B9" s="82" t="str">
        <f>Dashboard!V28</f>
        <v>Operations</v>
      </c>
      <c r="C9" s="103" t="str">
        <f>Dashboard!W28</f>
        <v>Compliance</v>
      </c>
      <c r="D9" s="174">
        <f>Dashboard!AA28</f>
        <v>2.4224806201550389E-2</v>
      </c>
      <c r="E9" s="183">
        <f t="shared" si="0"/>
        <v>3.5437430786267994E-2</v>
      </c>
      <c r="F9" s="174" t="str">
        <f t="shared" si="1"/>
        <v/>
      </c>
      <c r="G9" s="183" t="str">
        <f t="shared" si="2"/>
        <v/>
      </c>
      <c r="H9" s="174" t="str">
        <f>IF(Dashboard!$Q$52=$B$30,F9,IF(Dashboard!$Q$52=$B$32,"",G9))</f>
        <v/>
      </c>
      <c r="J9" s="2"/>
    </row>
    <row r="10" spans="2:15" ht="13.5" thickBot="1">
      <c r="B10" s="82" t="str">
        <f>Dashboard!V29</f>
        <v>Operations</v>
      </c>
      <c r="C10" s="103" t="str">
        <f>Dashboard!W29</f>
        <v>Finance</v>
      </c>
      <c r="D10" s="174">
        <f>Dashboard!AA29</f>
        <v>7.7519379844961239E-3</v>
      </c>
      <c r="E10" s="183">
        <f t="shared" si="0"/>
        <v>3.5437430786267994E-2</v>
      </c>
      <c r="F10" s="174" t="str">
        <f t="shared" si="1"/>
        <v/>
      </c>
      <c r="G10" s="183" t="str">
        <f t="shared" si="2"/>
        <v/>
      </c>
      <c r="H10" s="174" t="str">
        <f>IF(Dashboard!$Q$52=$B$30,F10,IF(Dashboard!$Q$52=$B$32,"",G10))</f>
        <v/>
      </c>
      <c r="J10" s="205" t="s">
        <v>117</v>
      </c>
      <c r="K10" s="198" t="s">
        <v>121</v>
      </c>
      <c r="L10" s="48" t="s">
        <v>139</v>
      </c>
      <c r="M10" s="129" t="s">
        <v>130</v>
      </c>
      <c r="N10" s="129" t="s">
        <v>137</v>
      </c>
      <c r="O10" s="253" t="s">
        <v>131</v>
      </c>
    </row>
    <row r="11" spans="2:15" ht="13.5" thickBot="1">
      <c r="B11" s="83" t="str">
        <f>Dashboard!V30</f>
        <v>Operations</v>
      </c>
      <c r="C11" s="104" t="str">
        <f>Dashboard!W30</f>
        <v>Talent Acquisition</v>
      </c>
      <c r="D11" s="174">
        <f>Dashboard!AA30</f>
        <v>1.7718715393133997E-2</v>
      </c>
      <c r="E11" s="183">
        <f t="shared" si="0"/>
        <v>3.5437430786267994E-2</v>
      </c>
      <c r="F11" s="174" t="str">
        <f t="shared" si="1"/>
        <v/>
      </c>
      <c r="G11" s="183" t="str">
        <f t="shared" si="2"/>
        <v/>
      </c>
      <c r="H11" s="174" t="str">
        <f>IF(Dashboard!$Q$52=$B$30,F11,IF(Dashboard!$Q$52=$B$32,"",G11))</f>
        <v/>
      </c>
      <c r="J11" s="167" t="s">
        <v>16</v>
      </c>
      <c r="K11" s="199">
        <f>Dashboard!AA6</f>
        <v>0.10852713178294573</v>
      </c>
      <c r="L11" s="186">
        <f>$K$16</f>
        <v>3.5437430786267994E-2</v>
      </c>
      <c r="M11" s="173" t="str">
        <f>IF(AND(K11&gt;$K$8,OR(K11&gt;=LARGE($K$3:$K$7,1),K11&gt;=LARGE($K$3:$K$7,2),K11&gt;=LARGE($K$3:$K$7,3))),ROUND(K11*100,2)&amp;"%, "&amp;J11,"")</f>
        <v>10.85%, Germany</v>
      </c>
      <c r="N11" s="195" t="str">
        <f>IF(K11&gt;L11,ROUND(K11*100,2)&amp;"%, "&amp;J11,"")</f>
        <v>10.85%, Germany</v>
      </c>
      <c r="O11" s="173" t="str">
        <f>IF(Dashboard!Q52=$B$30,M11,IF(Dashboard!Q52=$B$32,"",N11))</f>
        <v>10.85%, Germany</v>
      </c>
    </row>
    <row r="12" spans="2:15">
      <c r="B12" s="75" t="str">
        <f>Dashboard!V31</f>
        <v>Product &amp; Engineering</v>
      </c>
      <c r="C12" s="113" t="str">
        <f>Dashboard!W31</f>
        <v>Activation</v>
      </c>
      <c r="D12" s="174">
        <f>Dashboard!AA31</f>
        <v>3.7350246652572236E-2</v>
      </c>
      <c r="E12" s="183">
        <f t="shared" si="0"/>
        <v>3.5437430786267994E-2</v>
      </c>
      <c r="F12" s="174" t="str">
        <f t="shared" si="1"/>
        <v/>
      </c>
      <c r="G12" s="183" t="str">
        <f t="shared" si="2"/>
        <v>3.74%, Activation</v>
      </c>
      <c r="H12" s="174" t="str">
        <f>IF(Dashboard!$Q$52=$B$30,F12,IF(Dashboard!$Q$52=$B$32,"",G12))</f>
        <v/>
      </c>
      <c r="J12" s="168" t="s">
        <v>27</v>
      </c>
      <c r="K12" s="178">
        <f>Dashboard!AA7</f>
        <v>6.3953488372093026E-2</v>
      </c>
      <c r="L12" s="201">
        <f t="shared" ref="L12:L15" si="5">$K$16</f>
        <v>3.5437430786267994E-2</v>
      </c>
      <c r="M12" s="174" t="str">
        <f t="shared" ref="M12:M15" si="6">IF(AND(K12&gt;$K$8,OR(K12&gt;=LARGE($K$3:$K$7,1),K12&gt;=LARGE($K$3:$K$7,2),K12&gt;=LARGE($K$3:$K$7,3))),ROUND(K12*100,2)&amp;"%, "&amp;J12,"")</f>
        <v>6.4%, Romania</v>
      </c>
      <c r="N12" s="196" t="str">
        <f t="shared" ref="N12:N15" si="7">IF(K12&gt;L12,ROUND(K12*100,2)&amp;"%, "&amp;J12,"")</f>
        <v>6.4%, Romania</v>
      </c>
      <c r="O12" s="174" t="str">
        <f>IF(Dashboard!Q53=$B$30,M12,IF(Dashboard!Q53=$B$32,"",N12))</f>
        <v>6.4%, Romania</v>
      </c>
    </row>
    <row r="13" spans="2:15">
      <c r="B13" s="76" t="str">
        <f>Dashboard!V32</f>
        <v>Product &amp; Engineering</v>
      </c>
      <c r="C13" s="114" t="str">
        <f>Dashboard!W32</f>
        <v>Business Enablement</v>
      </c>
      <c r="D13" s="174">
        <f>Dashboard!AA32</f>
        <v>1.5503875968992248E-2</v>
      </c>
      <c r="E13" s="183">
        <f t="shared" si="0"/>
        <v>3.5437430786267994E-2</v>
      </c>
      <c r="F13" s="174" t="str">
        <f t="shared" si="1"/>
        <v/>
      </c>
      <c r="G13" s="183" t="str">
        <f t="shared" si="2"/>
        <v/>
      </c>
      <c r="H13" s="174" t="str">
        <f>IF(Dashboard!$Q$52=$B$30,F13,IF(Dashboard!$Q$52=$B$32,"",G13))</f>
        <v/>
      </c>
      <c r="J13" s="168" t="s">
        <v>17</v>
      </c>
      <c r="K13" s="178">
        <f>Dashboard!AA8</f>
        <v>4.3604651162790699E-2</v>
      </c>
      <c r="L13" s="201">
        <f t="shared" si="5"/>
        <v>3.5437430786267994E-2</v>
      </c>
      <c r="M13" s="174" t="str">
        <f t="shared" si="6"/>
        <v>4.36%, Spain</v>
      </c>
      <c r="N13" s="196" t="str">
        <f t="shared" si="7"/>
        <v>4.36%, Spain</v>
      </c>
      <c r="O13" s="174" t="str">
        <f>IF(Dashboard!Q54=$B$30,M13,IF(Dashboard!Q54=$B$32,"",N13))</f>
        <v>4.36%, Spain</v>
      </c>
    </row>
    <row r="14" spans="2:15">
      <c r="B14" s="76" t="str">
        <f>Dashboard!V33</f>
        <v>Product &amp; Engineering</v>
      </c>
      <c r="C14" s="114" t="str">
        <f>Dashboard!W33</f>
        <v>Buyer Experience</v>
      </c>
      <c r="D14" s="174">
        <f>Dashboard!AA33</f>
        <v>3.0303030303030304E-2</v>
      </c>
      <c r="E14" s="183">
        <f t="shared" si="0"/>
        <v>3.5437430786267994E-2</v>
      </c>
      <c r="F14" s="174" t="str">
        <f t="shared" si="1"/>
        <v/>
      </c>
      <c r="G14" s="183" t="str">
        <f t="shared" si="2"/>
        <v/>
      </c>
      <c r="H14" s="174" t="str">
        <f>IF(Dashboard!$Q$52=$B$30,F14,IF(Dashboard!$Q$52=$B$32,"",G14))</f>
        <v/>
      </c>
      <c r="J14" s="168" t="s">
        <v>36</v>
      </c>
      <c r="K14" s="178">
        <f>Dashboard!AA9</f>
        <v>2.8792912513842746E-2</v>
      </c>
      <c r="L14" s="201">
        <f t="shared" si="5"/>
        <v>3.5437430786267994E-2</v>
      </c>
      <c r="M14" s="174" t="str">
        <f t="shared" si="6"/>
        <v/>
      </c>
      <c r="N14" s="196" t="str">
        <f t="shared" si="7"/>
        <v/>
      </c>
      <c r="O14" s="174" t="str">
        <f>IF(Dashboard!Q55=$B$30,M14,IF(Dashboard!Q55=$B$32,"",N14))</f>
        <v/>
      </c>
    </row>
    <row r="15" spans="2:15" ht="13.5" thickBot="1">
      <c r="B15" s="76" t="str">
        <f>Dashboard!V34</f>
        <v>Product &amp; Engineering</v>
      </c>
      <c r="C15" s="114" t="str">
        <f>Dashboard!W34</f>
        <v>Core UX</v>
      </c>
      <c r="D15" s="174">
        <f>Dashboard!AA34</f>
        <v>2.9715762273901807E-2</v>
      </c>
      <c r="E15" s="183">
        <f t="shared" si="0"/>
        <v>3.5437430786267994E-2</v>
      </c>
      <c r="F15" s="174" t="str">
        <f t="shared" si="1"/>
        <v/>
      </c>
      <c r="G15" s="183" t="str">
        <f t="shared" si="2"/>
        <v/>
      </c>
      <c r="H15" s="174" t="str">
        <f>IF(Dashboard!$Q$52=$B$30,F15,IF(Dashboard!$Q$52=$B$32,"",G15))</f>
        <v/>
      </c>
      <c r="J15" s="169" t="s">
        <v>9</v>
      </c>
      <c r="K15" s="200">
        <f>Dashboard!AA10</f>
        <v>3.1223083548664946E-2</v>
      </c>
      <c r="L15" s="202">
        <f t="shared" si="5"/>
        <v>3.5437430786267994E-2</v>
      </c>
      <c r="M15" s="175" t="str">
        <f t="shared" si="6"/>
        <v/>
      </c>
      <c r="N15" s="197" t="str">
        <f t="shared" si="7"/>
        <v/>
      </c>
      <c r="O15" s="175" t="str">
        <f>IF(Dashboard!Q56=$B$30,M15,IF(Dashboard!Q56=$B$32,"",N15))</f>
        <v/>
      </c>
    </row>
    <row r="16" spans="2:15" ht="13.5" thickBot="1">
      <c r="B16" s="76" t="str">
        <f>Dashboard!V35</f>
        <v>Product &amp; Engineering</v>
      </c>
      <c r="C16" s="114" t="str">
        <f>Dashboard!W35</f>
        <v>Data Analytics</v>
      </c>
      <c r="D16" s="174">
        <f>Dashboard!AA35</f>
        <v>3.6821705426356592E-2</v>
      </c>
      <c r="E16" s="183">
        <f t="shared" si="0"/>
        <v>3.5437430786267994E-2</v>
      </c>
      <c r="F16" s="174" t="str">
        <f t="shared" si="1"/>
        <v/>
      </c>
      <c r="G16" s="183" t="str">
        <f t="shared" si="2"/>
        <v>3.68%, Data Analytics</v>
      </c>
      <c r="H16" s="174" t="str">
        <f>IF(Dashboard!$Q$52=$B$30,F16,IF(Dashboard!$Q$52=$B$32,"",G16))</f>
        <v/>
      </c>
      <c r="J16" s="205" t="s">
        <v>110</v>
      </c>
      <c r="K16" s="203">
        <f>Dashboard!$AA$19</f>
        <v>3.5437430786267994E-2</v>
      </c>
    </row>
    <row r="17" spans="2:11">
      <c r="B17" s="76" t="str">
        <f>Dashboard!V36</f>
        <v>Product &amp; Engineering</v>
      </c>
      <c r="C17" s="114" t="str">
        <f>Dashboard!W36</f>
        <v>Data Engineering</v>
      </c>
      <c r="D17" s="174">
        <f>Dashboard!AA36</f>
        <v>3.5495716034271728E-2</v>
      </c>
      <c r="E17" s="183">
        <f t="shared" si="0"/>
        <v>3.5437430786267994E-2</v>
      </c>
      <c r="F17" s="174" t="str">
        <f t="shared" si="1"/>
        <v/>
      </c>
      <c r="G17" s="183" t="str">
        <f t="shared" si="2"/>
        <v>3.55%, Data Engineering</v>
      </c>
      <c r="H17" s="174" t="str">
        <f>IF(Dashboard!$Q$52=$B$30,F17,IF(Dashboard!$Q$52=$B$32,"",G17))</f>
        <v/>
      </c>
      <c r="J17" s="2"/>
    </row>
    <row r="18" spans="2:11">
      <c r="B18" s="76" t="str">
        <f>Dashboard!V37</f>
        <v>Product &amp; Engineering</v>
      </c>
      <c r="C18" s="114" t="str">
        <f>Dashboard!W37</f>
        <v>Feedback</v>
      </c>
      <c r="D18" s="174">
        <f>Dashboard!AA37</f>
        <v>1.9810508182601206E-2</v>
      </c>
      <c r="E18" s="183">
        <f t="shared" si="0"/>
        <v>3.5437430786267994E-2</v>
      </c>
      <c r="F18" s="174" t="str">
        <f t="shared" si="1"/>
        <v/>
      </c>
      <c r="G18" s="183" t="str">
        <f t="shared" si="2"/>
        <v/>
      </c>
      <c r="H18" s="174" t="str">
        <f>IF(Dashboard!$Q$52=$B$30,F18,IF(Dashboard!$Q$52=$B$32,"",G18))</f>
        <v/>
      </c>
      <c r="J18" s="2"/>
    </row>
    <row r="19" spans="2:11">
      <c r="B19" s="76" t="str">
        <f>Dashboard!V38</f>
        <v>Product &amp; Engineering</v>
      </c>
      <c r="C19" s="114" t="str">
        <f>Dashboard!W38</f>
        <v>Foundations</v>
      </c>
      <c r="D19" s="174">
        <f>Dashboard!AA38</f>
        <v>2.0671834625322998E-2</v>
      </c>
      <c r="E19" s="183">
        <f t="shared" si="0"/>
        <v>3.5437430786267994E-2</v>
      </c>
      <c r="F19" s="174" t="str">
        <f t="shared" si="1"/>
        <v/>
      </c>
      <c r="G19" s="183" t="str">
        <f t="shared" si="2"/>
        <v/>
      </c>
      <c r="H19" s="174" t="str">
        <f>IF(Dashboard!$Q$52=$B$30,F19,IF(Dashboard!$Q$52=$B$32,"",G19))</f>
        <v/>
      </c>
      <c r="J19" s="2"/>
    </row>
    <row r="20" spans="2:11">
      <c r="B20" s="76" t="str">
        <f>Dashboard!V39</f>
        <v>Product &amp; Engineering</v>
      </c>
      <c r="C20" s="114" t="str">
        <f>Dashboard!W39</f>
        <v>Monetization Platform</v>
      </c>
      <c r="D20" s="174">
        <f>Dashboard!AA39</f>
        <v>4.7921071176885127E-2</v>
      </c>
      <c r="E20" s="183">
        <f t="shared" si="0"/>
        <v>3.5437430786267994E-2</v>
      </c>
      <c r="F20" s="174" t="str">
        <f t="shared" si="1"/>
        <v/>
      </c>
      <c r="G20" s="183" t="str">
        <f t="shared" si="2"/>
        <v>4.79%, Monetization Platform</v>
      </c>
      <c r="H20" s="174" t="str">
        <f>IF(Dashboard!$Q$52=$B$30,F20,IF(Dashboard!$Q$52=$B$32,"",G20))</f>
        <v/>
      </c>
      <c r="J20" s="2"/>
    </row>
    <row r="21" spans="2:11">
      <c r="B21" s="76" t="str">
        <f>Dashboard!V40</f>
        <v>Product &amp; Engineering</v>
      </c>
      <c r="C21" s="114" t="str">
        <f>Dashboard!W40</f>
        <v>Security &amp; Auth</v>
      </c>
      <c r="D21" s="174">
        <f>Dashboard!AA40</f>
        <v>7.3643410852713184E-2</v>
      </c>
      <c r="E21" s="183">
        <f t="shared" si="0"/>
        <v>3.5437430786267994E-2</v>
      </c>
      <c r="F21" s="174" t="str">
        <f t="shared" si="1"/>
        <v>7.36%, Security &amp; Auth</v>
      </c>
      <c r="G21" s="183" t="str">
        <f t="shared" si="2"/>
        <v>7.36%, Security &amp; Auth</v>
      </c>
      <c r="H21" s="174" t="str">
        <f>IF(Dashboard!$Q$52=$B$30,F21,IF(Dashboard!$Q$52=$B$32,"",G21))</f>
        <v>7.36%, Security &amp; Auth</v>
      </c>
      <c r="J21" s="2"/>
    </row>
    <row r="22" spans="2:11">
      <c r="B22" s="76" t="str">
        <f>Dashboard!V41</f>
        <v>Product &amp; Engineering</v>
      </c>
      <c r="C22" s="114" t="str">
        <f>Dashboard!W41</f>
        <v>SRE</v>
      </c>
      <c r="D22" s="174">
        <f>Dashboard!AA41</f>
        <v>3.391472868217054E-2</v>
      </c>
      <c r="E22" s="183">
        <f t="shared" si="0"/>
        <v>3.5437430786267994E-2</v>
      </c>
      <c r="F22" s="174" t="str">
        <f t="shared" si="1"/>
        <v/>
      </c>
      <c r="G22" s="183" t="str">
        <f t="shared" si="2"/>
        <v/>
      </c>
      <c r="H22" s="174" t="str">
        <f>IF(Dashboard!$Q$52=$B$30,F22,IF(Dashboard!$Q$52=$B$32,"",G22))</f>
        <v/>
      </c>
      <c r="J22" s="2"/>
    </row>
    <row r="23" spans="2:11" ht="13.5" thickBot="1">
      <c r="B23" s="77" t="str">
        <f>Dashboard!V42</f>
        <v>Product &amp; Engineering</v>
      </c>
      <c r="C23" s="115" t="str">
        <f>Dashboard!W42</f>
        <v>Supply Chain</v>
      </c>
      <c r="D23" s="174">
        <f>Dashboard!AA42</f>
        <v>2.2148394241417499E-2</v>
      </c>
      <c r="E23" s="183">
        <f t="shared" si="0"/>
        <v>3.5437430786267994E-2</v>
      </c>
      <c r="F23" s="174" t="str">
        <f t="shared" si="1"/>
        <v/>
      </c>
      <c r="G23" s="183" t="str">
        <f t="shared" si="2"/>
        <v/>
      </c>
      <c r="H23" s="174" t="str">
        <f>IF(Dashboard!$Q$52=$B$30,F23,IF(Dashboard!$Q$52=$B$32,"",G23))</f>
        <v/>
      </c>
      <c r="J23" s="2"/>
      <c r="K23" s="204"/>
    </row>
    <row r="24" spans="2:11" ht="13.5" thickBot="1">
      <c r="B24" s="74" t="str">
        <f>Dashboard!V43</f>
        <v>Sales</v>
      </c>
      <c r="C24" s="120" t="str">
        <f>Dashboard!W43</f>
        <v>Sales</v>
      </c>
      <c r="D24" s="175">
        <f>Dashboard!AA43</f>
        <v>5.9196617336152217E-2</v>
      </c>
      <c r="E24" s="184">
        <f t="shared" si="0"/>
        <v>3.5437430786267994E-2</v>
      </c>
      <c r="F24" s="175" t="str">
        <f t="shared" si="1"/>
        <v>5.92%, Sales</v>
      </c>
      <c r="G24" s="184" t="str">
        <f t="shared" si="2"/>
        <v>5.92%, Sales</v>
      </c>
      <c r="H24" s="175" t="str">
        <f>IF(Dashboard!$Q$52=$B$30,F24,IF(Dashboard!$Q$52=$B$32,"",G24))</f>
        <v>5.92%, Sales</v>
      </c>
      <c r="J24" s="2"/>
    </row>
    <row r="25" spans="2:11" ht="13.5" thickBot="1">
      <c r="C25" s="172" t="s">
        <v>110</v>
      </c>
      <c r="D25" s="176">
        <f>Dashboard!AA44</f>
        <v>3.5437430786267994E-2</v>
      </c>
      <c r="G25" s="180"/>
      <c r="H25" s="180"/>
      <c r="J25" s="2"/>
    </row>
    <row r="28" spans="2:11" ht="13.5" thickBot="1"/>
    <row r="29" spans="2:11" ht="13.5" thickBot="1">
      <c r="B29" s="5" t="s">
        <v>133</v>
      </c>
    </row>
    <row r="30" spans="2:11">
      <c r="B30" s="193" t="s">
        <v>134</v>
      </c>
    </row>
    <row r="31" spans="2:11">
      <c r="B31" s="191" t="s">
        <v>135</v>
      </c>
    </row>
    <row r="32" spans="2:11" ht="13.5" thickBot="1">
      <c r="B32" s="192" t="s">
        <v>132</v>
      </c>
    </row>
  </sheetData>
  <conditionalFormatting sqref="K3:K7">
    <cfRule type="cellIs" dxfId="1" priority="2" operator="greaterThan">
      <formula>$K$8</formula>
    </cfRule>
  </conditionalFormatting>
  <conditionalFormatting sqref="K11:K15">
    <cfRule type="cellIs" dxfId="0" priority="1" operator="greaterThan">
      <formula>$D$25</formula>
    </cfRule>
  </conditionalFormatting>
  <dataValidations count="1">
    <dataValidation type="list" allowBlank="1" showInputMessage="1" showErrorMessage="1" sqref="H1" xr:uid="{3B416C83-E548-4D8F-9889-DAF0B03C8D70}">
      <formula1>$B$30:$B$32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F A A B Q S w M E F A A C A A g A q 0 g I V S N 0 Z A S l A A A A 9 w A A A B I A H A B D b 2 5 m a W c v U G F j a 2 F n Z S 5 4 b W w g o h g A K K A U A A A A A A A A A A A A A A A A A A A A A A A A A A A A h Y 9 L C s I w G I S v U r J v X o K U k q Y L t x a E o r g N a a z B 9 q 8 0 q e n d X H g k r 2 B F q + 5 c z s w 3 M H O / 3 k Q + t k 1 0 M b 2 z H W S I Y Y o i A 7 q r L N Q Z G v w h T l A u x U b p k 6 p N N M H g 0 t H Z D B 2 9 P 6 e E h B B w W O C u r w m n l J F 9 s S 7 1 0 b Q q t u C 8 A m 3 Q p 1 X 9 b y E p d q 8 x k m N G l 5 i x h G M q y O y K w s K X 4 N P g Z / p j i t X Q + K E 3 0 k C 8 L Q W Z p S D v E / I B U E s D B B Q A A g A I A K t I C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S A h V 6 S B + Z B 4 C A A D h B w A A E w A c A E Z v c m 1 1 b G F z L 1 N l Y 3 R p b 2 4 x L m 0 g o h g A K K A U A A A A A A A A A A A A A A A A A A A A A A A A A A A A 1 V V L i 9 s w E L 4 H 8 h + E 9 5 J A G t h 2 6 a U s p U 0 C T d k + 6 I b 2 s O x B s c e 2 G k m j l e S Q N O S / d 2 T H N M X a B 2 k p 1 B e b m W 9 e 3 z z s I P U C N b t u 3 u e v + r 1 + z 5 X c Q s Z m y k j c A j h 2 y S T 4 f o / R c 4 2 V T Y E k s 0 0 K c j y p r A X t v 6 F d L R F X g + H u 5 i N X c J k s + F L C e X K 7 v 5 m g 9 g S 5 H T U O z p J J y X V B / h d b A w l 5 q q H j h e X a 5 W j V B G W l d F C 6 Q R N t t N s l b T J s P k 1 G b K 7 9 y 4 t x w O x H b J d M w X D r F U U h n S c p 8 7 D x t W o B X H W E V 5 j y U G 5 H 8 U 5 Y Y F P u o d V k 9 O 2 F g o M v q 4 S u L Z 8 G q i s 8 j r E f 9 n t C R 4 k 4 Z v 4 s m W 2 E Z 1 + A O 9 Q u O Z n / 5 / + I / x C e 5 R I 2 Y i m k 8 N s O r 1 + F C 3 y k k t u o m s u K x i w X 3 f 5 9 B r t y E S l Y d l f x a L B P e S 6 I I m N x I 1 Q M 8 I F r X j z g 4 A p 1 8 c x T H 9 k 6 J M Y w Z y l 3 J U t R G d A u P j q / j F L q I X l H Y 9 D 6 S j 8 x A t x V U S R w q 4 U u G N c Z y 2 A N E k 0 Y 9 C P 3 A r o E k V k G 1 p X C k I y r e 0 t 9 j 8 s o 7 X O l I B M 0 1 4 8 m G E E + T t Z h b N l 3 C i 9 D U V 0 E o s 3 a P Q q 1 o y 2 4 F j / u 8 U f B u N 4 y C 6 b y c c h b 0 E C V u l P 2 8 Y 0 x U j Q n 4 / R j + O L v L e M h H y I w t o 2 h p 7 Q D Q J m / j l 6 4 i D i c s 6 Z M y K J n r Q b U x q 2 a + K 4 1 T V o n n r n 2 q t C 8 r u E P L t 3 F / / a n q Q v u / i D q 8 0 R l l B E D X f i S D T K + d c P f E 3 u I 7 p 9 Q S w E C L Q A U A A I A C A C r S A h V I 3 R k B K U A A A D 3 A A A A E g A A A A A A A A A A A A A A A A A A A A A A Q 2 9 u Z m l n L 1 B h Y 2 t h Z 2 U u e G 1 s U E s B A i 0 A F A A C A A g A q 0 g I V Q / K 6 a u k A A A A 6 Q A A A B M A A A A A A A A A A A A A A A A A 8 Q A A A F t D b 2 5 0 Z W 5 0 X 1 R 5 c G V z X S 5 4 b W x Q S w E C L Q A U A A I A C A C r S A h V 6 S B + Z B 4 C A A D h B w A A E w A A A A A A A A A A A A A A A A D i A Q A A R m 9 y b X V s Y X M v U 2 V j d G l v b j E u b V B L B Q Y A A A A A A w A D A M I A A A B N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E g A A A A A A A A 0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X B s b 3 l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3 V D E y O j Q 4 O j Q z L j g w N j Q y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t c G x v e W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l 0 J T I w U m V h c 2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d U M T I 6 N T M 6 M j g u N T I y O T g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p d C U y M F J l Y X N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p d C U y M F J l Y X N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s a W N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3 V D E y O j U z O j U x L j Y 4 M z A 5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w c G x p Y 2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s a W N h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M E x l Y X Z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d U M T I 6 N T U 6 N T E u M j c z M D M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W 1 w b G 9 5 Z W U l M j B M Z W F 2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j B M Z W F 2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a x J G p M h V 0 u 9 L 2 F A t t X W V Q A A A A A C A A A A A A A D Z g A A w A A A A B A A A A D e W J Z U 5 O + m V 5 Z 9 Y H 2 U m X q 2 A A A A A A S A A A C g A A A A E A A A A L J p U T i D l p V e y L 9 R d Z A 4 V s 1 Q A A A A k m c b A z y B R L 6 K X Y u m 8 2 S l N j H 4 f 3 g l E d 1 8 t Q 3 H d t 7 / C Z 1 S 8 R k T H 0 n r H o I J Q D F c n + 6 o c O L A c D N k 6 K F C s L L n x 7 4 F Z 0 Q c 7 b V m 0 8 x Z p b h 6 j D H + o j c U A A A A O T z J W Q K + T R O h s S t b G 2 3 a j K c o / v s = < / D a t a M a s h u p > 
</file>

<file path=customXml/itemProps1.xml><?xml version="1.0" encoding="utf-8"?>
<ds:datastoreItem xmlns:ds="http://schemas.openxmlformats.org/officeDocument/2006/customXml" ds:itemID="{AFB0A4AE-9079-433B-905F-A5FE51B9D7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Employees</vt:lpstr>
      <vt:lpstr>Employee Leaves</vt:lpstr>
      <vt:lpstr>Exit Reasons</vt:lpstr>
      <vt:lpstr>Applications</vt:lpstr>
      <vt:lpstr>COA Estimator</vt:lpstr>
      <vt:lpstr>Dashboard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Ong</dc:creator>
  <cp:lastModifiedBy>Yang Ong</cp:lastModifiedBy>
  <dcterms:created xsi:type="dcterms:W3CDTF">2022-08-07T04:44:17Z</dcterms:created>
  <dcterms:modified xsi:type="dcterms:W3CDTF">2022-08-29T23:26:46Z</dcterms:modified>
</cp:coreProperties>
</file>