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Columbia Sportswear\"/>
    </mc:Choice>
  </mc:AlternateContent>
  <xr:revisionPtr revIDLastSave="0" documentId="13_ncr:1_{BD500D31-EC44-46C4-A261-3E37EAFE66C2}" xr6:coauthVersionLast="47" xr6:coauthVersionMax="47" xr10:uidLastSave="{00000000-0000-0000-0000-000000000000}"/>
  <bookViews>
    <workbookView xWindow="19090" yWindow="-110" windowWidth="38620" windowHeight="21220" activeTab="4" xr2:uid="{E792EE14-1F9D-413B-839B-29C335FEB4A3}"/>
  </bookViews>
  <sheets>
    <sheet name="Income Statement" sheetId="1" r:id="rId1"/>
    <sheet name="Balance Sheet" sheetId="2" r:id="rId2"/>
    <sheet name="Statement of Cash Flows" sheetId="5" r:id="rId3"/>
    <sheet name="Assset Schedule" sheetId="3" r:id="rId4"/>
    <sheet name="Loan Schedul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D23" i="2"/>
  <c r="D24" i="5"/>
  <c r="D28" i="1"/>
  <c r="E25" i="1"/>
  <c r="F25" i="1"/>
  <c r="G25" i="1"/>
  <c r="H25" i="1"/>
  <c r="I25" i="1"/>
  <c r="J25" i="1"/>
  <c r="K25" i="1"/>
  <c r="L25" i="1"/>
  <c r="M25" i="1"/>
  <c r="D25" i="1"/>
  <c r="E23" i="1"/>
  <c r="F23" i="1"/>
  <c r="G23" i="1"/>
  <c r="H23" i="1"/>
  <c r="I23" i="1"/>
  <c r="J23" i="1"/>
  <c r="K23" i="1"/>
  <c r="L23" i="1"/>
  <c r="M23" i="1"/>
  <c r="D23" i="1"/>
  <c r="E21" i="1"/>
  <c r="F21" i="1"/>
  <c r="G21" i="1"/>
  <c r="H21" i="1"/>
  <c r="I21" i="1"/>
  <c r="J21" i="1"/>
  <c r="K21" i="1"/>
  <c r="L21" i="1"/>
  <c r="M21" i="1"/>
  <c r="D21" i="1"/>
  <c r="E20" i="5"/>
  <c r="E22" i="5" s="1"/>
  <c r="F20" i="5"/>
  <c r="G20" i="5"/>
  <c r="H20" i="5"/>
  <c r="H22" i="5" s="1"/>
  <c r="I20" i="5"/>
  <c r="I22" i="5" s="1"/>
  <c r="J20" i="5"/>
  <c r="K20" i="5"/>
  <c r="L20" i="5"/>
  <c r="L22" i="5" s="1"/>
  <c r="M20" i="5"/>
  <c r="M22" i="5" s="1"/>
  <c r="D20" i="5"/>
  <c r="D22" i="5" s="1"/>
  <c r="F22" i="5"/>
  <c r="G22" i="5"/>
  <c r="J22" i="5"/>
  <c r="K22" i="5"/>
  <c r="E18" i="5"/>
  <c r="F18" i="5"/>
  <c r="G18" i="5"/>
  <c r="H18" i="5"/>
  <c r="I18" i="5"/>
  <c r="J18" i="5"/>
  <c r="K18" i="5"/>
  <c r="L18" i="5"/>
  <c r="M18" i="5"/>
  <c r="D18" i="5"/>
  <c r="E16" i="5"/>
  <c r="F16" i="5"/>
  <c r="G16" i="5"/>
  <c r="H16" i="5"/>
  <c r="I16" i="5"/>
  <c r="J16" i="5"/>
  <c r="K16" i="5"/>
  <c r="L16" i="5"/>
  <c r="M16" i="5"/>
  <c r="D16" i="5"/>
  <c r="E12" i="5"/>
  <c r="F12" i="5"/>
  <c r="G12" i="5"/>
  <c r="H12" i="5"/>
  <c r="I12" i="5"/>
  <c r="J12" i="5"/>
  <c r="K12" i="5"/>
  <c r="L12" i="5"/>
  <c r="M12" i="5"/>
  <c r="D12" i="5"/>
  <c r="D37" i="2"/>
  <c r="F37" i="2"/>
  <c r="G37" i="2"/>
  <c r="H37" i="2"/>
  <c r="I37" i="2"/>
  <c r="J37" i="2"/>
  <c r="K37" i="2"/>
  <c r="L37" i="2"/>
  <c r="M37" i="2"/>
  <c r="E37" i="2"/>
  <c r="E36" i="2"/>
  <c r="F36" i="2"/>
  <c r="E11" i="5"/>
  <c r="F11" i="5"/>
  <c r="G11" i="5"/>
  <c r="H11" i="5"/>
  <c r="I11" i="5"/>
  <c r="J11" i="5"/>
  <c r="K11" i="5"/>
  <c r="L11" i="5"/>
  <c r="M11" i="5"/>
  <c r="D11" i="5"/>
  <c r="E25" i="2"/>
  <c r="F25" i="2"/>
  <c r="G25" i="2"/>
  <c r="H25" i="2"/>
  <c r="I25" i="2"/>
  <c r="J25" i="2"/>
  <c r="K25" i="2"/>
  <c r="L25" i="2"/>
  <c r="M25" i="2"/>
  <c r="D25" i="2"/>
  <c r="D17" i="4"/>
  <c r="L17" i="4" s="1"/>
  <c r="E11" i="4"/>
  <c r="F28" i="4" s="1"/>
  <c r="E17" i="2"/>
  <c r="F17" i="2"/>
  <c r="G17" i="2"/>
  <c r="H17" i="2"/>
  <c r="I17" i="2"/>
  <c r="J17" i="2"/>
  <c r="K17" i="2"/>
  <c r="L17" i="2"/>
  <c r="M17" i="2"/>
  <c r="D17" i="2"/>
  <c r="G21" i="3"/>
  <c r="F21" i="3"/>
  <c r="F24" i="3" s="1"/>
  <c r="G24" i="3"/>
  <c r="H21" i="3" s="1"/>
  <c r="H24" i="3" s="1"/>
  <c r="I21" i="3" s="1"/>
  <c r="I24" i="3" s="1"/>
  <c r="J21" i="3" s="1"/>
  <c r="J24" i="3" s="1"/>
  <c r="K21" i="3" s="1"/>
  <c r="K24" i="3" s="1"/>
  <c r="L21" i="3" s="1"/>
  <c r="L24" i="3" s="1"/>
  <c r="M21" i="3" s="1"/>
  <c r="M24" i="3" s="1"/>
  <c r="N21" i="3" s="1"/>
  <c r="N24" i="3" s="1"/>
  <c r="F23" i="3"/>
  <c r="G23" i="3"/>
  <c r="H23" i="3"/>
  <c r="I23" i="3"/>
  <c r="J23" i="3"/>
  <c r="K23" i="3"/>
  <c r="L23" i="3"/>
  <c r="M23" i="3"/>
  <c r="N23" i="3"/>
  <c r="E23" i="3"/>
  <c r="F22" i="3"/>
  <c r="G22" i="3"/>
  <c r="H22" i="3"/>
  <c r="I22" i="3"/>
  <c r="J22" i="3"/>
  <c r="K22" i="3"/>
  <c r="L22" i="3"/>
  <c r="M22" i="3"/>
  <c r="N22" i="3"/>
  <c r="E22" i="3"/>
  <c r="E24" i="3" s="1"/>
  <c r="F20" i="3"/>
  <c r="G20" i="3"/>
  <c r="H20" i="3"/>
  <c r="I20" i="3"/>
  <c r="J20" i="3"/>
  <c r="K20" i="3"/>
  <c r="L20" i="3"/>
  <c r="M20" i="3"/>
  <c r="N20" i="3"/>
  <c r="E20" i="3"/>
  <c r="M17" i="3"/>
  <c r="N17" i="3"/>
  <c r="K15" i="3"/>
  <c r="L15" i="3"/>
  <c r="M15" i="3"/>
  <c r="N15" i="3"/>
  <c r="I13" i="3"/>
  <c r="J13" i="3"/>
  <c r="K13" i="3"/>
  <c r="L13" i="3"/>
  <c r="M13" i="3"/>
  <c r="N13" i="3"/>
  <c r="F10" i="3"/>
  <c r="G10" i="3"/>
  <c r="H10" i="3"/>
  <c r="I10" i="3"/>
  <c r="J10" i="3"/>
  <c r="K10" i="3"/>
  <c r="L10" i="3"/>
  <c r="M10" i="3"/>
  <c r="N10" i="3"/>
  <c r="F9" i="3"/>
  <c r="G9" i="3"/>
  <c r="H9" i="3"/>
  <c r="I9" i="3"/>
  <c r="J9" i="3"/>
  <c r="K9" i="3"/>
  <c r="L9" i="3"/>
  <c r="M9" i="3"/>
  <c r="N9" i="3"/>
  <c r="E9" i="3"/>
  <c r="E26" i="2"/>
  <c r="F26" i="2"/>
  <c r="D21" i="2"/>
  <c r="G12" i="2"/>
  <c r="H12" i="2"/>
  <c r="I12" i="2"/>
  <c r="J12" i="2"/>
  <c r="K12" i="2"/>
  <c r="L12" i="2"/>
  <c r="M12" i="2"/>
  <c r="D19" i="1"/>
  <c r="F17" i="1"/>
  <c r="E17" i="1"/>
  <c r="F14" i="1"/>
  <c r="E14" i="1"/>
  <c r="E11" i="1"/>
  <c r="E19" i="1" s="1"/>
  <c r="F11" i="1"/>
  <c r="F19" i="1" s="1"/>
  <c r="G11" i="1"/>
  <c r="G14" i="2" s="1"/>
  <c r="H14" i="2" s="1"/>
  <c r="I14" i="2" s="1"/>
  <c r="J14" i="2" s="1"/>
  <c r="K14" i="2" s="1"/>
  <c r="L14" i="2" s="1"/>
  <c r="M14" i="2" s="1"/>
  <c r="H11" i="1"/>
  <c r="H14" i="1" s="1"/>
  <c r="H17" i="1" s="1"/>
  <c r="I11" i="1"/>
  <c r="J11" i="1"/>
  <c r="K11" i="1"/>
  <c r="L11" i="1"/>
  <c r="L14" i="1" s="1"/>
  <c r="L17" i="1" s="1"/>
  <c r="M11" i="1"/>
  <c r="M14" i="1" s="1"/>
  <c r="M17" i="1" s="1"/>
  <c r="D26" i="2" l="1"/>
  <c r="D36" i="2"/>
  <c r="G22" i="2"/>
  <c r="H22" i="2" s="1"/>
  <c r="I22" i="2" s="1"/>
  <c r="J22" i="2" s="1"/>
  <c r="K22" i="2" s="1"/>
  <c r="L22" i="2" s="1"/>
  <c r="M22" i="2" s="1"/>
  <c r="F26" i="4"/>
  <c r="F22" i="4"/>
  <c r="F18" i="4"/>
  <c r="F31" i="4"/>
  <c r="F27" i="4"/>
  <c r="F25" i="4"/>
  <c r="F21" i="4"/>
  <c r="F30" i="4"/>
  <c r="F24" i="4"/>
  <c r="F20" i="4"/>
  <c r="F29" i="4"/>
  <c r="F17" i="4"/>
  <c r="I17" i="4" s="1"/>
  <c r="N17" i="4" s="1"/>
  <c r="D18" i="4" s="1"/>
  <c r="F23" i="4"/>
  <c r="F19" i="4"/>
  <c r="K14" i="1"/>
  <c r="K17" i="1" s="1"/>
  <c r="J14" i="1"/>
  <c r="J17" i="1" s="1"/>
  <c r="G14" i="1"/>
  <c r="I14" i="1"/>
  <c r="I17" i="1" s="1"/>
  <c r="D31" i="1" l="1"/>
  <c r="D29" i="2" s="1"/>
  <c r="D30" i="2" s="1"/>
  <c r="D32" i="2" s="1"/>
  <c r="D9" i="5"/>
  <c r="D14" i="5" s="1"/>
  <c r="D28" i="5" s="1"/>
  <c r="G13" i="1"/>
  <c r="G13" i="2"/>
  <c r="L18" i="4"/>
  <c r="E28" i="1" s="1"/>
  <c r="I18" i="4"/>
  <c r="N18" i="4" s="1"/>
  <c r="D19" i="4" s="1"/>
  <c r="L19" i="4" s="1"/>
  <c r="G17" i="1"/>
  <c r="G16" i="1" s="1"/>
  <c r="H16" i="1" s="1"/>
  <c r="I16" i="1" s="1"/>
  <c r="J16" i="1" s="1"/>
  <c r="K16" i="1" s="1"/>
  <c r="L16" i="1" s="1"/>
  <c r="M16" i="1" s="1"/>
  <c r="E31" i="1" l="1"/>
  <c r="E9" i="5"/>
  <c r="E14" i="5" s="1"/>
  <c r="E24" i="5" s="1"/>
  <c r="E26" i="5"/>
  <c r="D11" i="2"/>
  <c r="D15" i="2" s="1"/>
  <c r="D19" i="2" s="1"/>
  <c r="D34" i="2" s="1"/>
  <c r="E29" i="2"/>
  <c r="E30" i="2" s="1"/>
  <c r="E32" i="2" s="1"/>
  <c r="H13" i="2"/>
  <c r="G21" i="2"/>
  <c r="G26" i="2" s="1"/>
  <c r="H13" i="1"/>
  <c r="F28" i="1"/>
  <c r="F9" i="5" s="1"/>
  <c r="F14" i="5" s="1"/>
  <c r="F24" i="5" s="1"/>
  <c r="I19" i="4"/>
  <c r="N19" i="4" s="1"/>
  <c r="D20" i="4" s="1"/>
  <c r="L20" i="4" s="1"/>
  <c r="G19" i="1"/>
  <c r="E28" i="5" l="1"/>
  <c r="F26" i="5" s="1"/>
  <c r="F28" i="5" s="1"/>
  <c r="F31" i="1"/>
  <c r="F29" i="2" s="1"/>
  <c r="F30" i="2" s="1"/>
  <c r="F32" i="2" s="1"/>
  <c r="G36" i="2"/>
  <c r="I13" i="2"/>
  <c r="I36" i="2" s="1"/>
  <c r="H21" i="2"/>
  <c r="H26" i="2" s="1"/>
  <c r="I13" i="1"/>
  <c r="I21" i="2" s="1"/>
  <c r="I26" i="2" s="1"/>
  <c r="I20" i="4"/>
  <c r="N20" i="4" s="1"/>
  <c r="D21" i="4" s="1"/>
  <c r="L21" i="4" s="1"/>
  <c r="G28" i="1"/>
  <c r="H19" i="1"/>
  <c r="E11" i="2" l="1"/>
  <c r="E15" i="2" s="1"/>
  <c r="E19" i="2" s="1"/>
  <c r="E34" i="2" s="1"/>
  <c r="G31" i="1"/>
  <c r="G29" i="2" s="1"/>
  <c r="G30" i="2" s="1"/>
  <c r="G32" i="2" s="1"/>
  <c r="G9" i="5"/>
  <c r="G14" i="5" s="1"/>
  <c r="G24" i="5" s="1"/>
  <c r="G26" i="5"/>
  <c r="F11" i="2"/>
  <c r="F15" i="2" s="1"/>
  <c r="F19" i="2" s="1"/>
  <c r="F34" i="2" s="1"/>
  <c r="H36" i="2"/>
  <c r="J13" i="2"/>
  <c r="I21" i="4"/>
  <c r="N21" i="4" s="1"/>
  <c r="D22" i="4" s="1"/>
  <c r="L22" i="4" s="1"/>
  <c r="H28" i="1"/>
  <c r="I19" i="1"/>
  <c r="J13" i="1"/>
  <c r="J21" i="2" s="1"/>
  <c r="J26" i="2" s="1"/>
  <c r="G28" i="5" l="1"/>
  <c r="G11" i="2" s="1"/>
  <c r="G15" i="2" s="1"/>
  <c r="G19" i="2" s="1"/>
  <c r="G34" i="2" s="1"/>
  <c r="H31" i="1"/>
  <c r="H29" i="2" s="1"/>
  <c r="H30" i="2" s="1"/>
  <c r="H32" i="2" s="1"/>
  <c r="H9" i="5"/>
  <c r="H14" i="5" s="1"/>
  <c r="H24" i="5" s="1"/>
  <c r="J36" i="2"/>
  <c r="K13" i="2"/>
  <c r="I22" i="4"/>
  <c r="N22" i="4" s="1"/>
  <c r="D23" i="4" s="1"/>
  <c r="L23" i="4" s="1"/>
  <c r="I28" i="1"/>
  <c r="J19" i="1"/>
  <c r="K13" i="1"/>
  <c r="K21" i="2" s="1"/>
  <c r="K26" i="2" s="1"/>
  <c r="H26" i="5" l="1"/>
  <c r="H28" i="5" s="1"/>
  <c r="I31" i="1"/>
  <c r="I29" i="2" s="1"/>
  <c r="I30" i="2" s="1"/>
  <c r="I32" i="2" s="1"/>
  <c r="I9" i="5"/>
  <c r="I14" i="5" s="1"/>
  <c r="I24" i="5" s="1"/>
  <c r="K36" i="2"/>
  <c r="L13" i="2"/>
  <c r="I23" i="4"/>
  <c r="N23" i="4" s="1"/>
  <c r="D24" i="4" s="1"/>
  <c r="J28" i="1"/>
  <c r="K19" i="1"/>
  <c r="L13" i="1"/>
  <c r="L21" i="2" s="1"/>
  <c r="L26" i="2" s="1"/>
  <c r="H11" i="2" l="1"/>
  <c r="H15" i="2" s="1"/>
  <c r="H19" i="2" s="1"/>
  <c r="H34" i="2" s="1"/>
  <c r="I26" i="5"/>
  <c r="I28" i="5" s="1"/>
  <c r="J26" i="5" s="1"/>
  <c r="J31" i="1"/>
  <c r="J29" i="2" s="1"/>
  <c r="J30" i="2" s="1"/>
  <c r="J32" i="2" s="1"/>
  <c r="J9" i="5"/>
  <c r="J14" i="5" s="1"/>
  <c r="J24" i="5" s="1"/>
  <c r="L36" i="2"/>
  <c r="M13" i="2"/>
  <c r="L24" i="4"/>
  <c r="L19" i="1"/>
  <c r="M13" i="1"/>
  <c r="M21" i="2" s="1"/>
  <c r="M26" i="2" s="1"/>
  <c r="I11" i="2" l="1"/>
  <c r="I15" i="2" s="1"/>
  <c r="I19" i="2" s="1"/>
  <c r="I34" i="2" s="1"/>
  <c r="J28" i="5"/>
  <c r="K26" i="5" s="1"/>
  <c r="M36" i="2"/>
  <c r="I24" i="4"/>
  <c r="N24" i="4" s="1"/>
  <c r="D25" i="4" s="1"/>
  <c r="L25" i="4" s="1"/>
  <c r="K28" i="1"/>
  <c r="M19" i="1"/>
  <c r="J11" i="2" l="1"/>
  <c r="J15" i="2" s="1"/>
  <c r="J19" i="2" s="1"/>
  <c r="J34" i="2" s="1"/>
  <c r="K31" i="1"/>
  <c r="K29" i="2" s="1"/>
  <c r="K30" i="2" s="1"/>
  <c r="K32" i="2" s="1"/>
  <c r="K9" i="5"/>
  <c r="K14" i="5" s="1"/>
  <c r="K24" i="5" s="1"/>
  <c r="K28" i="5" s="1"/>
  <c r="I25" i="4"/>
  <c r="N25" i="4" s="1"/>
  <c r="D26" i="4" s="1"/>
  <c r="L26" i="4" s="1"/>
  <c r="L28" i="1"/>
  <c r="L26" i="5" l="1"/>
  <c r="K11" i="2"/>
  <c r="K15" i="2" s="1"/>
  <c r="K19" i="2" s="1"/>
  <c r="K34" i="2" s="1"/>
  <c r="L31" i="1"/>
  <c r="L29" i="2" s="1"/>
  <c r="L30" i="2" s="1"/>
  <c r="L32" i="2" s="1"/>
  <c r="L9" i="5"/>
  <c r="L14" i="5" s="1"/>
  <c r="L24" i="5" s="1"/>
  <c r="I26" i="4"/>
  <c r="N26" i="4" s="1"/>
  <c r="D27" i="4" s="1"/>
  <c r="M28" i="1"/>
  <c r="L28" i="5" l="1"/>
  <c r="L11" i="2" s="1"/>
  <c r="L15" i="2" s="1"/>
  <c r="L19" i="2" s="1"/>
  <c r="L34" i="2" s="1"/>
  <c r="M31" i="1"/>
  <c r="M29" i="2" s="1"/>
  <c r="M30" i="2" s="1"/>
  <c r="M32" i="2" s="1"/>
  <c r="M9" i="5"/>
  <c r="M14" i="5" s="1"/>
  <c r="M24" i="5" s="1"/>
  <c r="L27" i="4"/>
  <c r="I27" i="4" s="1"/>
  <c r="N27" i="4"/>
  <c r="D28" i="4" s="1"/>
  <c r="L28" i="4" s="1"/>
  <c r="I28" i="4" s="1"/>
  <c r="N28" i="4" s="1"/>
  <c r="D29" i="4" s="1"/>
  <c r="L29" i="4" s="1"/>
  <c r="I29" i="4" s="1"/>
  <c r="N29" i="4" s="1"/>
  <c r="D30" i="4" s="1"/>
  <c r="M26" i="5" l="1"/>
  <c r="M28" i="5" s="1"/>
  <c r="M11" i="2" s="1"/>
  <c r="M15" i="2" s="1"/>
  <c r="M19" i="2" s="1"/>
  <c r="M34" i="2" s="1"/>
  <c r="L30" i="4"/>
  <c r="I30" i="4" s="1"/>
  <c r="N30" i="4" s="1"/>
  <c r="D31" i="4" s="1"/>
  <c r="L31" i="4" s="1"/>
  <c r="I31" i="4" s="1"/>
  <c r="N31" i="4" s="1"/>
</calcChain>
</file>

<file path=xl/sharedStrings.xml><?xml version="1.0" encoding="utf-8"?>
<sst xmlns="http://schemas.openxmlformats.org/spreadsheetml/2006/main" count="85" uniqueCount="68">
  <si>
    <t>Income Statement</t>
  </si>
  <si>
    <t>Revenue</t>
  </si>
  <si>
    <t>Cost of Good Sold</t>
  </si>
  <si>
    <t xml:space="preserve">SG&amp;A </t>
  </si>
  <si>
    <t>Operating Profit</t>
  </si>
  <si>
    <t>Interest Expense</t>
  </si>
  <si>
    <t>Pretax Profit</t>
  </si>
  <si>
    <t>Tax Expense</t>
  </si>
  <si>
    <t>Net Income</t>
  </si>
  <si>
    <t>% Growth</t>
  </si>
  <si>
    <t>Actuals</t>
  </si>
  <si>
    <t>Projections</t>
  </si>
  <si>
    <t>ABC Apparel Company - a fictitious company</t>
  </si>
  <si>
    <t>Balance Sheet</t>
  </si>
  <si>
    <t>Cash and Equivalents</t>
  </si>
  <si>
    <t>Accounts Receivable</t>
  </si>
  <si>
    <t>Assumptions:</t>
  </si>
  <si>
    <t>2. Tax rate = 21%</t>
  </si>
  <si>
    <t>3. Revenue growth rate peak at year 2024-2025 and steady decline to 5% in 2030</t>
  </si>
  <si>
    <t>Inventory</t>
  </si>
  <si>
    <t>Perpaid expenses and other WC Assets</t>
  </si>
  <si>
    <t>Current Assets</t>
  </si>
  <si>
    <t>Property, Plant and Equipments</t>
  </si>
  <si>
    <t>Total Assets</t>
  </si>
  <si>
    <t>Accounts Payable</t>
  </si>
  <si>
    <t>Other Current Liablities</t>
  </si>
  <si>
    <t>Total Current Lialilities</t>
  </si>
  <si>
    <t>Long Term Debt</t>
  </si>
  <si>
    <t>Total Liabilities</t>
  </si>
  <si>
    <t>Common Stock and APIC</t>
  </si>
  <si>
    <t>Retained Earnings</t>
  </si>
  <si>
    <t>Total Equity</t>
  </si>
  <si>
    <t>Total Liablity and Equity</t>
  </si>
  <si>
    <t>Check</t>
  </si>
  <si>
    <t>Assumptions</t>
  </si>
  <si>
    <t>3. Inventory growth rate = COGS growth rate</t>
  </si>
  <si>
    <t>4. Prepaid growth= revenue growth</t>
  </si>
  <si>
    <t>2. Accounts payable growth rate = COGS and SG&amp;A growth rate , days payable outstanding 30 days</t>
  </si>
  <si>
    <t>5. Other Current Liablities growth rate= revenue growth rate</t>
  </si>
  <si>
    <t>CapEX</t>
  </si>
  <si>
    <t>Asset Life</t>
  </si>
  <si>
    <t>Total Depreciation</t>
  </si>
  <si>
    <t>Opening Balance</t>
  </si>
  <si>
    <t>CapEx</t>
  </si>
  <si>
    <t>Depreciation</t>
  </si>
  <si>
    <t>Ending Balance</t>
  </si>
  <si>
    <t>Loan Schedule</t>
  </si>
  <si>
    <t>Loan Amount</t>
  </si>
  <si>
    <t>Period</t>
  </si>
  <si>
    <t>Interest rate</t>
  </si>
  <si>
    <t>Yearly Payment</t>
  </si>
  <si>
    <t>Principle Amount</t>
  </si>
  <si>
    <t>Interest</t>
  </si>
  <si>
    <t>Closing Balance</t>
  </si>
  <si>
    <t>5, No common dividends paid</t>
  </si>
  <si>
    <t>Changes in WC</t>
  </si>
  <si>
    <t>Cash flow from Operating Activties</t>
  </si>
  <si>
    <t>Cash flow from Investing Activities</t>
  </si>
  <si>
    <t>Loan Payment</t>
  </si>
  <si>
    <t>Cash flow from Financing Activities</t>
  </si>
  <si>
    <t>Net Cash flow</t>
  </si>
  <si>
    <t>Beginning Cash</t>
  </si>
  <si>
    <t>Ending Cash</t>
  </si>
  <si>
    <t>Working Capital</t>
  </si>
  <si>
    <t>1. Accounts receivable growth rate = revenue growth rate,days receivables outstanding is 90 days.</t>
  </si>
  <si>
    <t>Statement of Cash Flows</t>
  </si>
  <si>
    <t>4. Revenue growth rate perpetual at 3%, GDP growth rate after 2030</t>
  </si>
  <si>
    <t>1. Projected COGS growth rate and SG&amp;A growth rate = projected revenue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</si>
</sst>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0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165" fontId="5" fillId="0" borderId="0" xfId="1" applyNumberFormat="1" applyFont="1"/>
    <xf numFmtId="0" fontId="5" fillId="0" borderId="0" xfId="0" applyFont="1"/>
    <xf numFmtId="0" fontId="6" fillId="0" borderId="0" xfId="0" applyFont="1"/>
    <xf numFmtId="9" fontId="6" fillId="0" borderId="0" xfId="2" applyFont="1"/>
    <xf numFmtId="9" fontId="7" fillId="0" borderId="0" xfId="2" applyFont="1"/>
    <xf numFmtId="9" fontId="6" fillId="0" borderId="0" xfId="0" applyNumberFormat="1" applyFont="1"/>
    <xf numFmtId="9" fontId="7" fillId="0" borderId="0" xfId="0" applyNumberFormat="1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9" fontId="7" fillId="2" borderId="0" xfId="0" applyNumberFormat="1" applyFont="1" applyFill="1"/>
    <xf numFmtId="0" fontId="2" fillId="2" borderId="0" xfId="0" applyFont="1" applyFill="1" applyAlignment="1">
      <alignment horizontal="centerContinuous"/>
    </xf>
    <xf numFmtId="0" fontId="7" fillId="0" borderId="0" xfId="0" applyFont="1"/>
    <xf numFmtId="0" fontId="8" fillId="0" borderId="0" xfId="0" applyFont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1" xfId="0" applyNumberFormat="1" applyBorder="1"/>
    <xf numFmtId="165" fontId="0" fillId="0" borderId="8" xfId="0" applyNumberFormat="1" applyBorder="1"/>
    <xf numFmtId="0" fontId="0" fillId="0" borderId="10" xfId="0" applyBorder="1"/>
    <xf numFmtId="165" fontId="0" fillId="0" borderId="10" xfId="0" applyNumberFormat="1" applyBorder="1"/>
    <xf numFmtId="165" fontId="0" fillId="0" borderId="11" xfId="0" applyNumberFormat="1" applyBorder="1"/>
    <xf numFmtId="0" fontId="2" fillId="0" borderId="0" xfId="0" applyFon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70" fontId="0" fillId="0" borderId="0" xfId="1" applyNumberFormat="1" applyFont="1"/>
    <xf numFmtId="170" fontId="0" fillId="0" borderId="0" xfId="0" applyNumberFormat="1"/>
    <xf numFmtId="170" fontId="0" fillId="0" borderId="0" xfId="0" applyNumberFormat="1" applyBorder="1"/>
    <xf numFmtId="170" fontId="0" fillId="0" borderId="6" xfId="0" applyNumberFormat="1" applyBorder="1"/>
    <xf numFmtId="170" fontId="0" fillId="0" borderId="1" xfId="0" applyNumberFormat="1" applyBorder="1"/>
    <xf numFmtId="170" fontId="0" fillId="0" borderId="8" xfId="0" applyNumberFormat="1" applyBorder="1"/>
    <xf numFmtId="170" fontId="0" fillId="0" borderId="3" xfId="0" applyNumberFormat="1" applyBorder="1"/>
    <xf numFmtId="170" fontId="0" fillId="0" borderId="4" xfId="0" applyNumberFormat="1" applyBorder="1"/>
    <xf numFmtId="1" fontId="0" fillId="3" borderId="3" xfId="0" applyNumberFormat="1" applyFill="1" applyBorder="1"/>
    <xf numFmtId="1" fontId="0" fillId="3" borderId="0" xfId="0" applyNumberFormat="1" applyFill="1" applyBorder="1"/>
    <xf numFmtId="165" fontId="9" fillId="3" borderId="0" xfId="1" applyNumberFormat="1" applyFont="1" applyFill="1"/>
    <xf numFmtId="0" fontId="2" fillId="2" borderId="0" xfId="0" applyFont="1" applyFill="1" applyBorder="1" applyAlignment="1">
      <alignment horizontal="centerContinuous"/>
    </xf>
    <xf numFmtId="0" fontId="2" fillId="2" borderId="12" xfId="0" applyFont="1" applyFill="1" applyBorder="1" applyAlignment="1">
      <alignment horizontal="centerContinuous"/>
    </xf>
    <xf numFmtId="0" fontId="0" fillId="0" borderId="12" xfId="0" applyBorder="1"/>
    <xf numFmtId="165" fontId="0" fillId="0" borderId="12" xfId="1" applyNumberFormat="1" applyFont="1" applyBorder="1"/>
    <xf numFmtId="165" fontId="0" fillId="0" borderId="12" xfId="0" applyNumberFormat="1" applyBorder="1"/>
    <xf numFmtId="9" fontId="7" fillId="0" borderId="0" xfId="2" applyFont="1" applyBorder="1"/>
    <xf numFmtId="9" fontId="7" fillId="0" borderId="0" xfId="0" applyNumberFormat="1" applyFont="1" applyBorder="1"/>
    <xf numFmtId="165" fontId="5" fillId="0" borderId="12" xfId="1" applyNumberFormat="1" applyFont="1" applyBorder="1"/>
    <xf numFmtId="9" fontId="6" fillId="0" borderId="12" xfId="2" applyFont="1" applyBorder="1"/>
    <xf numFmtId="0" fontId="5" fillId="0" borderId="12" xfId="0" applyFont="1" applyBorder="1"/>
    <xf numFmtId="9" fontId="6" fillId="0" borderId="12" xfId="0" applyNumberFormat="1" applyFont="1" applyBorder="1"/>
    <xf numFmtId="1" fontId="2" fillId="2" borderId="5" xfId="0" applyNumberFormat="1" applyFont="1" applyFill="1" applyBorder="1"/>
    <xf numFmtId="1" fontId="2" fillId="2" borderId="7" xfId="0" applyNumberFormat="1" applyFont="1" applyFill="1" applyBorder="1"/>
    <xf numFmtId="1" fontId="2" fillId="2" borderId="2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" fontId="2" fillId="0" borderId="5" xfId="0" applyNumberFormat="1" applyFont="1" applyBorder="1"/>
    <xf numFmtId="1" fontId="2" fillId="0" borderId="9" xfId="0" applyNumberFormat="1" applyFont="1" applyBorder="1"/>
    <xf numFmtId="1" fontId="2" fillId="0" borderId="2" xfId="0" applyNumberFormat="1" applyFont="1" applyBorder="1"/>
    <xf numFmtId="1" fontId="2" fillId="0" borderId="5" xfId="0" applyNumberFormat="1" applyFont="1" applyFill="1" applyBorder="1"/>
    <xf numFmtId="1" fontId="2" fillId="0" borderId="7" xfId="0" applyNumberFormat="1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9" fillId="0" borderId="0" xfId="0" applyFont="1" applyBorder="1"/>
    <xf numFmtId="0" fontId="9" fillId="0" borderId="0" xfId="0" applyFont="1"/>
    <xf numFmtId="165" fontId="9" fillId="0" borderId="0" xfId="0" applyNumberFormat="1" applyFont="1"/>
    <xf numFmtId="0" fontId="2" fillId="2" borderId="12" xfId="0" applyFont="1" applyFill="1" applyBorder="1"/>
    <xf numFmtId="165" fontId="9" fillId="0" borderId="12" xfId="0" applyNumberFormat="1" applyFont="1" applyBorder="1"/>
    <xf numFmtId="165" fontId="9" fillId="3" borderId="12" xfId="1" applyNumberFormat="1" applyFont="1" applyFill="1" applyBorder="1"/>
    <xf numFmtId="0" fontId="9" fillId="0" borderId="1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8873-DC9C-44AC-9754-DE4FDAC6809E}">
  <dimension ref="B3:X38"/>
  <sheetViews>
    <sheetView showGridLines="0" workbookViewId="0">
      <selection activeCell="B35" sqref="B35"/>
    </sheetView>
  </sheetViews>
  <sheetFormatPr defaultRowHeight="15" x14ac:dyDescent="0.25"/>
  <cols>
    <col min="4" max="13" width="14.7109375" customWidth="1"/>
  </cols>
  <sheetData>
    <row r="3" spans="2:24" ht="18.75" x14ac:dyDescent="0.3">
      <c r="B3" s="4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x14ac:dyDescent="0.25">
      <c r="D6" s="19" t="s">
        <v>10</v>
      </c>
      <c r="E6" s="19"/>
      <c r="F6" s="53"/>
      <c r="G6" s="52" t="s">
        <v>11</v>
      </c>
      <c r="H6" s="19"/>
      <c r="I6" s="19"/>
      <c r="J6" s="19"/>
      <c r="K6" s="19"/>
      <c r="L6" s="19"/>
      <c r="M6" s="19"/>
    </row>
    <row r="7" spans="2:24" x14ac:dyDescent="0.25">
      <c r="D7" s="17">
        <v>2021</v>
      </c>
      <c r="E7" s="17">
        <v>2022</v>
      </c>
      <c r="F7" s="78">
        <v>2023</v>
      </c>
      <c r="G7" s="73">
        <v>2024</v>
      </c>
      <c r="H7" s="17">
        <v>2025</v>
      </c>
      <c r="I7" s="17">
        <v>2026</v>
      </c>
      <c r="J7" s="17">
        <v>2027</v>
      </c>
      <c r="K7" s="17">
        <v>2028</v>
      </c>
      <c r="L7" s="17">
        <v>2029</v>
      </c>
      <c r="M7" s="17">
        <v>2030</v>
      </c>
    </row>
    <row r="8" spans="2:24" ht="15.75" x14ac:dyDescent="0.25">
      <c r="B8" s="3" t="s">
        <v>0</v>
      </c>
      <c r="F8" s="54"/>
      <c r="G8" s="2"/>
    </row>
    <row r="9" spans="2:24" x14ac:dyDescent="0.25">
      <c r="F9" s="54"/>
      <c r="G9" s="2"/>
    </row>
    <row r="10" spans="2:24" x14ac:dyDescent="0.25">
      <c r="B10" s="16" t="s">
        <v>1</v>
      </c>
      <c r="C10" s="16"/>
      <c r="D10" s="8">
        <v>100000</v>
      </c>
      <c r="E10" s="8">
        <v>120000</v>
      </c>
      <c r="F10" s="59">
        <v>150000</v>
      </c>
      <c r="G10" s="29">
        <v>190000</v>
      </c>
      <c r="H10" s="5">
        <v>240000</v>
      </c>
      <c r="I10" s="5">
        <v>280000</v>
      </c>
      <c r="J10" s="5">
        <v>320000</v>
      </c>
      <c r="K10" s="5">
        <v>360000</v>
      </c>
      <c r="L10" s="5">
        <v>400000</v>
      </c>
      <c r="M10" s="5">
        <v>420000</v>
      </c>
    </row>
    <row r="11" spans="2:24" x14ac:dyDescent="0.25">
      <c r="B11" s="16" t="s">
        <v>9</v>
      </c>
      <c r="C11" s="16"/>
      <c r="D11" s="10"/>
      <c r="E11" s="11">
        <f>(E10-D10)/D10</f>
        <v>0.2</v>
      </c>
      <c r="F11" s="60">
        <f t="shared" ref="F11:M11" si="0">(F10-E10)/E10</f>
        <v>0.25</v>
      </c>
      <c r="G11" s="57">
        <f t="shared" si="0"/>
        <v>0.26666666666666666</v>
      </c>
      <c r="H11" s="12">
        <f t="shared" si="0"/>
        <v>0.26315789473684209</v>
      </c>
      <c r="I11" s="12">
        <f t="shared" si="0"/>
        <v>0.16666666666666666</v>
      </c>
      <c r="J11" s="12">
        <f t="shared" si="0"/>
        <v>0.14285714285714285</v>
      </c>
      <c r="K11" s="12">
        <f t="shared" si="0"/>
        <v>0.125</v>
      </c>
      <c r="L11" s="12">
        <f t="shared" si="0"/>
        <v>0.1111111111111111</v>
      </c>
      <c r="M11" s="12">
        <f t="shared" si="0"/>
        <v>0.05</v>
      </c>
    </row>
    <row r="12" spans="2:24" x14ac:dyDescent="0.25">
      <c r="B12" s="16"/>
      <c r="C12" s="16"/>
      <c r="D12" s="9"/>
      <c r="E12" s="9"/>
      <c r="F12" s="61"/>
      <c r="G12" s="2"/>
    </row>
    <row r="13" spans="2:24" x14ac:dyDescent="0.25">
      <c r="B13" s="16" t="s">
        <v>2</v>
      </c>
      <c r="C13" s="16"/>
      <c r="D13" s="8">
        <v>-60000</v>
      </c>
      <c r="E13" s="8">
        <v>-70000</v>
      </c>
      <c r="F13" s="59">
        <v>-85000</v>
      </c>
      <c r="G13" s="29">
        <f>F13*(1+G14)</f>
        <v>-107666.66666666666</v>
      </c>
      <c r="H13" s="5">
        <f>G13*(1+H14)</f>
        <v>-135999.99999999997</v>
      </c>
      <c r="I13" s="5">
        <f>H13*(1+I14)</f>
        <v>-158666.66666666666</v>
      </c>
      <c r="J13" s="5">
        <f t="shared" ref="J13:M13" si="1">I13*(1+J14)</f>
        <v>-181333.33333333331</v>
      </c>
      <c r="K13" s="5">
        <f t="shared" si="1"/>
        <v>-203999.99999999997</v>
      </c>
      <c r="L13" s="5">
        <f t="shared" si="1"/>
        <v>-226666.66666666666</v>
      </c>
      <c r="M13" s="5">
        <f t="shared" si="1"/>
        <v>-238000</v>
      </c>
    </row>
    <row r="14" spans="2:24" x14ac:dyDescent="0.25">
      <c r="B14" s="16" t="s">
        <v>9</v>
      </c>
      <c r="C14" s="16"/>
      <c r="D14" s="10"/>
      <c r="E14" s="13">
        <f>(E13-D13)/D13</f>
        <v>0.16666666666666666</v>
      </c>
      <c r="F14" s="62">
        <f>(F13-E13)/E13</f>
        <v>0.21428571428571427</v>
      </c>
      <c r="G14" s="58">
        <f t="shared" ref="G14:M14" si="2">G11</f>
        <v>0.26666666666666666</v>
      </c>
      <c r="H14" s="14">
        <f t="shared" si="2"/>
        <v>0.26315789473684209</v>
      </c>
      <c r="I14" s="14">
        <f t="shared" si="2"/>
        <v>0.16666666666666666</v>
      </c>
      <c r="J14" s="14">
        <f t="shared" si="2"/>
        <v>0.14285714285714285</v>
      </c>
      <c r="K14" s="14">
        <f t="shared" si="2"/>
        <v>0.125</v>
      </c>
      <c r="L14" s="14">
        <f t="shared" si="2"/>
        <v>0.1111111111111111</v>
      </c>
      <c r="M14" s="14">
        <f t="shared" si="2"/>
        <v>0.05</v>
      </c>
    </row>
    <row r="15" spans="2:24" x14ac:dyDescent="0.25">
      <c r="B15" s="16"/>
      <c r="C15" s="16"/>
      <c r="D15" s="9"/>
      <c r="E15" s="9"/>
      <c r="F15" s="61"/>
      <c r="G15" s="2"/>
    </row>
    <row r="16" spans="2:24" x14ac:dyDescent="0.25">
      <c r="B16" s="16" t="s">
        <v>3</v>
      </c>
      <c r="C16" s="16"/>
      <c r="D16" s="8">
        <v>-15000</v>
      </c>
      <c r="E16" s="8">
        <v>-18000</v>
      </c>
      <c r="F16" s="59">
        <v>-21000</v>
      </c>
      <c r="G16" s="29">
        <f t="shared" ref="G16:M16" si="3">F16*(1+G17)</f>
        <v>-26600</v>
      </c>
      <c r="H16" s="5">
        <f t="shared" si="3"/>
        <v>-33600</v>
      </c>
      <c r="I16" s="5">
        <f t="shared" si="3"/>
        <v>-39200</v>
      </c>
      <c r="J16" s="5">
        <f t="shared" si="3"/>
        <v>-44800</v>
      </c>
      <c r="K16" s="5">
        <f t="shared" si="3"/>
        <v>-50400</v>
      </c>
      <c r="L16" s="5">
        <f t="shared" si="3"/>
        <v>-56000</v>
      </c>
      <c r="M16" s="5">
        <f t="shared" si="3"/>
        <v>-58800</v>
      </c>
    </row>
    <row r="17" spans="2:13" x14ac:dyDescent="0.25">
      <c r="B17" s="16" t="s">
        <v>9</v>
      </c>
      <c r="C17" s="16"/>
      <c r="D17" s="10"/>
      <c r="E17" s="13">
        <f>(E16-D16)/D16</f>
        <v>0.2</v>
      </c>
      <c r="F17" s="62">
        <f>(F16-E16)/E16</f>
        <v>0.16666666666666666</v>
      </c>
      <c r="G17" s="58">
        <f t="shared" ref="G17:M17" si="4">G14</f>
        <v>0.26666666666666666</v>
      </c>
      <c r="H17" s="14">
        <f t="shared" si="4"/>
        <v>0.26315789473684209</v>
      </c>
      <c r="I17" s="14">
        <f t="shared" si="4"/>
        <v>0.16666666666666666</v>
      </c>
      <c r="J17" s="14">
        <f t="shared" si="4"/>
        <v>0.14285714285714285</v>
      </c>
      <c r="K17" s="14">
        <f t="shared" si="4"/>
        <v>0.125</v>
      </c>
      <c r="L17" s="14">
        <f t="shared" si="4"/>
        <v>0.1111111111111111</v>
      </c>
      <c r="M17" s="14">
        <f t="shared" si="4"/>
        <v>0.05</v>
      </c>
    </row>
    <row r="18" spans="2:13" x14ac:dyDescent="0.25">
      <c r="B18" s="16"/>
      <c r="C18" s="16"/>
      <c r="D18" s="9"/>
      <c r="E18" s="9"/>
      <c r="F18" s="61"/>
      <c r="G18" s="2"/>
    </row>
    <row r="19" spans="2:13" x14ac:dyDescent="0.25">
      <c r="B19" s="17" t="s">
        <v>4</v>
      </c>
      <c r="C19" s="16"/>
      <c r="D19" s="77">
        <f>SUM(D10:D16)</f>
        <v>25000</v>
      </c>
      <c r="E19" s="77">
        <f t="shared" ref="E19:M19" si="5">SUM(E10:E16)</f>
        <v>32000.366666666661</v>
      </c>
      <c r="F19" s="79">
        <f t="shared" si="5"/>
        <v>44000.464285714283</v>
      </c>
      <c r="G19" s="39">
        <f t="shared" si="5"/>
        <v>55733.866666666669</v>
      </c>
      <c r="H19" s="7">
        <f t="shared" si="5"/>
        <v>70400.52631578951</v>
      </c>
      <c r="I19" s="7">
        <f t="shared" si="5"/>
        <v>82133.666666666701</v>
      </c>
      <c r="J19" s="7">
        <f t="shared" si="5"/>
        <v>93866.952380952396</v>
      </c>
      <c r="K19" s="7">
        <f t="shared" si="5"/>
        <v>105600.25000000003</v>
      </c>
      <c r="L19" s="7">
        <f t="shared" si="5"/>
        <v>117333.55555555559</v>
      </c>
      <c r="M19" s="7">
        <f t="shared" si="5"/>
        <v>123200.09999999998</v>
      </c>
    </row>
    <row r="20" spans="2:13" x14ac:dyDescent="0.25">
      <c r="B20" s="16"/>
      <c r="C20" s="16"/>
      <c r="D20" s="9"/>
      <c r="E20" s="9"/>
      <c r="F20" s="61"/>
      <c r="G20" s="2"/>
    </row>
    <row r="21" spans="2:13" x14ac:dyDescent="0.25">
      <c r="B21" s="16" t="s">
        <v>5</v>
      </c>
      <c r="C21" s="16"/>
      <c r="D21" s="51">
        <f>-LOOKUP(D7,'Loan Schedule'!$B$17:$B$26,'Loan Schedule'!$L$17:$L$26)</f>
        <v>-12000</v>
      </c>
      <c r="E21" s="51">
        <f>-LOOKUP(E7,'Loan Schedule'!$B$17:$B$26,'Loan Schedule'!$L$17:$L$26)</f>
        <v>-11558.04546076776</v>
      </c>
      <c r="F21" s="80">
        <f>-LOOKUP(F7,'Loan Schedule'!$B$17:$B$26,'Loan Schedule'!$L$17:$L$26)</f>
        <v>-11080.73455839694</v>
      </c>
      <c r="G21" s="51">
        <f>-LOOKUP(G7,'Loan Schedule'!$B$17:$B$26,'Loan Schedule'!$L$17:$L$26)</f>
        <v>-10565.238783836456</v>
      </c>
      <c r="H21" s="51">
        <f>-LOOKUP(H7,'Loan Schedule'!$B$17:$B$26,'Loan Schedule'!$L$17:$L$26)</f>
        <v>-10008.503347311133</v>
      </c>
      <c r="I21" s="51">
        <f>-LOOKUP(I7,'Loan Schedule'!$B$17:$B$26,'Loan Schedule'!$L$17:$L$26)</f>
        <v>-9407.229075863781</v>
      </c>
      <c r="J21" s="51">
        <f>-LOOKUP(J7,'Loan Schedule'!$B$17:$B$26,'Loan Schedule'!$L$17:$L$26)</f>
        <v>-8757.8528627006435</v>
      </c>
      <c r="K21" s="51">
        <f>-LOOKUP(K7,'Loan Schedule'!$B$17:$B$26,'Loan Schedule'!$L$17:$L$26)</f>
        <v>-8056.5265524844563</v>
      </c>
      <c r="L21" s="51">
        <f>-LOOKUP(L7,'Loan Schedule'!$B$17:$B$26,'Loan Schedule'!$L$17:$L$26)</f>
        <v>-7299.0941374509721</v>
      </c>
      <c r="M21" s="51">
        <f>-LOOKUP(M7,'Loan Schedule'!$B$17:$B$26,'Loan Schedule'!$L$17:$L$26)</f>
        <v>-6481.0671292148099</v>
      </c>
    </row>
    <row r="22" spans="2:13" x14ac:dyDescent="0.25">
      <c r="B22" s="16"/>
      <c r="C22" s="16"/>
      <c r="D22" s="76"/>
      <c r="E22" s="76"/>
      <c r="F22" s="81"/>
      <c r="G22" s="75"/>
      <c r="H22" s="76"/>
      <c r="I22" s="76"/>
      <c r="J22" s="76"/>
      <c r="K22" s="76"/>
      <c r="L22" s="76"/>
      <c r="M22" s="76"/>
    </row>
    <row r="23" spans="2:13" x14ac:dyDescent="0.25">
      <c r="B23" s="17" t="s">
        <v>6</v>
      </c>
      <c r="C23" s="16"/>
      <c r="D23" s="77">
        <f>D19+D21</f>
        <v>13000</v>
      </c>
      <c r="E23" s="77">
        <f t="shared" ref="E23:M23" si="6">E19+E21</f>
        <v>20442.321205898901</v>
      </c>
      <c r="F23" s="79">
        <f t="shared" si="6"/>
        <v>32919.729727317346</v>
      </c>
      <c r="G23" s="77">
        <f t="shared" si="6"/>
        <v>45168.627882830217</v>
      </c>
      <c r="H23" s="77">
        <f t="shared" si="6"/>
        <v>60392.022968478377</v>
      </c>
      <c r="I23" s="77">
        <f t="shared" si="6"/>
        <v>72726.437590802918</v>
      </c>
      <c r="J23" s="77">
        <f t="shared" si="6"/>
        <v>85109.099518251751</v>
      </c>
      <c r="K23" s="77">
        <f t="shared" si="6"/>
        <v>97543.723447515571</v>
      </c>
      <c r="L23" s="77">
        <f t="shared" si="6"/>
        <v>110034.46141810462</v>
      </c>
      <c r="M23" s="77">
        <f t="shared" si="6"/>
        <v>116719.03287078517</v>
      </c>
    </row>
    <row r="24" spans="2:13" x14ac:dyDescent="0.25">
      <c r="B24" s="16"/>
      <c r="C24" s="16"/>
      <c r="D24" s="76"/>
      <c r="E24" s="76"/>
      <c r="F24" s="81"/>
      <c r="G24" s="75"/>
      <c r="H24" s="76"/>
      <c r="I24" s="76"/>
      <c r="J24" s="76"/>
      <c r="K24" s="76"/>
      <c r="L24" s="76"/>
      <c r="M24" s="76"/>
    </row>
    <row r="25" spans="2:13" x14ac:dyDescent="0.25">
      <c r="B25" s="16" t="s">
        <v>7</v>
      </c>
      <c r="C25" s="16"/>
      <c r="D25" s="77">
        <f>-D23*$B$26</f>
        <v>-2730</v>
      </c>
      <c r="E25" s="77">
        <f t="shared" ref="E25:M25" si="7">-E23*$B$26</f>
        <v>-4292.887453238769</v>
      </c>
      <c r="F25" s="79">
        <f t="shared" si="7"/>
        <v>-6913.1432427366426</v>
      </c>
      <c r="G25" s="77">
        <f t="shared" si="7"/>
        <v>-9485.4118553943445</v>
      </c>
      <c r="H25" s="77">
        <f t="shared" si="7"/>
        <v>-12682.324823380459</v>
      </c>
      <c r="I25" s="77">
        <f t="shared" si="7"/>
        <v>-15272.551894068612</v>
      </c>
      <c r="J25" s="77">
        <f t="shared" si="7"/>
        <v>-17872.910898832866</v>
      </c>
      <c r="K25" s="77">
        <f t="shared" si="7"/>
        <v>-20484.181923978271</v>
      </c>
      <c r="L25" s="77">
        <f t="shared" si="7"/>
        <v>-23107.236897801969</v>
      </c>
      <c r="M25" s="77">
        <f t="shared" si="7"/>
        <v>-24510.996902864885</v>
      </c>
    </row>
    <row r="26" spans="2:13" x14ac:dyDescent="0.25">
      <c r="B26" s="18">
        <v>0.21</v>
      </c>
      <c r="C26" s="16"/>
      <c r="D26" s="76"/>
      <c r="E26" s="76"/>
      <c r="F26" s="81"/>
      <c r="G26" s="2"/>
    </row>
    <row r="27" spans="2:13" x14ac:dyDescent="0.25">
      <c r="B27" s="18"/>
      <c r="C27" s="16"/>
      <c r="D27" s="76"/>
      <c r="E27" s="76"/>
      <c r="F27" s="81"/>
      <c r="G27" s="2"/>
    </row>
    <row r="28" spans="2:13" x14ac:dyDescent="0.25">
      <c r="B28" s="17" t="s">
        <v>8</v>
      </c>
      <c r="C28" s="16"/>
      <c r="D28" s="77">
        <f>D23+D25</f>
        <v>10270</v>
      </c>
      <c r="E28" s="77">
        <f t="shared" ref="E28:M28" si="8">E23-E25</f>
        <v>24735.208659137672</v>
      </c>
      <c r="F28" s="79">
        <f t="shared" si="8"/>
        <v>39832.872970053992</v>
      </c>
      <c r="G28" s="39">
        <f t="shared" si="8"/>
        <v>54654.039738224557</v>
      </c>
      <c r="H28" s="7">
        <f t="shared" si="8"/>
        <v>73074.347791858832</v>
      </c>
      <c r="I28" s="7">
        <f t="shared" si="8"/>
        <v>87998.989484871534</v>
      </c>
      <c r="J28" s="7">
        <f t="shared" si="8"/>
        <v>102982.01041708462</v>
      </c>
      <c r="K28" s="7">
        <f t="shared" si="8"/>
        <v>118027.90537149383</v>
      </c>
      <c r="L28" s="7">
        <f t="shared" si="8"/>
        <v>133141.6983159066</v>
      </c>
      <c r="M28" s="7">
        <f t="shared" si="8"/>
        <v>141230.02977365005</v>
      </c>
    </row>
    <row r="29" spans="2:13" x14ac:dyDescent="0.25">
      <c r="F29" s="54"/>
    </row>
    <row r="30" spans="2:13" x14ac:dyDescent="0.25">
      <c r="B30" t="s">
        <v>30</v>
      </c>
      <c r="F30" s="54"/>
    </row>
    <row r="31" spans="2:13" x14ac:dyDescent="0.25">
      <c r="D31" s="7">
        <f>B31+D28</f>
        <v>10270</v>
      </c>
      <c r="E31" s="7">
        <f>D31+E28</f>
        <v>35005.208659137672</v>
      </c>
      <c r="F31" s="56">
        <f>E31+F28</f>
        <v>74838.081629191671</v>
      </c>
      <c r="G31" s="7">
        <f t="shared" ref="F31:M31" si="9">F31+G28</f>
        <v>129492.12136741623</v>
      </c>
      <c r="H31" s="7">
        <f t="shared" si="9"/>
        <v>202566.46915927506</v>
      </c>
      <c r="I31" s="7">
        <f t="shared" si="9"/>
        <v>290565.45864414657</v>
      </c>
      <c r="J31" s="7">
        <f t="shared" si="9"/>
        <v>393547.46906123118</v>
      </c>
      <c r="K31" s="7">
        <f t="shared" si="9"/>
        <v>511575.37443272502</v>
      </c>
      <c r="L31" s="7">
        <f t="shared" si="9"/>
        <v>644717.07274863159</v>
      </c>
      <c r="M31" s="7">
        <f t="shared" si="9"/>
        <v>785947.1025222817</v>
      </c>
    </row>
    <row r="33" spans="2:7" x14ac:dyDescent="0.25">
      <c r="B33" s="21" t="s">
        <v>16</v>
      </c>
      <c r="C33" s="20"/>
      <c r="D33" s="20"/>
      <c r="E33" s="20"/>
      <c r="F33" s="20"/>
      <c r="G33" s="20"/>
    </row>
    <row r="34" spans="2:7" x14ac:dyDescent="0.25">
      <c r="B34" s="20" t="s">
        <v>67</v>
      </c>
      <c r="C34" s="20"/>
      <c r="D34" s="20"/>
      <c r="E34" s="20"/>
      <c r="F34" s="20"/>
      <c r="G34" s="20"/>
    </row>
    <row r="35" spans="2:7" x14ac:dyDescent="0.25">
      <c r="B35" s="20" t="s">
        <v>17</v>
      </c>
      <c r="C35" s="20"/>
      <c r="D35" s="20"/>
      <c r="E35" s="20"/>
      <c r="F35" s="20"/>
      <c r="G35" s="20"/>
    </row>
    <row r="36" spans="2:7" x14ac:dyDescent="0.25">
      <c r="B36" s="20" t="s">
        <v>18</v>
      </c>
    </row>
    <row r="37" spans="2:7" x14ac:dyDescent="0.25">
      <c r="B37" s="20" t="s">
        <v>66</v>
      </c>
    </row>
    <row r="38" spans="2:7" x14ac:dyDescent="0.25">
      <c r="B38" s="20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A1E7-FCE8-48DC-A4B0-EB898615BEBB}">
  <dimension ref="B3:X45"/>
  <sheetViews>
    <sheetView showGridLines="0" workbookViewId="0">
      <selection activeCell="D7" sqref="D7:M7"/>
    </sheetView>
  </sheetViews>
  <sheetFormatPr defaultRowHeight="15" x14ac:dyDescent="0.25"/>
  <cols>
    <col min="2" max="2" width="34.42578125" customWidth="1"/>
    <col min="3" max="3" width="3.5703125" customWidth="1"/>
    <col min="4" max="13" width="14.7109375" customWidth="1"/>
  </cols>
  <sheetData>
    <row r="3" spans="2:24" ht="18.75" x14ac:dyDescent="0.3">
      <c r="B3" s="4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x14ac:dyDescent="0.25">
      <c r="D6" s="19" t="s">
        <v>10</v>
      </c>
      <c r="E6" s="19"/>
      <c r="F6" s="53"/>
      <c r="G6" s="52" t="s">
        <v>11</v>
      </c>
      <c r="H6" s="19"/>
      <c r="I6" s="19"/>
      <c r="J6" s="19"/>
      <c r="K6" s="19"/>
      <c r="L6" s="19"/>
      <c r="M6" s="19"/>
    </row>
    <row r="7" spans="2:24" x14ac:dyDescent="0.25">
      <c r="D7" s="17">
        <v>2021</v>
      </c>
      <c r="E7" s="17">
        <v>2022</v>
      </c>
      <c r="F7" s="78">
        <v>2023</v>
      </c>
      <c r="G7" s="73">
        <v>2024</v>
      </c>
      <c r="H7" s="17">
        <v>2025</v>
      </c>
      <c r="I7" s="17">
        <v>2026</v>
      </c>
      <c r="J7" s="17">
        <v>2027</v>
      </c>
      <c r="K7" s="17">
        <v>2028</v>
      </c>
      <c r="L7" s="17">
        <v>2029</v>
      </c>
      <c r="M7" s="17">
        <v>2030</v>
      </c>
    </row>
    <row r="8" spans="2:24" x14ac:dyDescent="0.25">
      <c r="B8" s="22"/>
      <c r="C8" s="2"/>
      <c r="D8" s="2"/>
      <c r="E8" s="2"/>
      <c r="F8" s="5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x14ac:dyDescent="0.25">
      <c r="B9" s="17" t="s">
        <v>13</v>
      </c>
      <c r="F9" s="54"/>
    </row>
    <row r="10" spans="2:24" x14ac:dyDescent="0.25">
      <c r="B10" s="16"/>
      <c r="F10" s="54"/>
    </row>
    <row r="11" spans="2:24" x14ac:dyDescent="0.25">
      <c r="B11" s="16" t="s">
        <v>14</v>
      </c>
      <c r="D11" s="5">
        <f>'Statement of Cash Flows'!D28</f>
        <v>121745.568259597</v>
      </c>
      <c r="E11" s="5">
        <f>'Statement of Cash Flows'!E28</f>
        <v>93714.390639099423</v>
      </c>
      <c r="F11" s="55">
        <f>'Statement of Cash Flows'!F28</f>
        <v>130403.56642714735</v>
      </c>
      <c r="G11" s="5">
        <f>'Statement of Cash Flows'!G28</f>
        <v>171484.71457866835</v>
      </c>
      <c r="H11" s="5">
        <f>'Statement of Cash Flows'!H28</f>
        <v>157118.47644318876</v>
      </c>
      <c r="I11" s="5">
        <f>'Statement of Cash Flows'!I28</f>
        <v>240660.53723612381</v>
      </c>
      <c r="J11" s="5">
        <f>'Statement of Cash Flows'!J28</f>
        <v>288536.24274810881</v>
      </c>
      <c r="K11" s="5">
        <f>'Statement of Cash Flows'!K28</f>
        <v>410756.51690428687</v>
      </c>
      <c r="L11" s="5">
        <f>'Statement of Cash Flows'!L28</f>
        <v>412333.15158984414</v>
      </c>
      <c r="M11" s="5">
        <f>'Statement of Cash Flows'!M28</f>
        <v>578349.95373860735</v>
      </c>
    </row>
    <row r="12" spans="2:24" x14ac:dyDescent="0.25">
      <c r="B12" s="16" t="s">
        <v>15</v>
      </c>
      <c r="D12" s="5">
        <v>25000</v>
      </c>
      <c r="E12" s="5">
        <v>30000</v>
      </c>
      <c r="F12" s="55">
        <v>35000</v>
      </c>
      <c r="G12" s="5">
        <f>'Income Statement'!G10*$H$40/365</f>
        <v>46849.315068493153</v>
      </c>
      <c r="H12" s="5">
        <f>'Income Statement'!H10*$H$40/365</f>
        <v>59178.082191780821</v>
      </c>
      <c r="I12" s="5">
        <f>'Income Statement'!I10*$H$40/365</f>
        <v>69041.095890410958</v>
      </c>
      <c r="J12" s="5">
        <f>'Income Statement'!J10*$H$40/365</f>
        <v>78904.109589041094</v>
      </c>
      <c r="K12" s="5">
        <f>'Income Statement'!K10*$H$40/365</f>
        <v>88767.123287671231</v>
      </c>
      <c r="L12" s="5">
        <f>'Income Statement'!L10*$H$40/365</f>
        <v>98630.136986301368</v>
      </c>
      <c r="M12" s="5">
        <f>'Income Statement'!M10*$H$40/365</f>
        <v>103561.64383561644</v>
      </c>
    </row>
    <row r="13" spans="2:24" x14ac:dyDescent="0.25">
      <c r="B13" s="16" t="s">
        <v>19</v>
      </c>
      <c r="D13" s="5">
        <v>15000</v>
      </c>
      <c r="E13" s="5">
        <v>17000</v>
      </c>
      <c r="F13" s="55">
        <v>20000</v>
      </c>
      <c r="G13" s="5">
        <f>F13*(1+'Income Statement'!G14)</f>
        <v>25333.333333333332</v>
      </c>
      <c r="H13" s="5">
        <f>G13*(1+'Income Statement'!H14)</f>
        <v>31999.999999999996</v>
      </c>
      <c r="I13" s="5">
        <f>H13*(1+'Income Statement'!I14)</f>
        <v>37333.333333333328</v>
      </c>
      <c r="J13" s="5">
        <f>I13*(1+'Income Statement'!J14)</f>
        <v>42666.666666666657</v>
      </c>
      <c r="K13" s="5">
        <f>J13*(1+'Income Statement'!K14)</f>
        <v>47999.999999999985</v>
      </c>
      <c r="L13" s="5">
        <f>K13*(1+'Income Statement'!L14)</f>
        <v>53333.333333333321</v>
      </c>
      <c r="M13" s="5">
        <f>L13*(1+'Income Statement'!M14)</f>
        <v>55999.999999999993</v>
      </c>
    </row>
    <row r="14" spans="2:24" x14ac:dyDescent="0.25">
      <c r="B14" s="16" t="s">
        <v>20</v>
      </c>
      <c r="D14" s="5">
        <v>5000</v>
      </c>
      <c r="E14" s="5">
        <v>6000</v>
      </c>
      <c r="F14" s="55">
        <v>7000</v>
      </c>
      <c r="G14" s="5">
        <f>F14*(1+'Income Statement'!G11)</f>
        <v>8866.6666666666661</v>
      </c>
      <c r="H14" s="5">
        <f>G14*(1+'Income Statement'!H11)</f>
        <v>11199.999999999998</v>
      </c>
      <c r="I14" s="5">
        <f>H14*(1+'Income Statement'!I11)</f>
        <v>13066.666666666666</v>
      </c>
      <c r="J14" s="5">
        <f>I14*(1+'Income Statement'!J11)</f>
        <v>14933.333333333332</v>
      </c>
      <c r="K14" s="5">
        <f>J14*(1+'Income Statement'!K11)</f>
        <v>16800</v>
      </c>
      <c r="L14" s="5">
        <f>K14*(1+'Income Statement'!L11)</f>
        <v>18666.666666666668</v>
      </c>
      <c r="M14" s="5">
        <f>L14*(1+'Income Statement'!M11)</f>
        <v>19600.000000000004</v>
      </c>
    </row>
    <row r="15" spans="2:24" x14ac:dyDescent="0.25">
      <c r="B15" s="17" t="s">
        <v>21</v>
      </c>
      <c r="D15" s="5">
        <f>SUM(D11:D14)</f>
        <v>166745.568259597</v>
      </c>
      <c r="E15" s="5">
        <f t="shared" ref="E15:M15" si="0">SUM(E11:E14)</f>
        <v>146714.39063909941</v>
      </c>
      <c r="F15" s="55">
        <f t="shared" si="0"/>
        <v>192403.56642714737</v>
      </c>
      <c r="G15" s="5">
        <f t="shared" si="0"/>
        <v>252534.02964716151</v>
      </c>
      <c r="H15" s="5">
        <f t="shared" si="0"/>
        <v>259496.55863496958</v>
      </c>
      <c r="I15" s="5">
        <f t="shared" si="0"/>
        <v>360101.63312653475</v>
      </c>
      <c r="J15" s="5">
        <f t="shared" si="0"/>
        <v>425040.35233714984</v>
      </c>
      <c r="K15" s="5">
        <f t="shared" si="0"/>
        <v>564323.64019195805</v>
      </c>
      <c r="L15" s="5">
        <f t="shared" si="0"/>
        <v>582963.28857614554</v>
      </c>
      <c r="M15" s="5">
        <f t="shared" si="0"/>
        <v>757511.59757422376</v>
      </c>
    </row>
    <row r="16" spans="2:24" x14ac:dyDescent="0.25">
      <c r="B16" s="16"/>
      <c r="D16" s="5"/>
      <c r="E16" s="5"/>
      <c r="F16" s="55"/>
      <c r="G16" s="5"/>
      <c r="H16" s="5"/>
      <c r="I16" s="5"/>
      <c r="J16" s="5"/>
      <c r="K16" s="5"/>
      <c r="L16" s="5"/>
      <c r="M16" s="5"/>
    </row>
    <row r="17" spans="2:13" x14ac:dyDescent="0.25">
      <c r="B17" s="16" t="s">
        <v>22</v>
      </c>
      <c r="D17" s="5">
        <f>'Assset Schedule'!E24</f>
        <v>95000</v>
      </c>
      <c r="E17" s="5">
        <f>'Assset Schedule'!F24</f>
        <v>135000</v>
      </c>
      <c r="F17" s="55">
        <f>'Assset Schedule'!G24</f>
        <v>125000</v>
      </c>
      <c r="G17" s="5">
        <f>'Assset Schedule'!H24</f>
        <v>115000</v>
      </c>
      <c r="H17" s="5">
        <f>'Assset Schedule'!I24</f>
        <v>177000</v>
      </c>
      <c r="I17" s="5">
        <f>'Assset Schedule'!J24</f>
        <v>159000</v>
      </c>
      <c r="J17" s="5">
        <f>'Assset Schedule'!K24</f>
        <v>191000</v>
      </c>
      <c r="K17" s="5">
        <f>'Assset Schedule'!L24</f>
        <v>163000</v>
      </c>
      <c r="L17" s="5">
        <f>'Assset Schedule'!M24</f>
        <v>270000</v>
      </c>
      <c r="M17" s="5">
        <f>'Assset Schedule'!N24</f>
        <v>227000</v>
      </c>
    </row>
    <row r="18" spans="2:13" x14ac:dyDescent="0.25">
      <c r="B18" s="16"/>
      <c r="D18" s="5"/>
      <c r="E18" s="5"/>
      <c r="F18" s="55"/>
      <c r="G18" s="5"/>
      <c r="H18" s="5"/>
      <c r="I18" s="5"/>
      <c r="J18" s="5"/>
      <c r="K18" s="5"/>
      <c r="L18" s="5"/>
      <c r="M18" s="5"/>
    </row>
    <row r="19" spans="2:13" x14ac:dyDescent="0.25">
      <c r="B19" s="17" t="s">
        <v>23</v>
      </c>
      <c r="D19" s="5">
        <f>D15+D17</f>
        <v>261745.568259597</v>
      </c>
      <c r="E19" s="5">
        <f t="shared" ref="E19:M19" si="1">E15+E17</f>
        <v>281714.39063909941</v>
      </c>
      <c r="F19" s="55">
        <f t="shared" si="1"/>
        <v>317403.56642714737</v>
      </c>
      <c r="G19" s="5">
        <f t="shared" si="1"/>
        <v>367534.02964716149</v>
      </c>
      <c r="H19" s="5">
        <f t="shared" si="1"/>
        <v>436496.55863496958</v>
      </c>
      <c r="I19" s="5">
        <f t="shared" si="1"/>
        <v>519101.63312653475</v>
      </c>
      <c r="J19" s="5">
        <f t="shared" si="1"/>
        <v>616040.3523371499</v>
      </c>
      <c r="K19" s="5">
        <f t="shared" si="1"/>
        <v>727323.64019195805</v>
      </c>
      <c r="L19" s="5">
        <f t="shared" si="1"/>
        <v>852963.28857614554</v>
      </c>
      <c r="M19" s="5">
        <f t="shared" si="1"/>
        <v>984511.59757422376</v>
      </c>
    </row>
    <row r="20" spans="2:13" x14ac:dyDescent="0.25">
      <c r="B20" s="16"/>
      <c r="D20" s="5"/>
      <c r="E20" s="5"/>
      <c r="F20" s="55"/>
      <c r="G20" s="5"/>
      <c r="H20" s="5"/>
      <c r="I20" s="5"/>
      <c r="J20" s="5"/>
      <c r="K20" s="5"/>
      <c r="L20" s="5"/>
      <c r="M20" s="5"/>
    </row>
    <row r="21" spans="2:13" x14ac:dyDescent="0.25">
      <c r="B21" s="16" t="s">
        <v>24</v>
      </c>
      <c r="D21" s="5">
        <f>6000</f>
        <v>6000</v>
      </c>
      <c r="E21" s="5">
        <v>7000</v>
      </c>
      <c r="F21" s="55">
        <v>9000</v>
      </c>
      <c r="G21" s="5">
        <f>-('Income Statement'!G13+'Income Statement'!G16)*30/365</f>
        <v>11035.616438356163</v>
      </c>
      <c r="H21" s="5">
        <f>-('Income Statement'!H13+'Income Statement'!H16)*30/365</f>
        <v>13939.726027397257</v>
      </c>
      <c r="I21" s="5">
        <f>-('Income Statement'!I13+'Income Statement'!I16)*30/365</f>
        <v>16263.013698630137</v>
      </c>
      <c r="J21" s="5">
        <f>-('Income Statement'!J13+'Income Statement'!J16)*30/365</f>
        <v>18586.301369863013</v>
      </c>
      <c r="K21" s="5">
        <f>-('Income Statement'!K13+'Income Statement'!K16)*30/365</f>
        <v>20909.589041095889</v>
      </c>
      <c r="L21" s="5">
        <f>-('Income Statement'!L13+'Income Statement'!L16)*30/365</f>
        <v>23232.876712328762</v>
      </c>
      <c r="M21" s="5">
        <f>-('Income Statement'!M13+'Income Statement'!M16)*30/365</f>
        <v>24394.520547945205</v>
      </c>
    </row>
    <row r="22" spans="2:13" x14ac:dyDescent="0.25">
      <c r="B22" s="16" t="s">
        <v>25</v>
      </c>
      <c r="D22" s="5">
        <v>1000</v>
      </c>
      <c r="E22" s="5">
        <v>1200</v>
      </c>
      <c r="F22" s="55">
        <v>1500</v>
      </c>
      <c r="G22" s="5">
        <f>F22*(1+'Income Statement'!G11)</f>
        <v>1900</v>
      </c>
      <c r="H22" s="5">
        <f>G22*(1+'Income Statement'!H11)</f>
        <v>2400</v>
      </c>
      <c r="I22" s="5">
        <f>H22*(1+'Income Statement'!I11)</f>
        <v>2800</v>
      </c>
      <c r="J22" s="5">
        <f>I22*(1+'Income Statement'!J11)</f>
        <v>3200</v>
      </c>
      <c r="K22" s="5">
        <f>J22*(1+'Income Statement'!K11)</f>
        <v>3600</v>
      </c>
      <c r="L22" s="5">
        <f>K22*(1+'Income Statement'!L11)</f>
        <v>4000</v>
      </c>
      <c r="M22" s="5">
        <f>L22*(1+'Income Statement'!M11)</f>
        <v>4200</v>
      </c>
    </row>
    <row r="23" spans="2:13" x14ac:dyDescent="0.25">
      <c r="B23" s="17" t="s">
        <v>26</v>
      </c>
      <c r="D23" s="5">
        <f>D21+D22</f>
        <v>7000</v>
      </c>
      <c r="E23" s="5">
        <f t="shared" ref="E23:M23" si="2">E21+E22</f>
        <v>8200</v>
      </c>
      <c r="F23" s="55">
        <f t="shared" si="2"/>
        <v>10500</v>
      </c>
      <c r="G23" s="5">
        <f t="shared" si="2"/>
        <v>12935.616438356163</v>
      </c>
      <c r="H23" s="5">
        <f t="shared" si="2"/>
        <v>16339.726027397257</v>
      </c>
      <c r="I23" s="5">
        <f t="shared" si="2"/>
        <v>19063.013698630137</v>
      </c>
      <c r="J23" s="5">
        <f t="shared" si="2"/>
        <v>21786.301369863013</v>
      </c>
      <c r="K23" s="5">
        <f t="shared" si="2"/>
        <v>24509.589041095889</v>
      </c>
      <c r="L23" s="5">
        <f t="shared" si="2"/>
        <v>27232.876712328762</v>
      </c>
      <c r="M23" s="5">
        <f t="shared" si="2"/>
        <v>28594.520547945205</v>
      </c>
    </row>
    <row r="24" spans="2:13" x14ac:dyDescent="0.25">
      <c r="B24" s="16"/>
      <c r="D24" s="5"/>
      <c r="E24" s="5"/>
      <c r="F24" s="55"/>
      <c r="G24" s="5"/>
      <c r="H24" s="5"/>
      <c r="I24" s="5"/>
      <c r="J24" s="5"/>
      <c r="K24" s="5"/>
      <c r="L24" s="5"/>
      <c r="M24" s="5"/>
    </row>
    <row r="25" spans="2:13" x14ac:dyDescent="0.25">
      <c r="B25" s="16" t="s">
        <v>27</v>
      </c>
      <c r="D25" s="5">
        <f>LOOKUP(D7,'Loan Schedule'!$B$17:$B$26,'Loan Schedule'!$N$17:$N$26)</f>
        <v>144475.568259597</v>
      </c>
      <c r="E25" s="5">
        <f>LOOKUP(E7,'Loan Schedule'!$B$17:$B$26,'Loan Schedule'!$N$17:$N$26)</f>
        <v>138509.18197996175</v>
      </c>
      <c r="F25" s="55">
        <f>LOOKUP(F7,'Loan Schedule'!$B$17:$B$26,'Loan Schedule'!$N$17:$N$26)</f>
        <v>132065.48479795569</v>
      </c>
      <c r="G25" s="5">
        <f>LOOKUP(G7,'Loan Schedule'!$B$17:$B$26,'Loan Schedule'!$N$17:$N$26)</f>
        <v>125106.29184138915</v>
      </c>
      <c r="H25" s="5">
        <f>LOOKUP(H7,'Loan Schedule'!$B$17:$B$26,'Loan Schedule'!$N$17:$N$26)</f>
        <v>117590.36344829727</v>
      </c>
      <c r="I25" s="5">
        <f>LOOKUP(I7,'Loan Schedule'!$B$17:$B$26,'Loan Schedule'!$N$17:$N$26)</f>
        <v>109473.16078375805</v>
      </c>
      <c r="J25" s="5">
        <f>LOOKUP(J7,'Loan Schedule'!$B$17:$B$26,'Loan Schedule'!$N$17:$N$26)</f>
        <v>100706.5819060557</v>
      </c>
      <c r="K25" s="5">
        <f>LOOKUP(K7,'Loan Schedule'!$B$17:$B$26,'Loan Schedule'!$N$17:$N$26)</f>
        <v>91238.676718137154</v>
      </c>
      <c r="L25" s="5">
        <f>LOOKUP(L7,'Loan Schedule'!$B$17:$B$26,'Loan Schedule'!$N$17:$N$26)</f>
        <v>81013.339115185125</v>
      </c>
      <c r="M25" s="5">
        <f>LOOKUP(M7,'Loan Schedule'!$B$17:$B$26,'Loan Schedule'!$N$17:$N$26)</f>
        <v>69969.974503996928</v>
      </c>
    </row>
    <row r="26" spans="2:13" x14ac:dyDescent="0.25">
      <c r="B26" s="17" t="s">
        <v>28</v>
      </c>
      <c r="D26" s="5">
        <f>D23+D25</f>
        <v>151475.568259597</v>
      </c>
      <c r="E26" s="5">
        <f t="shared" ref="E26:M26" si="3">E23+E25</f>
        <v>146709.18197996175</v>
      </c>
      <c r="F26" s="55">
        <f t="shared" si="3"/>
        <v>142565.48479795569</v>
      </c>
      <c r="G26" s="5">
        <f t="shared" si="3"/>
        <v>138041.90827974532</v>
      </c>
      <c r="H26" s="5">
        <f t="shared" si="3"/>
        <v>133930.08947569452</v>
      </c>
      <c r="I26" s="5">
        <f t="shared" si="3"/>
        <v>128536.17448238819</v>
      </c>
      <c r="J26" s="5">
        <f t="shared" si="3"/>
        <v>122492.88327591871</v>
      </c>
      <c r="K26" s="5">
        <f t="shared" si="3"/>
        <v>115748.26575923304</v>
      </c>
      <c r="L26" s="5">
        <f t="shared" si="3"/>
        <v>108246.21582751389</v>
      </c>
      <c r="M26" s="5">
        <f t="shared" si="3"/>
        <v>98564.495051942125</v>
      </c>
    </row>
    <row r="27" spans="2:13" x14ac:dyDescent="0.25">
      <c r="B27" s="16"/>
      <c r="D27" s="5"/>
      <c r="E27" s="5"/>
      <c r="F27" s="55"/>
      <c r="G27" s="5"/>
      <c r="H27" s="5"/>
      <c r="I27" s="5"/>
      <c r="J27" s="5"/>
      <c r="K27" s="5"/>
      <c r="L27" s="5"/>
      <c r="M27" s="5"/>
    </row>
    <row r="28" spans="2:13" x14ac:dyDescent="0.25">
      <c r="B28" s="16" t="s">
        <v>29</v>
      </c>
      <c r="D28" s="5">
        <v>100000</v>
      </c>
      <c r="E28" s="5">
        <v>100000</v>
      </c>
      <c r="F28" s="55">
        <v>100000</v>
      </c>
      <c r="G28" s="5">
        <v>100000</v>
      </c>
      <c r="H28" s="5">
        <v>100000</v>
      </c>
      <c r="I28" s="5">
        <v>100000</v>
      </c>
      <c r="J28" s="5">
        <v>100000</v>
      </c>
      <c r="K28" s="5">
        <v>100000</v>
      </c>
      <c r="L28" s="5">
        <v>100000</v>
      </c>
      <c r="M28" s="5">
        <v>100000</v>
      </c>
    </row>
    <row r="29" spans="2:13" x14ac:dyDescent="0.25">
      <c r="B29" s="16" t="s">
        <v>30</v>
      </c>
      <c r="D29" s="5">
        <f>'Income Statement'!D31</f>
        <v>10270</v>
      </c>
      <c r="E29" s="5">
        <f>'Income Statement'!E31</f>
        <v>35005.208659137672</v>
      </c>
      <c r="F29" s="55">
        <f>'Income Statement'!F31</f>
        <v>74838.081629191671</v>
      </c>
      <c r="G29" s="5">
        <f>'Income Statement'!G31</f>
        <v>129492.12136741623</v>
      </c>
      <c r="H29" s="5">
        <f>'Income Statement'!H31</f>
        <v>202566.46915927506</v>
      </c>
      <c r="I29" s="5">
        <f>'Income Statement'!I31</f>
        <v>290565.45864414657</v>
      </c>
      <c r="J29" s="5">
        <f>'Income Statement'!J31</f>
        <v>393547.46906123118</v>
      </c>
      <c r="K29" s="5">
        <f>'Income Statement'!K31</f>
        <v>511575.37443272502</v>
      </c>
      <c r="L29" s="5">
        <f>'Income Statement'!L31</f>
        <v>644717.07274863159</v>
      </c>
      <c r="M29" s="5">
        <f>'Income Statement'!M31</f>
        <v>785947.1025222817</v>
      </c>
    </row>
    <row r="30" spans="2:13" x14ac:dyDescent="0.25">
      <c r="B30" s="17" t="s">
        <v>31</v>
      </c>
      <c r="D30" s="5">
        <f>D28+D29</f>
        <v>110270</v>
      </c>
      <c r="E30" s="5">
        <f t="shared" ref="E30:M30" si="4">E28+E29</f>
        <v>135005.20865913766</v>
      </c>
      <c r="F30" s="55">
        <f t="shared" si="4"/>
        <v>174838.08162919167</v>
      </c>
      <c r="G30" s="5">
        <f t="shared" si="4"/>
        <v>229492.12136741623</v>
      </c>
      <c r="H30" s="5">
        <f t="shared" si="4"/>
        <v>302566.46915927506</v>
      </c>
      <c r="I30" s="5">
        <f t="shared" si="4"/>
        <v>390565.45864414657</v>
      </c>
      <c r="J30" s="5">
        <f t="shared" si="4"/>
        <v>493547.46906123118</v>
      </c>
      <c r="K30" s="5">
        <f t="shared" si="4"/>
        <v>611575.37443272502</v>
      </c>
      <c r="L30" s="5">
        <f t="shared" si="4"/>
        <v>744717.07274863159</v>
      </c>
      <c r="M30" s="5">
        <f t="shared" si="4"/>
        <v>885947.1025222817</v>
      </c>
    </row>
    <row r="31" spans="2:13" x14ac:dyDescent="0.25">
      <c r="B31" s="16"/>
      <c r="D31" s="5"/>
      <c r="E31" s="5"/>
      <c r="F31" s="55"/>
      <c r="G31" s="5"/>
      <c r="H31" s="5"/>
      <c r="I31" s="5"/>
      <c r="J31" s="5"/>
      <c r="K31" s="5"/>
      <c r="L31" s="5"/>
      <c r="M31" s="5"/>
    </row>
    <row r="32" spans="2:13" x14ac:dyDescent="0.25">
      <c r="B32" s="17" t="s">
        <v>32</v>
      </c>
      <c r="D32" s="5">
        <f>D26+D30</f>
        <v>261745.568259597</v>
      </c>
      <c r="E32" s="5">
        <f t="shared" ref="E32:M32" si="5">E26+E30</f>
        <v>281714.39063909941</v>
      </c>
      <c r="F32" s="55">
        <f t="shared" si="5"/>
        <v>317403.56642714737</v>
      </c>
      <c r="G32" s="5">
        <f t="shared" si="5"/>
        <v>367534.02964716154</v>
      </c>
      <c r="H32" s="5">
        <f t="shared" si="5"/>
        <v>436496.55863496958</v>
      </c>
      <c r="I32" s="5">
        <f t="shared" si="5"/>
        <v>519101.63312653475</v>
      </c>
      <c r="J32" s="5">
        <f t="shared" si="5"/>
        <v>616040.3523371499</v>
      </c>
      <c r="K32" s="5">
        <f t="shared" si="5"/>
        <v>727323.64019195805</v>
      </c>
      <c r="L32" s="5">
        <f t="shared" si="5"/>
        <v>852963.28857614542</v>
      </c>
      <c r="M32" s="5">
        <f t="shared" si="5"/>
        <v>984511.59757422376</v>
      </c>
    </row>
    <row r="33" spans="2:13" x14ac:dyDescent="0.25">
      <c r="D33" s="5"/>
      <c r="E33" s="5"/>
      <c r="F33" s="55"/>
      <c r="G33" s="5"/>
      <c r="H33" s="5"/>
      <c r="I33" s="5"/>
      <c r="J33" s="5"/>
      <c r="K33" s="5"/>
      <c r="L33" s="5"/>
      <c r="M33" s="5"/>
    </row>
    <row r="34" spans="2:13" x14ac:dyDescent="0.25">
      <c r="B34" s="20" t="s">
        <v>33</v>
      </c>
      <c r="D34" s="5">
        <f>D19-D32</f>
        <v>0</v>
      </c>
      <c r="E34" s="5">
        <f t="shared" ref="E34:M34" si="6">E19-E32</f>
        <v>0</v>
      </c>
      <c r="F34" s="55">
        <f t="shared" si="6"/>
        <v>0</v>
      </c>
      <c r="G34" s="5">
        <f t="shared" si="6"/>
        <v>0</v>
      </c>
      <c r="H34" s="5">
        <f t="shared" si="6"/>
        <v>0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2:13" x14ac:dyDescent="0.25">
      <c r="F35" s="54"/>
    </row>
    <row r="36" spans="2:13" x14ac:dyDescent="0.25">
      <c r="B36" t="s">
        <v>63</v>
      </c>
      <c r="D36" s="7">
        <f>SUM(D12:D14)-SUM(D21:D22)</f>
        <v>38000</v>
      </c>
      <c r="E36" s="7">
        <f t="shared" ref="E36:M36" si="7">SUM(E12:E14)-SUM(E21:E22)</f>
        <v>44800</v>
      </c>
      <c r="F36" s="56">
        <f t="shared" si="7"/>
        <v>51500</v>
      </c>
      <c r="G36" s="7">
        <f t="shared" si="7"/>
        <v>68113.698630136991</v>
      </c>
      <c r="H36" s="7">
        <f t="shared" si="7"/>
        <v>86038.356164383556</v>
      </c>
      <c r="I36" s="7">
        <f t="shared" si="7"/>
        <v>100378.08219178082</v>
      </c>
      <c r="J36" s="7">
        <f t="shared" si="7"/>
        <v>114717.80821917808</v>
      </c>
      <c r="K36" s="7">
        <f t="shared" si="7"/>
        <v>129057.53424657532</v>
      </c>
      <c r="L36" s="7">
        <f t="shared" si="7"/>
        <v>143397.26027397258</v>
      </c>
      <c r="M36" s="7">
        <f t="shared" si="7"/>
        <v>150567.12328767125</v>
      </c>
    </row>
    <row r="37" spans="2:13" x14ac:dyDescent="0.25">
      <c r="B37" t="s">
        <v>55</v>
      </c>
      <c r="D37" s="7">
        <f>D36-C37</f>
        <v>38000</v>
      </c>
      <c r="E37" s="7">
        <f>E36-D36</f>
        <v>6800</v>
      </c>
      <c r="F37" s="56">
        <f t="shared" ref="F37:M37" si="8">F36-E36</f>
        <v>6700</v>
      </c>
      <c r="G37" s="7">
        <f t="shared" si="8"/>
        <v>16613.698630136991</v>
      </c>
      <c r="H37" s="7">
        <f t="shared" si="8"/>
        <v>17924.657534246566</v>
      </c>
      <c r="I37" s="7">
        <f t="shared" si="8"/>
        <v>14339.726027397264</v>
      </c>
      <c r="J37" s="7">
        <f t="shared" si="8"/>
        <v>14339.726027397264</v>
      </c>
      <c r="K37" s="7">
        <f t="shared" si="8"/>
        <v>14339.726027397235</v>
      </c>
      <c r="L37" s="7">
        <f t="shared" si="8"/>
        <v>14339.726027397264</v>
      </c>
      <c r="M37" s="7">
        <f t="shared" si="8"/>
        <v>7169.8630136986612</v>
      </c>
    </row>
    <row r="39" spans="2:13" x14ac:dyDescent="0.25">
      <c r="B39" s="21" t="s">
        <v>34</v>
      </c>
      <c r="C39" s="20"/>
      <c r="D39" s="20"/>
      <c r="E39" s="20"/>
      <c r="F39" s="20"/>
      <c r="G39" s="20"/>
      <c r="H39" s="20"/>
    </row>
    <row r="40" spans="2:13" x14ac:dyDescent="0.25">
      <c r="B40" s="20" t="s">
        <v>64</v>
      </c>
      <c r="C40" s="20"/>
      <c r="D40" s="20"/>
      <c r="E40" s="20"/>
      <c r="F40" s="20"/>
      <c r="G40" s="20"/>
      <c r="H40" s="20">
        <v>90</v>
      </c>
    </row>
    <row r="41" spans="2:13" x14ac:dyDescent="0.25">
      <c r="B41" s="20" t="s">
        <v>37</v>
      </c>
      <c r="C41" s="20"/>
      <c r="D41" s="20"/>
      <c r="E41" s="20"/>
      <c r="F41" s="20"/>
      <c r="G41" s="20"/>
      <c r="H41" s="20">
        <v>30</v>
      </c>
    </row>
    <row r="42" spans="2:13" x14ac:dyDescent="0.25">
      <c r="B42" s="20" t="s">
        <v>35</v>
      </c>
      <c r="C42" s="20"/>
      <c r="D42" s="20"/>
      <c r="E42" s="20"/>
      <c r="F42" s="20"/>
      <c r="G42" s="20"/>
      <c r="H42" s="20"/>
    </row>
    <row r="43" spans="2:13" x14ac:dyDescent="0.25">
      <c r="B43" s="20" t="s">
        <v>36</v>
      </c>
      <c r="C43" s="20"/>
      <c r="D43" s="20"/>
      <c r="E43" s="20"/>
      <c r="F43" s="20"/>
      <c r="G43" s="20"/>
      <c r="H43" s="20"/>
    </row>
    <row r="44" spans="2:13" x14ac:dyDescent="0.25">
      <c r="B44" s="20" t="s">
        <v>38</v>
      </c>
      <c r="C44" s="20"/>
      <c r="D44" s="20"/>
      <c r="E44" s="20"/>
      <c r="F44" s="20"/>
      <c r="G44" s="20"/>
      <c r="H44" s="20"/>
    </row>
    <row r="45" spans="2:13" x14ac:dyDescent="0.25">
      <c r="B45" s="20"/>
      <c r="C45" s="20"/>
      <c r="D45" s="20"/>
      <c r="E45" s="20"/>
      <c r="F45" s="20"/>
      <c r="G45" s="20"/>
      <c r="H4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3842-424A-4A2D-A10D-E78BD8355C88}">
  <dimension ref="B3:X28"/>
  <sheetViews>
    <sheetView showGridLines="0" workbookViewId="0">
      <selection activeCell="F40" sqref="F40"/>
    </sheetView>
  </sheetViews>
  <sheetFormatPr defaultRowHeight="15" x14ac:dyDescent="0.25"/>
  <cols>
    <col min="2" max="2" width="36" customWidth="1"/>
    <col min="3" max="3" width="3.5703125" customWidth="1"/>
    <col min="4" max="13" width="24.7109375" customWidth="1"/>
  </cols>
  <sheetData>
    <row r="3" spans="2:24" ht="18.75" x14ac:dyDescent="0.3">
      <c r="B3" s="4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x14ac:dyDescent="0.25">
      <c r="D6" s="19" t="s">
        <v>10</v>
      </c>
      <c r="E6" s="19"/>
      <c r="F6" s="53"/>
      <c r="G6" s="52" t="s">
        <v>11</v>
      </c>
      <c r="H6" s="19"/>
      <c r="I6" s="19"/>
      <c r="J6" s="19"/>
      <c r="K6" s="19"/>
      <c r="L6" s="19"/>
      <c r="M6" s="19"/>
    </row>
    <row r="7" spans="2:24" x14ac:dyDescent="0.25">
      <c r="B7" s="15" t="s">
        <v>65</v>
      </c>
      <c r="D7" s="17">
        <v>2021</v>
      </c>
      <c r="E7" s="17">
        <v>2022</v>
      </c>
      <c r="F7" s="78">
        <v>2023</v>
      </c>
      <c r="G7" s="73">
        <v>2024</v>
      </c>
      <c r="H7" s="17">
        <v>2025</v>
      </c>
      <c r="I7" s="17">
        <v>2026</v>
      </c>
      <c r="J7" s="17">
        <v>2027</v>
      </c>
      <c r="K7" s="17">
        <v>2028</v>
      </c>
      <c r="L7" s="17">
        <v>2029</v>
      </c>
      <c r="M7" s="17">
        <v>2030</v>
      </c>
    </row>
    <row r="8" spans="2:24" x14ac:dyDescent="0.25">
      <c r="F8" s="54"/>
    </row>
    <row r="9" spans="2:24" x14ac:dyDescent="0.25">
      <c r="B9" s="17" t="s">
        <v>8</v>
      </c>
      <c r="D9" s="5">
        <f>'Income Statement'!D28</f>
        <v>10270</v>
      </c>
      <c r="E9" s="5">
        <f>'Income Statement'!E28</f>
        <v>24735.208659137672</v>
      </c>
      <c r="F9" s="55">
        <f>'Income Statement'!F28</f>
        <v>39832.872970053992</v>
      </c>
      <c r="G9" s="5">
        <f>'Income Statement'!G28</f>
        <v>54654.039738224557</v>
      </c>
      <c r="H9" s="5">
        <f>'Income Statement'!H28</f>
        <v>73074.347791858832</v>
      </c>
      <c r="I9" s="5">
        <f>'Income Statement'!I28</f>
        <v>87998.989484871534</v>
      </c>
      <c r="J9" s="5">
        <f>'Income Statement'!J28</f>
        <v>102982.01041708462</v>
      </c>
      <c r="K9" s="5">
        <f>'Income Statement'!K28</f>
        <v>118027.90537149383</v>
      </c>
      <c r="L9" s="5">
        <f>'Income Statement'!L28</f>
        <v>133141.6983159066</v>
      </c>
      <c r="M9" s="5">
        <f>'Income Statement'!M28</f>
        <v>141230.02977365005</v>
      </c>
    </row>
    <row r="10" spans="2:24" x14ac:dyDescent="0.25">
      <c r="B10" s="16"/>
      <c r="D10" s="5"/>
      <c r="E10" s="5"/>
      <c r="F10" s="55"/>
      <c r="G10" s="5"/>
      <c r="H10" s="5"/>
      <c r="I10" s="5"/>
      <c r="J10" s="5"/>
      <c r="K10" s="5"/>
      <c r="L10" s="5"/>
      <c r="M10" s="5"/>
    </row>
    <row r="11" spans="2:24" x14ac:dyDescent="0.25">
      <c r="B11" s="16" t="s">
        <v>44</v>
      </c>
      <c r="D11" s="5">
        <f>'Assset Schedule'!E23</f>
        <v>5000</v>
      </c>
      <c r="E11" s="5">
        <f>'Assset Schedule'!F23</f>
        <v>10000</v>
      </c>
      <c r="F11" s="55">
        <f>'Assset Schedule'!G23</f>
        <v>10000</v>
      </c>
      <c r="G11" s="5">
        <f>'Assset Schedule'!H23</f>
        <v>10000</v>
      </c>
      <c r="H11" s="5">
        <f>'Assset Schedule'!I23</f>
        <v>18000</v>
      </c>
      <c r="I11" s="5">
        <f>'Assset Schedule'!J23</f>
        <v>18000</v>
      </c>
      <c r="J11" s="5">
        <f>'Assset Schedule'!K23</f>
        <v>28000</v>
      </c>
      <c r="K11" s="5">
        <f>'Assset Schedule'!L23</f>
        <v>28000</v>
      </c>
      <c r="L11" s="5">
        <f>'Assset Schedule'!M23</f>
        <v>43000</v>
      </c>
      <c r="M11" s="5">
        <f>'Assset Schedule'!N23</f>
        <v>43000</v>
      </c>
    </row>
    <row r="12" spans="2:24" x14ac:dyDescent="0.25">
      <c r="B12" s="16" t="s">
        <v>55</v>
      </c>
      <c r="D12" s="5">
        <f>-'Balance Sheet'!D37</f>
        <v>-38000</v>
      </c>
      <c r="E12" s="5">
        <f>-'Balance Sheet'!E37</f>
        <v>-6800</v>
      </c>
      <c r="F12" s="55">
        <f>-'Balance Sheet'!F37</f>
        <v>-6700</v>
      </c>
      <c r="G12" s="5">
        <f>-'Balance Sheet'!G37</f>
        <v>-16613.698630136991</v>
      </c>
      <c r="H12" s="5">
        <f>-'Balance Sheet'!H37</f>
        <v>-17924.657534246566</v>
      </c>
      <c r="I12" s="5">
        <f>-'Balance Sheet'!I37</f>
        <v>-14339.726027397264</v>
      </c>
      <c r="J12" s="5">
        <f>-'Balance Sheet'!J37</f>
        <v>-14339.726027397264</v>
      </c>
      <c r="K12" s="5">
        <f>-'Balance Sheet'!K37</f>
        <v>-14339.726027397235</v>
      </c>
      <c r="L12" s="5">
        <f>-'Balance Sheet'!L37</f>
        <v>-14339.726027397264</v>
      </c>
      <c r="M12" s="5">
        <f>-'Balance Sheet'!M37</f>
        <v>-7169.8630136986612</v>
      </c>
    </row>
    <row r="13" spans="2:24" x14ac:dyDescent="0.25">
      <c r="B13" s="16"/>
      <c r="D13" s="5"/>
      <c r="E13" s="5"/>
      <c r="F13" s="55"/>
      <c r="G13" s="5"/>
      <c r="H13" s="5"/>
      <c r="I13" s="5"/>
      <c r="J13" s="5"/>
      <c r="K13" s="5"/>
      <c r="L13" s="5"/>
      <c r="M13" s="5"/>
    </row>
    <row r="14" spans="2:24" x14ac:dyDescent="0.25">
      <c r="B14" s="17" t="s">
        <v>56</v>
      </c>
      <c r="D14" s="5">
        <f>D9+D11+D12</f>
        <v>-22730</v>
      </c>
      <c r="E14" s="5">
        <f t="shared" ref="E14:M14" si="0">E9+E11+E12</f>
        <v>27935.208659137672</v>
      </c>
      <c r="F14" s="55">
        <f t="shared" si="0"/>
        <v>43132.872970053992</v>
      </c>
      <c r="G14" s="5">
        <f t="shared" si="0"/>
        <v>48040.341108087567</v>
      </c>
      <c r="H14" s="5">
        <f t="shared" si="0"/>
        <v>73149.690257612267</v>
      </c>
      <c r="I14" s="5">
        <f t="shared" si="0"/>
        <v>91659.26345747427</v>
      </c>
      <c r="J14" s="5">
        <f t="shared" si="0"/>
        <v>116642.28438968735</v>
      </c>
      <c r="K14" s="5">
        <f t="shared" si="0"/>
        <v>131688.1793440966</v>
      </c>
      <c r="L14" s="5">
        <f t="shared" si="0"/>
        <v>161801.97228850934</v>
      </c>
      <c r="M14" s="5">
        <f t="shared" si="0"/>
        <v>177060.16675995139</v>
      </c>
    </row>
    <row r="15" spans="2:24" x14ac:dyDescent="0.25">
      <c r="B15" s="16"/>
      <c r="D15" s="5"/>
      <c r="E15" s="5"/>
      <c r="F15" s="55"/>
      <c r="G15" s="5"/>
      <c r="H15" s="5"/>
      <c r="I15" s="5"/>
      <c r="J15" s="5"/>
      <c r="K15" s="5"/>
      <c r="L15" s="5"/>
      <c r="M15" s="5"/>
    </row>
    <row r="16" spans="2:24" x14ac:dyDescent="0.25">
      <c r="B16" s="16" t="s">
        <v>43</v>
      </c>
      <c r="D16" s="5">
        <f>-'Assset Schedule'!E22</f>
        <v>-100000</v>
      </c>
      <c r="E16" s="5">
        <f>-'Assset Schedule'!F22</f>
        <v>-50000</v>
      </c>
      <c r="F16" s="55">
        <f>-'Assset Schedule'!G22</f>
        <v>0</v>
      </c>
      <c r="G16" s="5">
        <f>-'Assset Schedule'!H22</f>
        <v>0</v>
      </c>
      <c r="H16" s="5">
        <f>-'Assset Schedule'!I22</f>
        <v>-80000</v>
      </c>
      <c r="I16" s="5">
        <f>-'Assset Schedule'!J22</f>
        <v>0</v>
      </c>
      <c r="J16" s="5">
        <f>-'Assset Schedule'!K22</f>
        <v>-60000</v>
      </c>
      <c r="K16" s="5">
        <f>-'Assset Schedule'!L22</f>
        <v>0</v>
      </c>
      <c r="L16" s="5">
        <f>-'Assset Schedule'!M22</f>
        <v>-150000</v>
      </c>
      <c r="M16" s="5">
        <f>-'Assset Schedule'!N22</f>
        <v>0</v>
      </c>
    </row>
    <row r="17" spans="2:13" x14ac:dyDescent="0.25">
      <c r="B17" s="16"/>
      <c r="D17" s="5"/>
      <c r="E17" s="5"/>
      <c r="F17" s="55"/>
      <c r="G17" s="5"/>
      <c r="H17" s="5"/>
      <c r="I17" s="5"/>
      <c r="J17" s="5"/>
      <c r="K17" s="5"/>
      <c r="L17" s="5"/>
      <c r="M17" s="5"/>
    </row>
    <row r="18" spans="2:13" x14ac:dyDescent="0.25">
      <c r="B18" s="17" t="s">
        <v>57</v>
      </c>
      <c r="D18" s="5">
        <f>D16</f>
        <v>-100000</v>
      </c>
      <c r="E18" s="5">
        <f t="shared" ref="E18:M18" si="1">E16</f>
        <v>-50000</v>
      </c>
      <c r="F18" s="55">
        <f t="shared" si="1"/>
        <v>0</v>
      </c>
      <c r="G18" s="5">
        <f t="shared" si="1"/>
        <v>0</v>
      </c>
      <c r="H18" s="5">
        <f t="shared" si="1"/>
        <v>-80000</v>
      </c>
      <c r="I18" s="5">
        <f t="shared" si="1"/>
        <v>0</v>
      </c>
      <c r="J18" s="5">
        <f t="shared" si="1"/>
        <v>-60000</v>
      </c>
      <c r="K18" s="5">
        <f t="shared" si="1"/>
        <v>0</v>
      </c>
      <c r="L18" s="5">
        <f t="shared" si="1"/>
        <v>-150000</v>
      </c>
      <c r="M18" s="5">
        <f t="shared" si="1"/>
        <v>0</v>
      </c>
    </row>
    <row r="19" spans="2:13" x14ac:dyDescent="0.25">
      <c r="B19" s="16"/>
      <c r="D19" s="5"/>
      <c r="E19" s="5"/>
      <c r="F19" s="55"/>
      <c r="G19" s="5"/>
      <c r="H19" s="5"/>
      <c r="I19" s="5"/>
      <c r="J19" s="5"/>
      <c r="K19" s="5"/>
      <c r="L19" s="5"/>
      <c r="M19" s="5"/>
    </row>
    <row r="20" spans="2:13" x14ac:dyDescent="0.25">
      <c r="B20" s="16" t="s">
        <v>58</v>
      </c>
      <c r="D20" s="5">
        <f>-LOOKUP(D7,'Loan Schedule'!$B$17:$B$26,'Loan Schedule'!$I$17:$I$26)</f>
        <v>-5524.4317404030044</v>
      </c>
      <c r="E20" s="5">
        <f>-LOOKUP(E7,'Loan Schedule'!$B$17:$B$26,'Loan Schedule'!$I$17:$I$26)</f>
        <v>-5966.3862796352441</v>
      </c>
      <c r="F20" s="55">
        <f>-LOOKUP(F7,'Loan Schedule'!$B$17:$B$26,'Loan Schedule'!$I$17:$I$26)</f>
        <v>-6443.6971820060644</v>
      </c>
      <c r="G20" s="5">
        <f>-LOOKUP(G7,'Loan Schedule'!$B$17:$B$26,'Loan Schedule'!$I$17:$I$26)</f>
        <v>-6959.1929565665487</v>
      </c>
      <c r="H20" s="5">
        <f>-LOOKUP(H7,'Loan Schedule'!$B$17:$B$26,'Loan Schedule'!$I$17:$I$26)</f>
        <v>-7515.9283930918718</v>
      </c>
      <c r="I20" s="5">
        <f>-LOOKUP(I7,'Loan Schedule'!$B$17:$B$26,'Loan Schedule'!$I$17:$I$26)</f>
        <v>-8117.2026645392234</v>
      </c>
      <c r="J20" s="5">
        <f>-LOOKUP(J7,'Loan Schedule'!$B$17:$B$26,'Loan Schedule'!$I$17:$I$26)</f>
        <v>-8766.5788777023608</v>
      </c>
      <c r="K20" s="5">
        <f>-LOOKUP(K7,'Loan Schedule'!$B$17:$B$26,'Loan Schedule'!$I$17:$I$26)</f>
        <v>-9467.9051879185481</v>
      </c>
      <c r="L20" s="5">
        <f>-LOOKUP(L7,'Loan Schedule'!$B$17:$B$26,'Loan Schedule'!$I$17:$I$26)</f>
        <v>-10225.337602952033</v>
      </c>
      <c r="M20" s="5">
        <f>-LOOKUP(M7,'Loan Schedule'!$B$17:$B$26,'Loan Schedule'!$I$17:$I$26)</f>
        <v>-11043.364611188194</v>
      </c>
    </row>
    <row r="21" spans="2:13" x14ac:dyDescent="0.25">
      <c r="B21" s="16"/>
      <c r="D21" s="5"/>
      <c r="E21" s="5"/>
      <c r="F21" s="55"/>
      <c r="G21" s="5"/>
      <c r="H21" s="5"/>
      <c r="I21" s="5"/>
      <c r="J21" s="5"/>
      <c r="K21" s="5"/>
      <c r="L21" s="5"/>
      <c r="M21" s="5"/>
    </row>
    <row r="22" spans="2:13" x14ac:dyDescent="0.25">
      <c r="B22" s="17" t="s">
        <v>59</v>
      </c>
      <c r="D22" s="5">
        <f>D20</f>
        <v>-5524.4317404030044</v>
      </c>
      <c r="E22" s="5">
        <f t="shared" ref="E22:M22" si="2">E20</f>
        <v>-5966.3862796352441</v>
      </c>
      <c r="F22" s="55">
        <f t="shared" si="2"/>
        <v>-6443.6971820060644</v>
      </c>
      <c r="G22" s="5">
        <f t="shared" si="2"/>
        <v>-6959.1929565665487</v>
      </c>
      <c r="H22" s="5">
        <f t="shared" si="2"/>
        <v>-7515.9283930918718</v>
      </c>
      <c r="I22" s="5">
        <f t="shared" si="2"/>
        <v>-8117.2026645392234</v>
      </c>
      <c r="J22" s="5">
        <f t="shared" si="2"/>
        <v>-8766.5788777023608</v>
      </c>
      <c r="K22" s="5">
        <f t="shared" si="2"/>
        <v>-9467.9051879185481</v>
      </c>
      <c r="L22" s="5">
        <f t="shared" si="2"/>
        <v>-10225.337602952033</v>
      </c>
      <c r="M22" s="5">
        <f t="shared" si="2"/>
        <v>-11043.364611188194</v>
      </c>
    </row>
    <row r="23" spans="2:13" x14ac:dyDescent="0.25">
      <c r="B23" s="16"/>
      <c r="D23" s="5"/>
      <c r="E23" s="5"/>
      <c r="F23" s="55"/>
      <c r="G23" s="5"/>
      <c r="H23" s="5"/>
      <c r="I23" s="5"/>
      <c r="J23" s="5"/>
      <c r="K23" s="5"/>
      <c r="L23" s="5"/>
      <c r="M23" s="5"/>
    </row>
    <row r="24" spans="2:13" x14ac:dyDescent="0.25">
      <c r="B24" s="17" t="s">
        <v>60</v>
      </c>
      <c r="D24" s="5">
        <f>D14+D18+D22</f>
        <v>-128254.431740403</v>
      </c>
      <c r="E24" s="5">
        <f t="shared" ref="E24:M24" si="3">E14+E18+E22</f>
        <v>-28031.177620497572</v>
      </c>
      <c r="F24" s="55">
        <f t="shared" si="3"/>
        <v>36689.175788047927</v>
      </c>
      <c r="G24" s="5">
        <f t="shared" si="3"/>
        <v>41081.148151521018</v>
      </c>
      <c r="H24" s="5">
        <f t="shared" si="3"/>
        <v>-14366.238135479605</v>
      </c>
      <c r="I24" s="5">
        <f t="shared" si="3"/>
        <v>83542.060792935052</v>
      </c>
      <c r="J24" s="5">
        <f t="shared" si="3"/>
        <v>47875.70551198499</v>
      </c>
      <c r="K24" s="5">
        <f t="shared" si="3"/>
        <v>122220.27415617806</v>
      </c>
      <c r="L24" s="5">
        <f t="shared" si="3"/>
        <v>1576.6346855573029</v>
      </c>
      <c r="M24" s="5">
        <f t="shared" si="3"/>
        <v>166016.80214876321</v>
      </c>
    </row>
    <row r="25" spans="2:13" x14ac:dyDescent="0.25">
      <c r="B25" s="16"/>
      <c r="D25" s="5"/>
      <c r="E25" s="5"/>
      <c r="F25" s="55"/>
      <c r="G25" s="5"/>
      <c r="H25" s="5"/>
      <c r="I25" s="5"/>
      <c r="J25" s="5"/>
      <c r="K25" s="5"/>
      <c r="L25" s="5"/>
      <c r="M25" s="5"/>
    </row>
    <row r="26" spans="2:13" x14ac:dyDescent="0.25">
      <c r="B26" s="17" t="s">
        <v>61</v>
      </c>
      <c r="D26" s="5">
        <v>250000</v>
      </c>
      <c r="E26" s="5">
        <f>D28</f>
        <v>121745.568259597</v>
      </c>
      <c r="F26" s="55">
        <f t="shared" ref="F26:M26" si="4">E28</f>
        <v>93714.390639099423</v>
      </c>
      <c r="G26" s="5">
        <f t="shared" si="4"/>
        <v>130403.56642714735</v>
      </c>
      <c r="H26" s="5">
        <f t="shared" si="4"/>
        <v>171484.71457866835</v>
      </c>
      <c r="I26" s="5">
        <f t="shared" si="4"/>
        <v>157118.47644318876</v>
      </c>
      <c r="J26" s="5">
        <f t="shared" si="4"/>
        <v>240660.53723612381</v>
      </c>
      <c r="K26" s="5">
        <f t="shared" si="4"/>
        <v>288536.24274810881</v>
      </c>
      <c r="L26" s="5">
        <f t="shared" si="4"/>
        <v>410756.51690428687</v>
      </c>
      <c r="M26" s="5">
        <f t="shared" si="4"/>
        <v>412333.15158984414</v>
      </c>
    </row>
    <row r="27" spans="2:13" x14ac:dyDescent="0.25">
      <c r="B27" s="16"/>
      <c r="D27" s="5"/>
      <c r="E27" s="5"/>
      <c r="F27" s="55"/>
      <c r="G27" s="5"/>
      <c r="H27" s="5"/>
      <c r="I27" s="5"/>
      <c r="J27" s="5"/>
      <c r="K27" s="5"/>
      <c r="L27" s="5"/>
      <c r="M27" s="5"/>
    </row>
    <row r="28" spans="2:13" x14ac:dyDescent="0.25">
      <c r="B28" s="17" t="s">
        <v>62</v>
      </c>
      <c r="D28" s="5">
        <f>D26+D24</f>
        <v>121745.568259597</v>
      </c>
      <c r="E28" s="5">
        <f t="shared" ref="E28:M28" si="5">E26+E24</f>
        <v>93714.390639099423</v>
      </c>
      <c r="F28" s="55">
        <f t="shared" si="5"/>
        <v>130403.56642714735</v>
      </c>
      <c r="G28" s="5">
        <f t="shared" si="5"/>
        <v>171484.71457866835</v>
      </c>
      <c r="H28" s="5">
        <f t="shared" si="5"/>
        <v>157118.47644318876</v>
      </c>
      <c r="I28" s="5">
        <f t="shared" si="5"/>
        <v>240660.53723612381</v>
      </c>
      <c r="J28" s="5">
        <f t="shared" si="5"/>
        <v>288536.24274810881</v>
      </c>
      <c r="K28" s="5">
        <f t="shared" si="5"/>
        <v>410756.51690428687</v>
      </c>
      <c r="L28" s="5">
        <f t="shared" si="5"/>
        <v>412333.15158984414</v>
      </c>
      <c r="M28" s="5">
        <f t="shared" si="5"/>
        <v>578349.95373860735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B53E-3973-45FE-A9E4-7F2E84FC8BAC}">
  <dimension ref="B3:Y24"/>
  <sheetViews>
    <sheetView showGridLines="0" workbookViewId="0">
      <selection activeCell="I40" sqref="I40"/>
    </sheetView>
  </sheetViews>
  <sheetFormatPr defaultRowHeight="15" x14ac:dyDescent="0.25"/>
  <cols>
    <col min="3" max="3" width="11.7109375" bestFit="1" customWidth="1"/>
  </cols>
  <sheetData>
    <row r="3" spans="2:25" ht="18.75" x14ac:dyDescent="0.3">
      <c r="B3" s="4" t="s">
        <v>12</v>
      </c>
      <c r="C3" s="4"/>
    </row>
    <row r="4" spans="2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x14ac:dyDescent="0.25">
      <c r="B6" s="23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2:25" x14ac:dyDescent="0.25">
      <c r="B7" s="27"/>
      <c r="C7" s="2"/>
      <c r="D7" s="2"/>
      <c r="E7" s="73">
        <v>2021</v>
      </c>
      <c r="F7" s="73">
        <v>2022</v>
      </c>
      <c r="G7" s="73">
        <v>2023</v>
      </c>
      <c r="H7" s="73">
        <v>2024</v>
      </c>
      <c r="I7" s="73">
        <v>2025</v>
      </c>
      <c r="J7" s="73">
        <v>2026</v>
      </c>
      <c r="K7" s="73">
        <v>2027</v>
      </c>
      <c r="L7" s="73">
        <v>2028</v>
      </c>
      <c r="M7" s="73">
        <v>2029</v>
      </c>
      <c r="N7" s="74">
        <v>2030</v>
      </c>
    </row>
    <row r="8" spans="2:25" x14ac:dyDescent="0.25">
      <c r="B8" s="27"/>
      <c r="C8" s="36" t="s">
        <v>39</v>
      </c>
      <c r="D8" s="36" t="s">
        <v>40</v>
      </c>
      <c r="E8" s="2"/>
      <c r="F8" s="2"/>
      <c r="G8" s="2"/>
      <c r="H8" s="2"/>
      <c r="I8" s="2"/>
      <c r="J8" s="2"/>
      <c r="K8" s="2"/>
      <c r="L8" s="2"/>
      <c r="M8" s="2"/>
      <c r="N8" s="28"/>
    </row>
    <row r="9" spans="2:25" ht="20.100000000000001" customHeight="1" x14ac:dyDescent="0.25">
      <c r="B9" s="63">
        <v>2021</v>
      </c>
      <c r="C9" s="29">
        <v>100000</v>
      </c>
      <c r="D9" s="29">
        <v>20</v>
      </c>
      <c r="E9" s="29">
        <f>$C$9/$D$9</f>
        <v>5000</v>
      </c>
      <c r="F9" s="29">
        <f t="shared" ref="F9:N9" si="0">$C$9/$D$9</f>
        <v>5000</v>
      </c>
      <c r="G9" s="29">
        <f t="shared" si="0"/>
        <v>5000</v>
      </c>
      <c r="H9" s="29">
        <f t="shared" si="0"/>
        <v>5000</v>
      </c>
      <c r="I9" s="29">
        <f t="shared" si="0"/>
        <v>5000</v>
      </c>
      <c r="J9" s="29">
        <f t="shared" si="0"/>
        <v>5000</v>
      </c>
      <c r="K9" s="29">
        <f t="shared" si="0"/>
        <v>5000</v>
      </c>
      <c r="L9" s="29">
        <f t="shared" si="0"/>
        <v>5000</v>
      </c>
      <c r="M9" s="29">
        <f t="shared" si="0"/>
        <v>5000</v>
      </c>
      <c r="N9" s="30">
        <f t="shared" si="0"/>
        <v>5000</v>
      </c>
    </row>
    <row r="10" spans="2:25" ht="20.100000000000001" customHeight="1" x14ac:dyDescent="0.25">
      <c r="B10" s="63">
        <v>2022</v>
      </c>
      <c r="C10" s="29">
        <v>50000</v>
      </c>
      <c r="D10" s="29">
        <v>10</v>
      </c>
      <c r="E10" s="29"/>
      <c r="F10" s="29">
        <f t="shared" ref="F10:N10" si="1">$C$10/$D$10</f>
        <v>5000</v>
      </c>
      <c r="G10" s="29">
        <f t="shared" si="1"/>
        <v>5000</v>
      </c>
      <c r="H10" s="29">
        <f t="shared" si="1"/>
        <v>5000</v>
      </c>
      <c r="I10" s="29">
        <f t="shared" si="1"/>
        <v>5000</v>
      </c>
      <c r="J10" s="29">
        <f t="shared" si="1"/>
        <v>5000</v>
      </c>
      <c r="K10" s="29">
        <f t="shared" si="1"/>
        <v>5000</v>
      </c>
      <c r="L10" s="29">
        <f t="shared" si="1"/>
        <v>5000</v>
      </c>
      <c r="M10" s="29">
        <f t="shared" si="1"/>
        <v>5000</v>
      </c>
      <c r="N10" s="30">
        <f t="shared" si="1"/>
        <v>5000</v>
      </c>
    </row>
    <row r="11" spans="2:25" ht="20.100000000000001" customHeight="1" x14ac:dyDescent="0.25">
      <c r="B11" s="63">
        <v>2023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</row>
    <row r="12" spans="2:25" ht="20.100000000000001" customHeight="1" x14ac:dyDescent="0.25">
      <c r="B12" s="63">
        <v>2024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/>
    </row>
    <row r="13" spans="2:25" ht="20.100000000000001" customHeight="1" x14ac:dyDescent="0.25">
      <c r="B13" s="63">
        <v>2025</v>
      </c>
      <c r="C13" s="29">
        <v>80000</v>
      </c>
      <c r="D13" s="29">
        <v>10</v>
      </c>
      <c r="E13" s="29"/>
      <c r="F13" s="29"/>
      <c r="G13" s="29"/>
      <c r="H13" s="29"/>
      <c r="I13" s="29">
        <f t="shared" ref="F13:N13" si="2">$C$13/$D$13</f>
        <v>8000</v>
      </c>
      <c r="J13" s="29">
        <f t="shared" si="2"/>
        <v>8000</v>
      </c>
      <c r="K13" s="29">
        <f t="shared" si="2"/>
        <v>8000</v>
      </c>
      <c r="L13" s="29">
        <f t="shared" si="2"/>
        <v>8000</v>
      </c>
      <c r="M13" s="29">
        <f t="shared" si="2"/>
        <v>8000</v>
      </c>
      <c r="N13" s="30">
        <f t="shared" si="2"/>
        <v>8000</v>
      </c>
    </row>
    <row r="14" spans="2:25" ht="20.100000000000001" customHeight="1" x14ac:dyDescent="0.25">
      <c r="B14" s="63">
        <v>2026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0"/>
    </row>
    <row r="15" spans="2:25" ht="20.100000000000001" customHeight="1" x14ac:dyDescent="0.25">
      <c r="B15" s="63">
        <v>2027</v>
      </c>
      <c r="C15" s="29">
        <v>60000</v>
      </c>
      <c r="D15" s="29">
        <v>6</v>
      </c>
      <c r="E15" s="29"/>
      <c r="F15" s="29"/>
      <c r="G15" s="29"/>
      <c r="H15" s="29"/>
      <c r="I15" s="29"/>
      <c r="J15" s="29"/>
      <c r="K15" s="29">
        <f t="shared" ref="F15:N15" si="3">$C$15/$D$15</f>
        <v>10000</v>
      </c>
      <c r="L15" s="29">
        <f t="shared" si="3"/>
        <v>10000</v>
      </c>
      <c r="M15" s="29">
        <f t="shared" si="3"/>
        <v>10000</v>
      </c>
      <c r="N15" s="30">
        <f t="shared" si="3"/>
        <v>10000</v>
      </c>
    </row>
    <row r="16" spans="2:25" ht="20.100000000000001" customHeight="1" x14ac:dyDescent="0.25">
      <c r="B16" s="63">
        <v>2028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0"/>
    </row>
    <row r="17" spans="2:14" ht="20.100000000000001" customHeight="1" x14ac:dyDescent="0.25">
      <c r="B17" s="63">
        <v>2029</v>
      </c>
      <c r="C17" s="29">
        <v>150000</v>
      </c>
      <c r="D17" s="29">
        <v>10</v>
      </c>
      <c r="E17" s="29"/>
      <c r="F17" s="29"/>
      <c r="G17" s="29"/>
      <c r="H17" s="29"/>
      <c r="I17" s="29"/>
      <c r="J17" s="29"/>
      <c r="K17" s="29"/>
      <c r="L17" s="29"/>
      <c r="M17" s="29">
        <f t="shared" ref="F17:N17" si="4">$C$17/$D$17</f>
        <v>15000</v>
      </c>
      <c r="N17" s="30">
        <f t="shared" si="4"/>
        <v>15000</v>
      </c>
    </row>
    <row r="18" spans="2:14" ht="20.100000000000001" customHeight="1" x14ac:dyDescent="0.25">
      <c r="B18" s="63">
        <v>2030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0"/>
    </row>
    <row r="19" spans="2:14" x14ac:dyDescent="0.25">
      <c r="B19" s="6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8"/>
    </row>
    <row r="20" spans="2:14" x14ac:dyDescent="0.25">
      <c r="B20" s="69" t="s">
        <v>41</v>
      </c>
      <c r="C20" s="33"/>
      <c r="D20" s="33"/>
      <c r="E20" s="34">
        <f>SUM(E9:E18)</f>
        <v>5000</v>
      </c>
      <c r="F20" s="34">
        <f t="shared" ref="F20:N20" si="5">SUM(F9:F18)</f>
        <v>10000</v>
      </c>
      <c r="G20" s="34">
        <f t="shared" si="5"/>
        <v>10000</v>
      </c>
      <c r="H20" s="34">
        <f t="shared" si="5"/>
        <v>10000</v>
      </c>
      <c r="I20" s="34">
        <f t="shared" si="5"/>
        <v>18000</v>
      </c>
      <c r="J20" s="34">
        <f t="shared" si="5"/>
        <v>18000</v>
      </c>
      <c r="K20" s="34">
        <f t="shared" si="5"/>
        <v>28000</v>
      </c>
      <c r="L20" s="34">
        <f t="shared" si="5"/>
        <v>28000</v>
      </c>
      <c r="M20" s="34">
        <f t="shared" si="5"/>
        <v>43000</v>
      </c>
      <c r="N20" s="35">
        <f t="shared" si="5"/>
        <v>43000</v>
      </c>
    </row>
    <row r="21" spans="2:14" x14ac:dyDescent="0.25">
      <c r="B21" s="70" t="s">
        <v>42</v>
      </c>
      <c r="C21" s="24"/>
      <c r="D21" s="24"/>
      <c r="E21" s="24">
        <v>0</v>
      </c>
      <c r="F21" s="37">
        <f>E24</f>
        <v>95000</v>
      </c>
      <c r="G21" s="37">
        <f t="shared" ref="G21:N21" si="6">F24</f>
        <v>135000</v>
      </c>
      <c r="H21" s="37">
        <f t="shared" si="6"/>
        <v>125000</v>
      </c>
      <c r="I21" s="37">
        <f t="shared" si="6"/>
        <v>115000</v>
      </c>
      <c r="J21" s="37">
        <f t="shared" si="6"/>
        <v>177000</v>
      </c>
      <c r="K21" s="37">
        <f t="shared" si="6"/>
        <v>159000</v>
      </c>
      <c r="L21" s="37">
        <f t="shared" si="6"/>
        <v>191000</v>
      </c>
      <c r="M21" s="37">
        <f t="shared" si="6"/>
        <v>163000</v>
      </c>
      <c r="N21" s="38">
        <f t="shared" si="6"/>
        <v>270000</v>
      </c>
    </row>
    <row r="22" spans="2:14" x14ac:dyDescent="0.25">
      <c r="B22" s="68" t="s">
        <v>43</v>
      </c>
      <c r="C22" s="2"/>
      <c r="D22" s="2"/>
      <c r="E22" s="39">
        <f>VLOOKUP(E7,$B$9:$C$18,2,0)</f>
        <v>100000</v>
      </c>
      <c r="F22" s="39">
        <f t="shared" ref="F22:N22" si="7">VLOOKUP(F7,$B$9:$C$18,2,0)</f>
        <v>50000</v>
      </c>
      <c r="G22" s="39">
        <f t="shared" si="7"/>
        <v>0</v>
      </c>
      <c r="H22" s="39">
        <f t="shared" si="7"/>
        <v>0</v>
      </c>
      <c r="I22" s="39">
        <f t="shared" si="7"/>
        <v>80000</v>
      </c>
      <c r="J22" s="39">
        <f t="shared" si="7"/>
        <v>0</v>
      </c>
      <c r="K22" s="39">
        <f t="shared" si="7"/>
        <v>60000</v>
      </c>
      <c r="L22" s="39">
        <f t="shared" si="7"/>
        <v>0</v>
      </c>
      <c r="M22" s="39">
        <f t="shared" si="7"/>
        <v>150000</v>
      </c>
      <c r="N22" s="40">
        <f t="shared" si="7"/>
        <v>0</v>
      </c>
    </row>
    <row r="23" spans="2:14" x14ac:dyDescent="0.25">
      <c r="B23" s="71" t="s">
        <v>44</v>
      </c>
      <c r="C23" s="2"/>
      <c r="D23" s="2"/>
      <c r="E23" s="39">
        <f>E20</f>
        <v>5000</v>
      </c>
      <c r="F23" s="39">
        <f t="shared" ref="F23:N23" si="8">F20</f>
        <v>10000</v>
      </c>
      <c r="G23" s="39">
        <f t="shared" si="8"/>
        <v>10000</v>
      </c>
      <c r="H23" s="39">
        <f t="shared" si="8"/>
        <v>10000</v>
      </c>
      <c r="I23" s="39">
        <f t="shared" si="8"/>
        <v>18000</v>
      </c>
      <c r="J23" s="39">
        <f t="shared" si="8"/>
        <v>18000</v>
      </c>
      <c r="K23" s="39">
        <f t="shared" si="8"/>
        <v>28000</v>
      </c>
      <c r="L23" s="39">
        <f t="shared" si="8"/>
        <v>28000</v>
      </c>
      <c r="M23" s="39">
        <f t="shared" si="8"/>
        <v>43000</v>
      </c>
      <c r="N23" s="40">
        <f t="shared" si="8"/>
        <v>43000</v>
      </c>
    </row>
    <row r="24" spans="2:14" x14ac:dyDescent="0.25">
      <c r="B24" s="72" t="s">
        <v>45</v>
      </c>
      <c r="C24" s="1"/>
      <c r="D24" s="1"/>
      <c r="E24" s="31">
        <f>E21+E22-E23</f>
        <v>95000</v>
      </c>
      <c r="F24" s="31">
        <f t="shared" ref="F24:N24" si="9">F21+F22-F23</f>
        <v>135000</v>
      </c>
      <c r="G24" s="31">
        <f t="shared" si="9"/>
        <v>125000</v>
      </c>
      <c r="H24" s="31">
        <f t="shared" si="9"/>
        <v>115000</v>
      </c>
      <c r="I24" s="31">
        <f t="shared" si="9"/>
        <v>177000</v>
      </c>
      <c r="J24" s="31">
        <f t="shared" si="9"/>
        <v>159000</v>
      </c>
      <c r="K24" s="31">
        <f t="shared" si="9"/>
        <v>191000</v>
      </c>
      <c r="L24" s="31">
        <f t="shared" si="9"/>
        <v>163000</v>
      </c>
      <c r="M24" s="31">
        <f t="shared" si="9"/>
        <v>270000</v>
      </c>
      <c r="N24" s="32">
        <f t="shared" si="9"/>
        <v>227000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005D-A28D-4EEC-9638-8A2C27F1C302}">
  <dimension ref="B3:Y36"/>
  <sheetViews>
    <sheetView showGridLines="0" tabSelected="1" workbookViewId="0">
      <selection activeCell="F33" sqref="F33"/>
    </sheetView>
  </sheetViews>
  <sheetFormatPr defaultRowHeight="15" x14ac:dyDescent="0.25"/>
  <cols>
    <col min="4" max="15" width="14.7109375" customWidth="1"/>
  </cols>
  <sheetData>
    <row r="3" spans="2:25" ht="18.75" x14ac:dyDescent="0.3">
      <c r="B3" s="4" t="s">
        <v>12</v>
      </c>
      <c r="C3" s="4"/>
    </row>
    <row r="4" spans="2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6" spans="2:25" x14ac:dyDescent="0.25">
      <c r="B6" s="15" t="s">
        <v>46</v>
      </c>
    </row>
    <row r="8" spans="2:25" x14ac:dyDescent="0.25">
      <c r="B8" t="s">
        <v>47</v>
      </c>
      <c r="E8" s="41">
        <v>150000</v>
      </c>
    </row>
    <row r="9" spans="2:25" x14ac:dyDescent="0.25">
      <c r="B9" t="s">
        <v>48</v>
      </c>
      <c r="E9">
        <v>15</v>
      </c>
    </row>
    <row r="10" spans="2:25" x14ac:dyDescent="0.25">
      <c r="B10" t="s">
        <v>49</v>
      </c>
      <c r="E10" s="6">
        <v>0.08</v>
      </c>
    </row>
    <row r="11" spans="2:25" x14ac:dyDescent="0.25">
      <c r="B11" t="s">
        <v>50</v>
      </c>
      <c r="E11" s="42">
        <f>PMT(E10,E9,E8)</f>
        <v>-17524.431740403004</v>
      </c>
    </row>
    <row r="15" spans="2:25" x14ac:dyDescent="0.25">
      <c r="B15" s="23"/>
      <c r="C15" s="24"/>
      <c r="D15" s="66" t="s">
        <v>42</v>
      </c>
      <c r="E15" s="66"/>
      <c r="F15" s="66" t="s">
        <v>50</v>
      </c>
      <c r="G15" s="66"/>
      <c r="H15" s="66"/>
      <c r="I15" s="66" t="s">
        <v>51</v>
      </c>
      <c r="J15" s="66"/>
      <c r="K15" s="66"/>
      <c r="L15" s="66" t="s">
        <v>52</v>
      </c>
      <c r="M15" s="66"/>
      <c r="N15" s="67" t="s">
        <v>53</v>
      </c>
    </row>
    <row r="16" spans="2:25" x14ac:dyDescent="0.25">
      <c r="B16" s="27"/>
      <c r="C16" s="2"/>
      <c r="D16" s="2"/>
      <c r="E16" s="2"/>
      <c r="F16" s="43"/>
      <c r="G16" s="2"/>
      <c r="H16" s="2"/>
      <c r="I16" s="2"/>
      <c r="J16" s="2"/>
      <c r="K16" s="2"/>
      <c r="L16" s="2"/>
      <c r="M16" s="2"/>
      <c r="N16" s="28"/>
    </row>
    <row r="17" spans="2:14" ht="24" customHeight="1" x14ac:dyDescent="0.25">
      <c r="B17" s="63">
        <v>2021</v>
      </c>
      <c r="C17" s="2"/>
      <c r="D17" s="43">
        <f>E8</f>
        <v>150000</v>
      </c>
      <c r="E17" s="2"/>
      <c r="F17" s="43">
        <f>-$E$11</f>
        <v>17524.431740403004</v>
      </c>
      <c r="G17" s="2"/>
      <c r="H17" s="2"/>
      <c r="I17" s="43">
        <f>F17-L17</f>
        <v>5524.4317404030044</v>
      </c>
      <c r="J17" s="2"/>
      <c r="K17" s="2"/>
      <c r="L17" s="43">
        <f>D17*$E$10</f>
        <v>12000</v>
      </c>
      <c r="M17" s="2"/>
      <c r="N17" s="44">
        <f>D17-I17</f>
        <v>144475.568259597</v>
      </c>
    </row>
    <row r="18" spans="2:14" ht="24" customHeight="1" x14ac:dyDescent="0.25">
      <c r="B18" s="63">
        <v>2022</v>
      </c>
      <c r="C18" s="2"/>
      <c r="D18" s="43">
        <f>N17</f>
        <v>144475.568259597</v>
      </c>
      <c r="E18" s="2"/>
      <c r="F18" s="43">
        <f t="shared" ref="F18:F31" si="0">-$E$11</f>
        <v>17524.431740403004</v>
      </c>
      <c r="G18" s="2"/>
      <c r="H18" s="2"/>
      <c r="I18" s="43">
        <f t="shared" ref="I18:I31" si="1">F18-L18</f>
        <v>5966.3862796352441</v>
      </c>
      <c r="J18" s="2"/>
      <c r="K18" s="2"/>
      <c r="L18" s="43">
        <f t="shared" ref="L18:L31" si="2">D18*$E$10</f>
        <v>11558.04546076776</v>
      </c>
      <c r="M18" s="2"/>
      <c r="N18" s="44">
        <f t="shared" ref="N18:N36" si="3">D18-I18</f>
        <v>138509.18197996175</v>
      </c>
    </row>
    <row r="19" spans="2:14" ht="24" customHeight="1" x14ac:dyDescent="0.25">
      <c r="B19" s="63">
        <v>2023</v>
      </c>
      <c r="C19" s="2"/>
      <c r="D19" s="43">
        <f t="shared" ref="D19:D31" si="4">N18</f>
        <v>138509.18197996175</v>
      </c>
      <c r="E19" s="2"/>
      <c r="F19" s="43">
        <f t="shared" si="0"/>
        <v>17524.431740403004</v>
      </c>
      <c r="G19" s="2"/>
      <c r="H19" s="2"/>
      <c r="I19" s="43">
        <f t="shared" si="1"/>
        <v>6443.6971820060644</v>
      </c>
      <c r="J19" s="2"/>
      <c r="K19" s="2"/>
      <c r="L19" s="43">
        <f>D19*$E$10</f>
        <v>11080.73455839694</v>
      </c>
      <c r="M19" s="2"/>
      <c r="N19" s="44">
        <f t="shared" si="3"/>
        <v>132065.48479795569</v>
      </c>
    </row>
    <row r="20" spans="2:14" ht="24" customHeight="1" x14ac:dyDescent="0.25">
      <c r="B20" s="63">
        <v>2024</v>
      </c>
      <c r="C20" s="2"/>
      <c r="D20" s="43">
        <f t="shared" si="4"/>
        <v>132065.48479795569</v>
      </c>
      <c r="E20" s="2"/>
      <c r="F20" s="43">
        <f t="shared" si="0"/>
        <v>17524.431740403004</v>
      </c>
      <c r="G20" s="2"/>
      <c r="H20" s="2"/>
      <c r="I20" s="43">
        <f t="shared" si="1"/>
        <v>6959.1929565665487</v>
      </c>
      <c r="J20" s="2"/>
      <c r="K20" s="2"/>
      <c r="L20" s="43">
        <f t="shared" si="2"/>
        <v>10565.238783836456</v>
      </c>
      <c r="M20" s="2"/>
      <c r="N20" s="44">
        <f t="shared" si="3"/>
        <v>125106.29184138915</v>
      </c>
    </row>
    <row r="21" spans="2:14" ht="24" customHeight="1" x14ac:dyDescent="0.25">
      <c r="B21" s="63">
        <v>2025</v>
      </c>
      <c r="C21" s="2"/>
      <c r="D21" s="43">
        <f t="shared" si="4"/>
        <v>125106.29184138915</v>
      </c>
      <c r="E21" s="2"/>
      <c r="F21" s="43">
        <f t="shared" si="0"/>
        <v>17524.431740403004</v>
      </c>
      <c r="G21" s="2"/>
      <c r="H21" s="2"/>
      <c r="I21" s="43">
        <f t="shared" si="1"/>
        <v>7515.9283930918718</v>
      </c>
      <c r="J21" s="2"/>
      <c r="K21" s="2"/>
      <c r="L21" s="43">
        <f t="shared" si="2"/>
        <v>10008.503347311133</v>
      </c>
      <c r="M21" s="2"/>
      <c r="N21" s="44">
        <f t="shared" si="3"/>
        <v>117590.36344829727</v>
      </c>
    </row>
    <row r="22" spans="2:14" ht="24" customHeight="1" x14ac:dyDescent="0.25">
      <c r="B22" s="63">
        <v>2026</v>
      </c>
      <c r="C22" s="2"/>
      <c r="D22" s="43">
        <f t="shared" si="4"/>
        <v>117590.36344829727</v>
      </c>
      <c r="E22" s="2"/>
      <c r="F22" s="43">
        <f t="shared" si="0"/>
        <v>17524.431740403004</v>
      </c>
      <c r="G22" s="2"/>
      <c r="H22" s="2"/>
      <c r="I22" s="43">
        <f t="shared" si="1"/>
        <v>8117.2026645392234</v>
      </c>
      <c r="J22" s="2"/>
      <c r="K22" s="2"/>
      <c r="L22" s="43">
        <f t="shared" si="2"/>
        <v>9407.229075863781</v>
      </c>
      <c r="M22" s="2"/>
      <c r="N22" s="44">
        <f t="shared" si="3"/>
        <v>109473.16078375805</v>
      </c>
    </row>
    <row r="23" spans="2:14" ht="24" customHeight="1" x14ac:dyDescent="0.25">
      <c r="B23" s="63">
        <v>2027</v>
      </c>
      <c r="C23" s="2"/>
      <c r="D23" s="43">
        <f t="shared" si="4"/>
        <v>109473.16078375805</v>
      </c>
      <c r="E23" s="2"/>
      <c r="F23" s="43">
        <f t="shared" si="0"/>
        <v>17524.431740403004</v>
      </c>
      <c r="G23" s="2"/>
      <c r="H23" s="2"/>
      <c r="I23" s="43">
        <f t="shared" si="1"/>
        <v>8766.5788777023608</v>
      </c>
      <c r="J23" s="2"/>
      <c r="K23" s="2"/>
      <c r="L23" s="43">
        <f t="shared" si="2"/>
        <v>8757.8528627006435</v>
      </c>
      <c r="M23" s="2"/>
      <c r="N23" s="44">
        <f t="shared" si="3"/>
        <v>100706.5819060557</v>
      </c>
    </row>
    <row r="24" spans="2:14" ht="24" customHeight="1" x14ac:dyDescent="0.25">
      <c r="B24" s="63">
        <v>2028</v>
      </c>
      <c r="C24" s="2"/>
      <c r="D24" s="43">
        <f t="shared" si="4"/>
        <v>100706.5819060557</v>
      </c>
      <c r="E24" s="2"/>
      <c r="F24" s="43">
        <f t="shared" si="0"/>
        <v>17524.431740403004</v>
      </c>
      <c r="G24" s="2"/>
      <c r="H24" s="2"/>
      <c r="I24" s="43">
        <f t="shared" si="1"/>
        <v>9467.9051879185481</v>
      </c>
      <c r="J24" s="2"/>
      <c r="K24" s="2"/>
      <c r="L24" s="43">
        <f t="shared" si="2"/>
        <v>8056.5265524844563</v>
      </c>
      <c r="M24" s="2"/>
      <c r="N24" s="44">
        <f t="shared" si="3"/>
        <v>91238.676718137154</v>
      </c>
    </row>
    <row r="25" spans="2:14" ht="24" customHeight="1" x14ac:dyDescent="0.25">
      <c r="B25" s="63">
        <v>2029</v>
      </c>
      <c r="C25" s="2"/>
      <c r="D25" s="43">
        <f t="shared" si="4"/>
        <v>91238.676718137154</v>
      </c>
      <c r="E25" s="2"/>
      <c r="F25" s="43">
        <f t="shared" si="0"/>
        <v>17524.431740403004</v>
      </c>
      <c r="G25" s="2"/>
      <c r="H25" s="2"/>
      <c r="I25" s="43">
        <f t="shared" si="1"/>
        <v>10225.337602952033</v>
      </c>
      <c r="J25" s="2"/>
      <c r="K25" s="2"/>
      <c r="L25" s="43">
        <f t="shared" si="2"/>
        <v>7299.0941374509721</v>
      </c>
      <c r="M25" s="2"/>
      <c r="N25" s="44">
        <f t="shared" si="3"/>
        <v>81013.339115185125</v>
      </c>
    </row>
    <row r="26" spans="2:14" ht="24" customHeight="1" x14ac:dyDescent="0.25">
      <c r="B26" s="64">
        <v>2030</v>
      </c>
      <c r="C26" s="1"/>
      <c r="D26" s="45">
        <f t="shared" si="4"/>
        <v>81013.339115185125</v>
      </c>
      <c r="E26" s="1"/>
      <c r="F26" s="45">
        <f t="shared" si="0"/>
        <v>17524.431740403004</v>
      </c>
      <c r="G26" s="1"/>
      <c r="H26" s="1"/>
      <c r="I26" s="45">
        <f t="shared" si="1"/>
        <v>11043.364611188194</v>
      </c>
      <c r="J26" s="1"/>
      <c r="K26" s="1"/>
      <c r="L26" s="45">
        <f t="shared" si="2"/>
        <v>6481.0671292148099</v>
      </c>
      <c r="M26" s="1"/>
      <c r="N26" s="46">
        <f t="shared" si="3"/>
        <v>69969.974503996928</v>
      </c>
    </row>
    <row r="27" spans="2:14" ht="24" customHeight="1" x14ac:dyDescent="0.25">
      <c r="B27" s="65">
        <v>2031</v>
      </c>
      <c r="C27" s="24"/>
      <c r="D27" s="47">
        <f t="shared" si="4"/>
        <v>69969.974503996928</v>
      </c>
      <c r="E27" s="24"/>
      <c r="F27" s="47">
        <f t="shared" si="0"/>
        <v>17524.431740403004</v>
      </c>
      <c r="G27" s="24"/>
      <c r="H27" s="24"/>
      <c r="I27" s="47">
        <f t="shared" si="1"/>
        <v>11926.833780083249</v>
      </c>
      <c r="J27" s="24"/>
      <c r="K27" s="24"/>
      <c r="L27" s="47">
        <f t="shared" si="2"/>
        <v>5597.5979603197547</v>
      </c>
      <c r="M27" s="24"/>
      <c r="N27" s="48">
        <f t="shared" si="3"/>
        <v>58043.140723913675</v>
      </c>
    </row>
    <row r="28" spans="2:14" ht="24" customHeight="1" x14ac:dyDescent="0.25">
      <c r="B28" s="63">
        <v>2032</v>
      </c>
      <c r="C28" s="2"/>
      <c r="D28" s="43">
        <f t="shared" si="4"/>
        <v>58043.140723913675</v>
      </c>
      <c r="E28" s="2"/>
      <c r="F28" s="43">
        <f t="shared" si="0"/>
        <v>17524.431740403004</v>
      </c>
      <c r="G28" s="2"/>
      <c r="H28" s="2"/>
      <c r="I28" s="43">
        <f t="shared" si="1"/>
        <v>12880.980482489911</v>
      </c>
      <c r="J28" s="2"/>
      <c r="K28" s="2"/>
      <c r="L28" s="43">
        <f t="shared" si="2"/>
        <v>4643.4512579130942</v>
      </c>
      <c r="M28" s="2"/>
      <c r="N28" s="44">
        <f t="shared" si="3"/>
        <v>45162.160241423764</v>
      </c>
    </row>
    <row r="29" spans="2:14" ht="24" customHeight="1" x14ac:dyDescent="0.25">
      <c r="B29" s="63">
        <v>2033</v>
      </c>
      <c r="C29" s="2"/>
      <c r="D29" s="43">
        <f t="shared" si="4"/>
        <v>45162.160241423764</v>
      </c>
      <c r="E29" s="2"/>
      <c r="F29" s="43">
        <f t="shared" si="0"/>
        <v>17524.431740403004</v>
      </c>
      <c r="G29" s="2"/>
      <c r="H29" s="2"/>
      <c r="I29" s="43">
        <f t="shared" si="1"/>
        <v>13911.458921089103</v>
      </c>
      <c r="J29" s="2"/>
      <c r="K29" s="2"/>
      <c r="L29" s="43">
        <f t="shared" si="2"/>
        <v>3612.9728193139013</v>
      </c>
      <c r="M29" s="2"/>
      <c r="N29" s="44">
        <f t="shared" si="3"/>
        <v>31250.701320334661</v>
      </c>
    </row>
    <row r="30" spans="2:14" ht="24" customHeight="1" x14ac:dyDescent="0.25">
      <c r="B30" s="63">
        <v>2034</v>
      </c>
      <c r="C30" s="2"/>
      <c r="D30" s="43">
        <f t="shared" si="4"/>
        <v>31250.701320334661</v>
      </c>
      <c r="E30" s="2"/>
      <c r="F30" s="43">
        <f t="shared" si="0"/>
        <v>17524.431740403004</v>
      </c>
      <c r="G30" s="2"/>
      <c r="H30" s="2"/>
      <c r="I30" s="43">
        <f t="shared" si="1"/>
        <v>15024.375634776232</v>
      </c>
      <c r="J30" s="2"/>
      <c r="K30" s="2"/>
      <c r="L30" s="43">
        <f t="shared" si="2"/>
        <v>2500.0561056267729</v>
      </c>
      <c r="M30" s="2"/>
      <c r="N30" s="44">
        <f t="shared" si="3"/>
        <v>16226.32568555843</v>
      </c>
    </row>
    <row r="31" spans="2:14" ht="24" customHeight="1" x14ac:dyDescent="0.25">
      <c r="B31" s="63">
        <v>2035</v>
      </c>
      <c r="C31" s="2"/>
      <c r="D31" s="43">
        <f t="shared" si="4"/>
        <v>16226.32568555843</v>
      </c>
      <c r="E31" s="2"/>
      <c r="F31" s="43">
        <f t="shared" si="0"/>
        <v>17524.431740403004</v>
      </c>
      <c r="G31" s="2"/>
      <c r="H31" s="2"/>
      <c r="I31" s="43">
        <f t="shared" si="1"/>
        <v>16226.325685558329</v>
      </c>
      <c r="J31" s="2"/>
      <c r="K31" s="2"/>
      <c r="L31" s="43">
        <f t="shared" si="2"/>
        <v>1298.1060548446744</v>
      </c>
      <c r="M31" s="2"/>
      <c r="N31" s="44">
        <f t="shared" si="3"/>
        <v>1.0004441719502211E-10</v>
      </c>
    </row>
    <row r="32" spans="2:14" x14ac:dyDescent="0.25">
      <c r="B32" s="4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47"/>
    </row>
    <row r="33" spans="2:14" x14ac:dyDescent="0.25">
      <c r="B33" s="5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43"/>
    </row>
    <row r="34" spans="2:14" x14ac:dyDescent="0.25">
      <c r="B34" s="5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43"/>
    </row>
    <row r="35" spans="2:14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3"/>
    </row>
    <row r="36" spans="2:14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Statement of Cash Flows</vt:lpstr>
      <vt:lpstr>Assset Schedule</vt:lpstr>
      <vt:lpstr>Loan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2023-05-10T18:28:33Z</dcterms:created>
  <dcterms:modified xsi:type="dcterms:W3CDTF">2023-05-10T21:10:10Z</dcterms:modified>
</cp:coreProperties>
</file>