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Columbia Sportswear\"/>
    </mc:Choice>
  </mc:AlternateContent>
  <xr:revisionPtr revIDLastSave="0" documentId="13_ncr:1_{0F3BCF7D-2041-4060-B5BE-E0894FEFA664}" xr6:coauthVersionLast="47" xr6:coauthVersionMax="47" xr10:uidLastSave="{00000000-0000-0000-0000-000000000000}"/>
  <bookViews>
    <workbookView xWindow="-120" yWindow="-120" windowWidth="29040" windowHeight="15840" xr2:uid="{03E0676E-D01D-4964-BB01-7F480803F9C7}"/>
  </bookViews>
  <sheets>
    <sheet name="Relative Valua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G17" i="1"/>
  <c r="N17" i="1" s="1"/>
  <c r="G16" i="1"/>
  <c r="N16" i="1" s="1"/>
  <c r="G15" i="1"/>
  <c r="O15" i="1" s="1"/>
  <c r="I14" i="1"/>
  <c r="I15" i="1"/>
  <c r="I16" i="1"/>
  <c r="I17" i="1"/>
  <c r="G14" i="1"/>
  <c r="O14" i="1" s="1"/>
  <c r="I13" i="1"/>
  <c r="I11" i="1"/>
  <c r="P13" i="1"/>
  <c r="P14" i="1"/>
  <c r="P17" i="1"/>
  <c r="G13" i="1"/>
  <c r="O13" i="1" s="1"/>
  <c r="P11" i="1"/>
  <c r="G11" i="1"/>
  <c r="O11" i="1" s="1"/>
  <c r="P20" i="1" l="1"/>
  <c r="I27" i="1" s="1"/>
  <c r="M27" i="1" s="1"/>
  <c r="P23" i="1"/>
  <c r="I30" i="1" s="1"/>
  <c r="M30" i="1" s="1"/>
  <c r="P21" i="1"/>
  <c r="I28" i="1" s="1"/>
  <c r="M28" i="1" s="1"/>
  <c r="N11" i="1"/>
  <c r="O17" i="1"/>
  <c r="P22" i="1"/>
  <c r="I29" i="1" s="1"/>
  <c r="M29" i="1" s="1"/>
  <c r="N13" i="1"/>
  <c r="O16" i="1"/>
  <c r="N15" i="1"/>
  <c r="N14" i="1"/>
  <c r="O20" i="1" l="1"/>
  <c r="G27" i="1" s="1"/>
  <c r="L27" i="1" s="1"/>
  <c r="N20" i="1"/>
  <c r="E27" i="1" s="1"/>
  <c r="K27" i="1" s="1"/>
  <c r="N23" i="1"/>
  <c r="E30" i="1" s="1"/>
  <c r="K30" i="1" s="1"/>
  <c r="O23" i="1"/>
  <c r="G30" i="1" s="1"/>
  <c r="L30" i="1" s="1"/>
  <c r="O22" i="1"/>
  <c r="G29" i="1" s="1"/>
  <c r="L29" i="1" s="1"/>
  <c r="N21" i="1"/>
  <c r="E28" i="1" s="1"/>
  <c r="K28" i="1" s="1"/>
  <c r="N22" i="1"/>
  <c r="E29" i="1" s="1"/>
  <c r="K29" i="1" s="1"/>
  <c r="O21" i="1"/>
  <c r="G28" i="1" s="1"/>
  <c r="L28" i="1" s="1"/>
</calcChain>
</file>

<file path=xl/sharedStrings.xml><?xml version="1.0" encoding="utf-8"?>
<sst xmlns="http://schemas.openxmlformats.org/spreadsheetml/2006/main" count="50" uniqueCount="39">
  <si>
    <t>Comparable Company Analysis</t>
  </si>
  <si>
    <t>Columbia Sportswear</t>
  </si>
  <si>
    <t>Company</t>
  </si>
  <si>
    <t>Ticker</t>
  </si>
  <si>
    <t>Share Price</t>
  </si>
  <si>
    <t>Shares Outstanding</t>
  </si>
  <si>
    <t>Equity Value</t>
  </si>
  <si>
    <t>Enterprise Value</t>
  </si>
  <si>
    <t>Market Data</t>
  </si>
  <si>
    <t>Revenue</t>
  </si>
  <si>
    <t>EBITDA</t>
  </si>
  <si>
    <t>Net Income</t>
  </si>
  <si>
    <t>EV/Revenue</t>
  </si>
  <si>
    <t>EV/EBITDA</t>
  </si>
  <si>
    <t>P/E</t>
  </si>
  <si>
    <t>Valuation</t>
  </si>
  <si>
    <t>Crocs Inc</t>
  </si>
  <si>
    <t>Under Armours Inc</t>
  </si>
  <si>
    <t>Wolverine Worlwide Inc</t>
  </si>
  <si>
    <t>NIKE Inc</t>
  </si>
  <si>
    <t>COLM</t>
  </si>
  <si>
    <t>CROX</t>
  </si>
  <si>
    <t>UA</t>
  </si>
  <si>
    <t>Lululemon Athletica</t>
  </si>
  <si>
    <t>LULU</t>
  </si>
  <si>
    <t>WWW</t>
  </si>
  <si>
    <t>NKE</t>
  </si>
  <si>
    <t xml:space="preserve">Enterprise Value </t>
  </si>
  <si>
    <t>Market Cap</t>
  </si>
  <si>
    <t>Median</t>
  </si>
  <si>
    <t>Calcaluting Implied Share Price</t>
  </si>
  <si>
    <t>Minimum</t>
  </si>
  <si>
    <t>Mean</t>
  </si>
  <si>
    <t>Maximum</t>
  </si>
  <si>
    <t>EPS</t>
  </si>
  <si>
    <t>Cash</t>
  </si>
  <si>
    <t>Debt</t>
  </si>
  <si>
    <t>Shares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</si>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</sst>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0" xfId="0" applyFont="1" applyFill="1"/>
    <xf numFmtId="3" fontId="4" fillId="0" borderId="0" xfId="0" applyNumberFormat="1" applyFont="1"/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6" fillId="4" borderId="0" xfId="0" applyFont="1" applyFill="1"/>
    <xf numFmtId="0" fontId="5" fillId="4" borderId="0" xfId="0" applyFont="1" applyFill="1"/>
    <xf numFmtId="39" fontId="4" fillId="0" borderId="0" xfId="0" applyNumberFormat="1" applyFont="1"/>
    <xf numFmtId="0" fontId="7" fillId="0" borderId="0" xfId="0" applyFont="1"/>
    <xf numFmtId="0" fontId="0" fillId="4" borderId="0" xfId="0" applyFill="1"/>
    <xf numFmtId="0" fontId="0" fillId="4" borderId="2" xfId="0" applyFill="1" applyBorder="1" applyAlignment="1">
      <alignment horizontal="centerContinuous"/>
    </xf>
    <xf numFmtId="0" fontId="5" fillId="4" borderId="2" xfId="0" applyFont="1" applyFill="1" applyBorder="1" applyAlignment="1">
      <alignment horizontal="centerContinuous"/>
    </xf>
    <xf numFmtId="0" fontId="2" fillId="4" borderId="2" xfId="0" applyFont="1" applyFill="1" applyBorder="1" applyAlignment="1">
      <alignment horizontal="centerContinuous"/>
    </xf>
    <xf numFmtId="0" fontId="7" fillId="3" borderId="0" xfId="0" applyFont="1" applyFill="1"/>
    <xf numFmtId="39" fontId="7" fillId="3" borderId="0" xfId="0" applyNumberFormat="1" applyFont="1" applyFill="1"/>
    <xf numFmtId="43" fontId="4" fillId="0" borderId="0" xfId="1" applyFont="1"/>
    <xf numFmtId="175" fontId="4" fillId="0" borderId="0" xfId="1" applyNumberFormat="1" applyFont="1"/>
    <xf numFmtId="0" fontId="2" fillId="4" borderId="0" xfId="0" applyFont="1" applyFill="1" applyBorder="1" applyAlignment="1">
      <alignment horizontal="centerContinuous"/>
    </xf>
    <xf numFmtId="0" fontId="0" fillId="3" borderId="0" xfId="0" applyFill="1" applyBorder="1"/>
    <xf numFmtId="0" fontId="5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39EB-BA8A-43F6-9662-501DDC5030E4}">
  <dimension ref="B3:P30"/>
  <sheetViews>
    <sheetView showGridLines="0" tabSelected="1" topLeftCell="A7" zoomScale="90" zoomScaleNormal="90" workbookViewId="0">
      <selection activeCell="N33" sqref="N33"/>
    </sheetView>
  </sheetViews>
  <sheetFormatPr defaultRowHeight="15" x14ac:dyDescent="0.25"/>
  <cols>
    <col min="2" max="2" width="30.42578125" customWidth="1"/>
    <col min="3" max="3" width="18.140625" customWidth="1"/>
    <col min="4" max="4" width="14.140625" bestFit="1" customWidth="1"/>
    <col min="5" max="5" width="23.85546875" bestFit="1" customWidth="1"/>
    <col min="6" max="6" width="4" customWidth="1"/>
    <col min="7" max="7" width="23" customWidth="1"/>
    <col min="8" max="8" width="3" customWidth="1"/>
    <col min="9" max="9" width="17.42578125" customWidth="1"/>
    <col min="10" max="10" width="17.5703125" customWidth="1"/>
    <col min="11" max="11" width="14.28515625" bestFit="1" customWidth="1"/>
    <col min="12" max="12" width="14.5703125" bestFit="1" customWidth="1"/>
    <col min="13" max="13" width="11.140625" customWidth="1"/>
    <col min="14" max="14" width="16.42578125" customWidth="1"/>
    <col min="15" max="16" width="16.42578125" bestFit="1" customWidth="1"/>
  </cols>
  <sheetData>
    <row r="3" spans="2:16" ht="23.25" x14ac:dyDescent="0.35">
      <c r="B3" s="1" t="s">
        <v>0</v>
      </c>
    </row>
    <row r="4" spans="2:16" ht="23.25" x14ac:dyDescent="0.35">
      <c r="B4" s="1" t="s">
        <v>1</v>
      </c>
    </row>
    <row r="6" spans="2:16" ht="18.75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 ht="18.75" x14ac:dyDescent="0.3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5" t="s">
        <v>15</v>
      </c>
      <c r="O7" s="5"/>
      <c r="P7" s="5"/>
    </row>
    <row r="8" spans="2:16" ht="18.75" x14ac:dyDescent="0.3"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</row>
    <row r="9" spans="2:16" ht="18.75" x14ac:dyDescent="0.3">
      <c r="B9" s="6" t="s">
        <v>2</v>
      </c>
      <c r="C9" s="6" t="s">
        <v>3</v>
      </c>
      <c r="D9" s="6" t="s">
        <v>4</v>
      </c>
      <c r="E9" s="6" t="s">
        <v>5</v>
      </c>
      <c r="F9" s="6"/>
      <c r="G9" s="6" t="s">
        <v>27</v>
      </c>
      <c r="H9" s="6"/>
      <c r="I9" s="6" t="s">
        <v>28</v>
      </c>
      <c r="J9" s="8" t="s">
        <v>9</v>
      </c>
      <c r="K9" s="8" t="s">
        <v>10</v>
      </c>
      <c r="L9" s="8" t="s">
        <v>11</v>
      </c>
      <c r="M9" s="8"/>
      <c r="N9" s="8" t="s">
        <v>12</v>
      </c>
      <c r="O9" s="8" t="s">
        <v>13</v>
      </c>
      <c r="P9" s="8" t="s">
        <v>14</v>
      </c>
    </row>
    <row r="11" spans="2:16" ht="18.75" x14ac:dyDescent="0.3">
      <c r="B11" s="2" t="s">
        <v>1</v>
      </c>
      <c r="C11" s="2" t="s">
        <v>20</v>
      </c>
      <c r="D11" s="3">
        <v>80.59</v>
      </c>
      <c r="E11" s="7">
        <v>62754</v>
      </c>
      <c r="F11" s="7"/>
      <c r="G11" s="7">
        <f>5.13*10^6</f>
        <v>5130000</v>
      </c>
      <c r="H11" s="7"/>
      <c r="I11" s="7">
        <f>D11*E11</f>
        <v>5057344.8600000003</v>
      </c>
      <c r="J11" s="7">
        <v>3126402</v>
      </c>
      <c r="K11" s="7">
        <v>581703</v>
      </c>
      <c r="L11" s="7">
        <v>311440</v>
      </c>
      <c r="M11" s="2"/>
      <c r="N11" s="14">
        <f>G11/J11</f>
        <v>1.6408638428455458</v>
      </c>
      <c r="O11" s="14">
        <f>G11/K11</f>
        <v>8.8189333732162289</v>
      </c>
      <c r="P11" s="14">
        <f>D11/(L11/E11)</f>
        <v>16.238584831749293</v>
      </c>
    </row>
    <row r="12" spans="2:16" ht="8.25" customHeight="1" x14ac:dyDescent="0.3">
      <c r="B12" s="2"/>
      <c r="C12" s="2"/>
      <c r="D12" s="3"/>
      <c r="E12" s="7"/>
      <c r="F12" s="7"/>
      <c r="G12" s="7"/>
      <c r="H12" s="7"/>
      <c r="I12" s="7"/>
      <c r="J12" s="7"/>
      <c r="K12" s="7"/>
      <c r="L12" s="7"/>
      <c r="M12" s="2"/>
      <c r="N12" s="14"/>
      <c r="O12" s="14"/>
      <c r="P12" s="14"/>
    </row>
    <row r="13" spans="2:16" ht="18.75" x14ac:dyDescent="0.3">
      <c r="B13" s="2" t="s">
        <v>16</v>
      </c>
      <c r="C13" s="2" t="s">
        <v>21</v>
      </c>
      <c r="D13" s="3">
        <v>116.91</v>
      </c>
      <c r="E13" s="7">
        <v>61220</v>
      </c>
      <c r="F13" s="3"/>
      <c r="G13" s="7">
        <f>10.09*10^6</f>
        <v>10090000</v>
      </c>
      <c r="H13" s="7"/>
      <c r="I13" s="7">
        <f>D13*E13</f>
        <v>7157230.2000000002</v>
      </c>
      <c r="J13" s="7">
        <v>3554985</v>
      </c>
      <c r="K13" s="7">
        <v>890667</v>
      </c>
      <c r="L13" s="7">
        <v>540159</v>
      </c>
      <c r="M13" s="2"/>
      <c r="N13" s="14">
        <f t="shared" ref="N13:N17" si="0">G13/J13</f>
        <v>2.8382679533106328</v>
      </c>
      <c r="O13" s="14">
        <f t="shared" ref="O13:O17" si="1">G13/K13</f>
        <v>11.328588574630025</v>
      </c>
      <c r="P13" s="14">
        <f>D13/(L13/E13)</f>
        <v>13.250228543817654</v>
      </c>
    </row>
    <row r="14" spans="2:16" ht="18.75" x14ac:dyDescent="0.3">
      <c r="B14" s="2" t="s">
        <v>17</v>
      </c>
      <c r="C14" s="2" t="s">
        <v>22</v>
      </c>
      <c r="D14" s="3">
        <v>7.41</v>
      </c>
      <c r="E14" s="7">
        <v>465504</v>
      </c>
      <c r="F14" s="7"/>
      <c r="G14" s="7">
        <f>4.55*10^6</f>
        <v>4550000</v>
      </c>
      <c r="H14" s="7"/>
      <c r="I14" s="7">
        <f t="shared" ref="I14:I17" si="2">D14*E14</f>
        <v>3449384.64</v>
      </c>
      <c r="J14" s="7">
        <v>5683466</v>
      </c>
      <c r="K14" s="7">
        <v>708470</v>
      </c>
      <c r="L14" s="7">
        <v>360060</v>
      </c>
      <c r="M14" s="2"/>
      <c r="N14" s="14">
        <f t="shared" si="0"/>
        <v>0.80056782252238334</v>
      </c>
      <c r="O14" s="14">
        <f t="shared" si="1"/>
        <v>6.4222902875209957</v>
      </c>
      <c r="P14" s="14">
        <f>D14/(L14/E14)</f>
        <v>9.5800273287785362</v>
      </c>
    </row>
    <row r="15" spans="2:16" ht="18.75" x14ac:dyDescent="0.3">
      <c r="B15" s="2" t="s">
        <v>23</v>
      </c>
      <c r="C15" s="2" t="s">
        <v>24</v>
      </c>
      <c r="D15" s="3">
        <v>381.44</v>
      </c>
      <c r="E15" s="7">
        <v>129768</v>
      </c>
      <c r="F15" s="3"/>
      <c r="G15" s="7">
        <f>48.53*10^6</f>
        <v>48530000</v>
      </c>
      <c r="H15" s="7"/>
      <c r="I15" s="7">
        <f t="shared" si="2"/>
        <v>49498705.920000002</v>
      </c>
      <c r="J15" s="7">
        <v>8110518</v>
      </c>
      <c r="K15" s="7">
        <v>2132626</v>
      </c>
      <c r="L15" s="7">
        <v>854800</v>
      </c>
      <c r="M15" s="2"/>
      <c r="N15" s="14">
        <f t="shared" si="0"/>
        <v>5.9835882245745582</v>
      </c>
      <c r="O15" s="14">
        <f t="shared" si="1"/>
        <v>22.755982530457754</v>
      </c>
      <c r="P15" s="14"/>
    </row>
    <row r="16" spans="2:16" ht="18.75" x14ac:dyDescent="0.3">
      <c r="B16" s="2" t="s">
        <v>18</v>
      </c>
      <c r="C16" s="2" t="s">
        <v>25</v>
      </c>
      <c r="D16" s="3">
        <v>15.1</v>
      </c>
      <c r="E16" s="7">
        <v>78789</v>
      </c>
      <c r="F16" s="3"/>
      <c r="G16" s="7">
        <f>2.45*10^6</f>
        <v>2450000</v>
      </c>
      <c r="H16" s="7"/>
      <c r="I16" s="7">
        <f t="shared" si="2"/>
        <v>1189713.8999999999</v>
      </c>
      <c r="J16" s="7">
        <v>2684800</v>
      </c>
      <c r="K16" s="7">
        <v>167700</v>
      </c>
      <c r="L16" s="7">
        <v>-188300</v>
      </c>
      <c r="M16" s="2"/>
      <c r="N16" s="14">
        <f t="shared" si="0"/>
        <v>0.91254469606674615</v>
      </c>
      <c r="O16" s="14">
        <f t="shared" si="1"/>
        <v>14.609421586165773</v>
      </c>
      <c r="P16" s="14"/>
    </row>
    <row r="17" spans="2:16" ht="18.75" x14ac:dyDescent="0.3">
      <c r="B17" s="2" t="s">
        <v>19</v>
      </c>
      <c r="C17" s="2" t="s">
        <v>26</v>
      </c>
      <c r="D17" s="3">
        <v>125.1</v>
      </c>
      <c r="E17" s="7">
        <v>1578800</v>
      </c>
      <c r="F17" s="3"/>
      <c r="G17" s="7">
        <f>194.96*10^6</f>
        <v>194960000</v>
      </c>
      <c r="H17" s="7"/>
      <c r="I17" s="7">
        <f t="shared" si="2"/>
        <v>197507880</v>
      </c>
      <c r="J17" s="7">
        <v>46710000</v>
      </c>
      <c r="K17" s="7">
        <v>6675000</v>
      </c>
      <c r="L17" s="7">
        <v>6046000</v>
      </c>
      <c r="M17" s="2"/>
      <c r="N17" s="14">
        <f t="shared" si="0"/>
        <v>4.1738385784628562</v>
      </c>
      <c r="O17" s="14">
        <f t="shared" si="1"/>
        <v>29.207490636704119</v>
      </c>
      <c r="P17" s="14">
        <f>D17/(L17/E17)</f>
        <v>32.667528944756867</v>
      </c>
    </row>
    <row r="20" spans="2:16" ht="18.75" x14ac:dyDescent="0.3">
      <c r="B20" s="20" t="s">
        <v>31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1">
        <f>MIN(N13:N17)</f>
        <v>0.80056782252238334</v>
      </c>
      <c r="O20" s="21">
        <f t="shared" ref="O20:P20" si="3">MIN(O13:O17)</f>
        <v>6.4222902875209957</v>
      </c>
      <c r="P20" s="21">
        <f t="shared" si="3"/>
        <v>9.5800273287785362</v>
      </c>
    </row>
    <row r="21" spans="2:16" ht="18.75" x14ac:dyDescent="0.3">
      <c r="B21" s="20" t="s">
        <v>32</v>
      </c>
      <c r="C21" s="10"/>
      <c r="D21" s="10"/>
      <c r="E21" s="10"/>
      <c r="F21" s="10"/>
      <c r="G21" s="11"/>
      <c r="H21" s="25"/>
      <c r="I21" s="10"/>
      <c r="J21" s="10"/>
      <c r="K21" s="10"/>
      <c r="L21" s="10"/>
      <c r="M21" s="10"/>
      <c r="N21" s="21">
        <f>AVERAGE(N13:N17)</f>
        <v>2.9417614549874349</v>
      </c>
      <c r="O21" s="21">
        <f t="shared" ref="O21:P21" si="4">AVERAGE(O13:O17)</f>
        <v>16.864754723095732</v>
      </c>
      <c r="P21" s="21">
        <f t="shared" si="4"/>
        <v>18.499261605784351</v>
      </c>
    </row>
    <row r="22" spans="2:16" ht="18.75" x14ac:dyDescent="0.3">
      <c r="B22" s="20" t="s">
        <v>29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21">
        <f>MEDIAN(N13:N17)</f>
        <v>2.8382679533106328</v>
      </c>
      <c r="O22" s="21">
        <f t="shared" ref="O22:P22" si="5">MEDIAN(O13:O17)</f>
        <v>14.609421586165773</v>
      </c>
      <c r="P22" s="21">
        <f t="shared" si="5"/>
        <v>13.250228543817654</v>
      </c>
    </row>
    <row r="23" spans="2:16" ht="18.75" x14ac:dyDescent="0.3">
      <c r="B23" s="20" t="s">
        <v>33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1">
        <f>MAX(N13:N17)</f>
        <v>5.9835882245745582</v>
      </c>
      <c r="O23" s="21">
        <f t="shared" ref="O23:P23" si="6">MAX(O13:O17)</f>
        <v>29.207490636704119</v>
      </c>
      <c r="P23" s="21">
        <f t="shared" si="6"/>
        <v>32.667528944756867</v>
      </c>
    </row>
    <row r="25" spans="2:16" ht="18.75" x14ac:dyDescent="0.3">
      <c r="B25" s="13" t="s">
        <v>30</v>
      </c>
      <c r="C25" s="16"/>
      <c r="D25" s="16"/>
      <c r="E25" s="18" t="s">
        <v>7</v>
      </c>
      <c r="F25" s="19"/>
      <c r="G25" s="19"/>
      <c r="H25" s="24"/>
      <c r="I25" s="18" t="s">
        <v>6</v>
      </c>
      <c r="J25" s="16"/>
      <c r="K25" s="18" t="s">
        <v>38</v>
      </c>
      <c r="L25" s="17"/>
      <c r="M25" s="17"/>
      <c r="N25" s="16"/>
      <c r="O25" s="16"/>
      <c r="P25" s="16"/>
    </row>
    <row r="26" spans="2:16" ht="18.75" x14ac:dyDescent="0.3">
      <c r="B26" s="13"/>
      <c r="C26" s="12"/>
      <c r="D26" s="12"/>
      <c r="E26" s="13" t="s">
        <v>9</v>
      </c>
      <c r="F26" s="13"/>
      <c r="G26" s="13" t="s">
        <v>10</v>
      </c>
      <c r="H26" s="13"/>
      <c r="I26" s="26" t="s">
        <v>11</v>
      </c>
      <c r="J26" s="12"/>
      <c r="K26" s="13" t="s">
        <v>9</v>
      </c>
      <c r="L26" s="13" t="s">
        <v>10</v>
      </c>
      <c r="M26" s="13" t="s">
        <v>11</v>
      </c>
      <c r="N26" s="13"/>
      <c r="O26" s="12"/>
      <c r="P26" s="12"/>
    </row>
    <row r="27" spans="2:16" ht="18.75" x14ac:dyDescent="0.3">
      <c r="B27" s="15" t="s">
        <v>35</v>
      </c>
      <c r="C27" s="23">
        <v>430963</v>
      </c>
      <c r="D27" s="15" t="s">
        <v>31</v>
      </c>
      <c r="E27" s="23">
        <f>N20*$J$11</f>
        <v>2502896.8414696245</v>
      </c>
      <c r="F27" s="23"/>
      <c r="G27" s="23">
        <f>O20*$K$11</f>
        <v>3735865.5271218256</v>
      </c>
      <c r="H27" s="23"/>
      <c r="I27" s="23">
        <f>P20*$C$30*$E$11</f>
        <v>2983603.7112747878</v>
      </c>
      <c r="K27" s="22">
        <f>(E27-$C$28+$C$27)/$C$29</f>
        <v>46.751758317710816</v>
      </c>
      <c r="L27" s="22">
        <f>(G27-$C$28+$C$27)/$C$29</f>
        <v>66.399409234818904</v>
      </c>
      <c r="M27" s="22">
        <f>I27/$E$11</f>
        <v>47.544438781189847</v>
      </c>
    </row>
    <row r="28" spans="2:16" ht="18.75" x14ac:dyDescent="0.3">
      <c r="B28" s="15" t="s">
        <v>36</v>
      </c>
      <c r="C28" s="22">
        <v>0</v>
      </c>
      <c r="D28" s="15" t="s">
        <v>32</v>
      </c>
      <c r="E28" s="23">
        <f>N21*$J$11</f>
        <v>9197128.8963956255</v>
      </c>
      <c r="F28" s="23"/>
      <c r="G28" s="23">
        <f t="shared" ref="G28:G30" si="7">O21*$K$11</f>
        <v>9810278.4166889563</v>
      </c>
      <c r="H28" s="23"/>
      <c r="I28" s="23">
        <f t="shared" ref="I28:I30" si="8">P21*$C$30*$E$11</f>
        <v>5761410.034505479</v>
      </c>
      <c r="K28" s="22">
        <f t="shared" ref="K28:K30" si="9">(E28-$C$28+$C$27)/$C$29</f>
        <v>153.42594729253315</v>
      </c>
      <c r="L28" s="22">
        <f t="shared" ref="L28:L30" si="10">(G28-$C$28+$C$27)/$C$29</f>
        <v>163.19663155637818</v>
      </c>
      <c r="M28" s="22">
        <f t="shared" ref="M28:M30" si="11">I28/$E$11</f>
        <v>91.80944695964368</v>
      </c>
    </row>
    <row r="29" spans="2:16" ht="18.75" x14ac:dyDescent="0.3">
      <c r="B29" s="15" t="s">
        <v>37</v>
      </c>
      <c r="C29" s="23">
        <f>E11</f>
        <v>62754</v>
      </c>
      <c r="D29" s="15" t="s">
        <v>29</v>
      </c>
      <c r="E29" s="23">
        <f>N22*$J$11</f>
        <v>8873566.6057662684</v>
      </c>
      <c r="F29" s="23"/>
      <c r="G29" s="23">
        <f t="shared" si="7"/>
        <v>8498344.3649373893</v>
      </c>
      <c r="H29" s="23"/>
      <c r="I29" s="23">
        <f t="shared" si="8"/>
        <v>4126651.1776865707</v>
      </c>
      <c r="K29" s="22">
        <f t="shared" si="9"/>
        <v>148.26990479915654</v>
      </c>
      <c r="L29" s="22">
        <f t="shared" si="10"/>
        <v>142.29064864291342</v>
      </c>
      <c r="M29" s="22">
        <f t="shared" si="11"/>
        <v>65.759173561630661</v>
      </c>
    </row>
    <row r="30" spans="2:16" ht="18.75" x14ac:dyDescent="0.3">
      <c r="B30" s="15" t="s">
        <v>34</v>
      </c>
      <c r="C30" s="22">
        <f>L11/E11</f>
        <v>4.9628708926920995</v>
      </c>
      <c r="D30" s="15" t="s">
        <v>33</v>
      </c>
      <c r="E30" s="23">
        <f>N23*$J$11</f>
        <v>18707102.192486349</v>
      </c>
      <c r="F30" s="23"/>
      <c r="G30" s="23">
        <f t="shared" si="7"/>
        <v>16990084.925842695</v>
      </c>
      <c r="H30" s="23"/>
      <c r="I30" s="23">
        <f t="shared" si="8"/>
        <v>10173975.214555079</v>
      </c>
      <c r="K30" s="22">
        <f t="shared" si="9"/>
        <v>304.96964643666297</v>
      </c>
      <c r="L30" s="22">
        <f t="shared" si="10"/>
        <v>277.60856560287306</v>
      </c>
      <c r="M30" s="22">
        <f t="shared" si="11"/>
        <v>162.12472853611052</v>
      </c>
    </row>
  </sheetData>
  <mergeCells count="3">
    <mergeCell ref="B7:J7"/>
    <mergeCell ref="K7:L7"/>
    <mergeCell ref="N7:P7"/>
  </mergeCells>
  <conditionalFormatting sqref="N11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2023-05-09T19:22:04Z</dcterms:created>
  <dcterms:modified xsi:type="dcterms:W3CDTF">2023-05-09T21:23:07Z</dcterms:modified>
</cp:coreProperties>
</file>