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Columbia Sportswear\Portfolio\"/>
    </mc:Choice>
  </mc:AlternateContent>
  <xr:revisionPtr revIDLastSave="0" documentId="13_ncr:1_{1628FA8E-F6AB-4715-9745-9B01FF419817}" xr6:coauthVersionLast="47" xr6:coauthVersionMax="47" xr10:uidLastSave="{00000000-0000-0000-0000-000000000000}"/>
  <bookViews>
    <workbookView xWindow="-120" yWindow="-120" windowWidth="29040" windowHeight="15840" activeTab="2" xr2:uid="{971C8454-56D2-4172-AEC0-AA7AF1DC8D91}"/>
  </bookViews>
  <sheets>
    <sheet name="FCFF" sheetId="6" r:id="rId1"/>
    <sheet name="Revenue Forecast" sheetId="7" r:id="rId2"/>
    <sheet name="Cost of Capital" sheetId="8" r:id="rId3"/>
    <sheet name="Financials---&gt;&gt;&gt;" sheetId="1" r:id="rId4"/>
    <sheet name="Consolidated Balance Sheets" sheetId="2" r:id="rId5"/>
    <sheet name="Consolidated Statements of Oper" sheetId="3" r:id="rId6"/>
    <sheet name="Consolidated Statement of Cash 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4" i="6" l="1"/>
  <c r="M61" i="6"/>
  <c r="M65" i="6"/>
  <c r="M62" i="6"/>
  <c r="H22" i="8"/>
  <c r="H20" i="8"/>
  <c r="H17" i="8"/>
  <c r="H7" i="8"/>
  <c r="D31" i="7"/>
  <c r="D23" i="7"/>
  <c r="G16" i="7"/>
  <c r="G34" i="7"/>
  <c r="F34" i="7"/>
  <c r="E34" i="7"/>
  <c r="D34" i="7"/>
  <c r="C34" i="7"/>
  <c r="G33" i="7"/>
  <c r="F33" i="7"/>
  <c r="E33" i="7"/>
  <c r="D33" i="7"/>
  <c r="G31" i="7"/>
  <c r="F31" i="7"/>
  <c r="E31" i="7"/>
  <c r="C29" i="7"/>
  <c r="G26" i="7"/>
  <c r="F26" i="7"/>
  <c r="E26" i="7"/>
  <c r="D26" i="7"/>
  <c r="C26" i="7"/>
  <c r="G25" i="7"/>
  <c r="F25" i="7"/>
  <c r="E25" i="7"/>
  <c r="D25" i="7"/>
  <c r="G23" i="7"/>
  <c r="F23" i="7"/>
  <c r="E23" i="7"/>
  <c r="C21" i="7"/>
  <c r="G19" i="7"/>
  <c r="F19" i="7"/>
  <c r="E19" i="7"/>
  <c r="D19" i="7"/>
  <c r="C19" i="7"/>
  <c r="G18" i="7"/>
  <c r="F18" i="7"/>
  <c r="E18" i="7"/>
  <c r="D18" i="7"/>
  <c r="F16" i="7"/>
  <c r="E16" i="7"/>
  <c r="D16" i="7"/>
  <c r="C14" i="7"/>
  <c r="D11" i="7"/>
  <c r="E11" i="7"/>
  <c r="F11" i="7"/>
  <c r="G11" i="7"/>
  <c r="C11" i="7"/>
  <c r="E10" i="7"/>
  <c r="H10" i="7" s="1"/>
  <c r="H9" i="7" s="1"/>
  <c r="F10" i="7"/>
  <c r="G10" i="7"/>
  <c r="D10" i="7"/>
  <c r="E8" i="7"/>
  <c r="H8" i="7" s="1"/>
  <c r="H7" i="7" s="1"/>
  <c r="F8" i="7"/>
  <c r="G8" i="7"/>
  <c r="D8" i="7"/>
  <c r="C6" i="7"/>
  <c r="G36" i="7" l="1"/>
  <c r="D36" i="7"/>
  <c r="E36" i="7"/>
  <c r="E37" i="7" s="1"/>
  <c r="F36" i="7"/>
  <c r="F37" i="7" s="1"/>
  <c r="I8" i="7"/>
  <c r="J8" i="7" s="1"/>
  <c r="C36" i="7"/>
  <c r="H11" i="7"/>
  <c r="I9" i="7"/>
  <c r="J9" i="7" s="1"/>
  <c r="D37" i="7"/>
  <c r="I10" i="7"/>
  <c r="J10" i="7" s="1"/>
  <c r="H33" i="7"/>
  <c r="H32" i="7" s="1"/>
  <c r="H25" i="7"/>
  <c r="I25" i="7" s="1"/>
  <c r="J25" i="7" s="1"/>
  <c r="K25" i="7" s="1"/>
  <c r="H16" i="7"/>
  <c r="I16" i="7" s="1"/>
  <c r="J16" i="7" s="1"/>
  <c r="H31" i="7"/>
  <c r="H23" i="7"/>
  <c r="I23" i="7" s="1"/>
  <c r="H15" i="7"/>
  <c r="H18" i="7"/>
  <c r="K10" i="7"/>
  <c r="E30" i="6"/>
  <c r="F30" i="6"/>
  <c r="G30" i="6"/>
  <c r="H30" i="6"/>
  <c r="D30" i="6"/>
  <c r="E27" i="6"/>
  <c r="F27" i="6"/>
  <c r="G27" i="6"/>
  <c r="H27" i="6"/>
  <c r="D27" i="6"/>
  <c r="E24" i="6"/>
  <c r="F24" i="6"/>
  <c r="G24" i="6"/>
  <c r="H24" i="6"/>
  <c r="D24" i="6"/>
  <c r="E22" i="6"/>
  <c r="F22" i="6"/>
  <c r="G22" i="6"/>
  <c r="H22" i="6"/>
  <c r="D22" i="6"/>
  <c r="E20" i="6"/>
  <c r="F20" i="6"/>
  <c r="G20" i="6"/>
  <c r="H20" i="6"/>
  <c r="D20" i="6"/>
  <c r="E15" i="6"/>
  <c r="E41" i="6" s="1"/>
  <c r="F15" i="6"/>
  <c r="F41" i="6" s="1"/>
  <c r="G15" i="6"/>
  <c r="G41" i="6" s="1"/>
  <c r="H15" i="6"/>
  <c r="H41" i="6" s="1"/>
  <c r="D15" i="6"/>
  <c r="D41" i="6" s="1"/>
  <c r="E12" i="6"/>
  <c r="E38" i="6" s="1"/>
  <c r="F12" i="6"/>
  <c r="F38" i="6" s="1"/>
  <c r="G12" i="6"/>
  <c r="G38" i="6" s="1"/>
  <c r="H12" i="6"/>
  <c r="H38" i="6" s="1"/>
  <c r="D12" i="6"/>
  <c r="D38" i="6" s="1"/>
  <c r="E9" i="6"/>
  <c r="E35" i="6" s="1"/>
  <c r="F9" i="6"/>
  <c r="G9" i="6"/>
  <c r="H9" i="6"/>
  <c r="D9" i="6"/>
  <c r="D35" i="6" s="1"/>
  <c r="E8" i="6"/>
  <c r="F8" i="6" s="1"/>
  <c r="G8" i="6" s="1"/>
  <c r="H8" i="6" s="1"/>
  <c r="I8" i="6" s="1"/>
  <c r="J8" i="6" s="1"/>
  <c r="K8" i="6" s="1"/>
  <c r="L8" i="6" s="1"/>
  <c r="M8" i="6" s="1"/>
  <c r="H24" i="7" l="1"/>
  <c r="L10" i="7"/>
  <c r="K8" i="7"/>
  <c r="L8" i="7" s="1"/>
  <c r="I33" i="7"/>
  <c r="I32" i="7" s="1"/>
  <c r="J32" i="7" s="1"/>
  <c r="K32" i="7" s="1"/>
  <c r="I7" i="7"/>
  <c r="G37" i="7"/>
  <c r="K9" i="7"/>
  <c r="L9" i="7"/>
  <c r="J7" i="7"/>
  <c r="I11" i="7"/>
  <c r="D21" i="6"/>
  <c r="E21" i="6"/>
  <c r="G28" i="6"/>
  <c r="H31" i="6"/>
  <c r="H35" i="6"/>
  <c r="F28" i="6"/>
  <c r="F21" i="6"/>
  <c r="F35" i="6"/>
  <c r="F23" i="6"/>
  <c r="G31" i="6"/>
  <c r="G35" i="6"/>
  <c r="G23" i="6"/>
  <c r="D28" i="6"/>
  <c r="E28" i="6"/>
  <c r="I24" i="7"/>
  <c r="J24" i="7" s="1"/>
  <c r="K24" i="7" s="1"/>
  <c r="K16" i="7"/>
  <c r="L16" i="7" s="1"/>
  <c r="H30" i="7"/>
  <c r="J33" i="7"/>
  <c r="K33" i="7" s="1"/>
  <c r="I31" i="7"/>
  <c r="J31" i="7" s="1"/>
  <c r="H22" i="7"/>
  <c r="J23" i="7"/>
  <c r="L25" i="7"/>
  <c r="H17" i="7"/>
  <c r="H19" i="7" s="1"/>
  <c r="I18" i="7"/>
  <c r="J18" i="7" s="1"/>
  <c r="I15" i="7"/>
  <c r="F31" i="6"/>
  <c r="H21" i="6"/>
  <c r="D23" i="6"/>
  <c r="E23" i="6"/>
  <c r="F25" i="6"/>
  <c r="H28" i="6"/>
  <c r="D31" i="6"/>
  <c r="E31" i="6"/>
  <c r="G21" i="6"/>
  <c r="H23" i="6"/>
  <c r="D25" i="6"/>
  <c r="E25" i="6"/>
  <c r="H25" i="6"/>
  <c r="G25" i="6"/>
  <c r="E10" i="6"/>
  <c r="E36" i="6" s="1"/>
  <c r="F13" i="6"/>
  <c r="G16" i="6"/>
  <c r="D13" i="6"/>
  <c r="E13" i="6"/>
  <c r="E39" i="6" s="1"/>
  <c r="F16" i="6"/>
  <c r="F10" i="6"/>
  <c r="F36" i="6" s="1"/>
  <c r="G13" i="6"/>
  <c r="H16" i="6"/>
  <c r="H42" i="6" s="1"/>
  <c r="H13" i="6"/>
  <c r="H39" i="6" s="1"/>
  <c r="D16" i="6"/>
  <c r="E16" i="6"/>
  <c r="E42" i="6" s="1"/>
  <c r="H10" i="6"/>
  <c r="H36" i="6" s="1"/>
  <c r="G10" i="6"/>
  <c r="G36" i="6" s="1"/>
  <c r="L33" i="7" l="1"/>
  <c r="K7" i="7"/>
  <c r="J11" i="7"/>
  <c r="I28" i="6"/>
  <c r="J28" i="6" s="1"/>
  <c r="I23" i="6"/>
  <c r="I25" i="6"/>
  <c r="I31" i="6"/>
  <c r="J31" i="6" s="1"/>
  <c r="J23" i="6"/>
  <c r="G39" i="6"/>
  <c r="G42" i="6"/>
  <c r="F42" i="6"/>
  <c r="I16" i="6"/>
  <c r="I13" i="6"/>
  <c r="F39" i="6"/>
  <c r="I21" i="6"/>
  <c r="J21" i="6" s="1"/>
  <c r="L32" i="7"/>
  <c r="K23" i="7"/>
  <c r="L23" i="7" s="1"/>
  <c r="H34" i="7"/>
  <c r="I30" i="7"/>
  <c r="K31" i="7"/>
  <c r="L31" i="7" s="1"/>
  <c r="H26" i="7"/>
  <c r="I22" i="7"/>
  <c r="L24" i="7"/>
  <c r="I17" i="7"/>
  <c r="J17" i="7" s="1"/>
  <c r="J15" i="7"/>
  <c r="K18" i="7"/>
  <c r="L18" i="7" s="1"/>
  <c r="H36" i="7" l="1"/>
  <c r="I9" i="6"/>
  <c r="I22" i="6" s="1"/>
  <c r="I48" i="6" s="1"/>
  <c r="H37" i="7"/>
  <c r="L7" i="7"/>
  <c r="L11" i="7" s="1"/>
  <c r="K11" i="7"/>
  <c r="I39" i="6"/>
  <c r="I12" i="6"/>
  <c r="K21" i="6"/>
  <c r="I42" i="6"/>
  <c r="K23" i="6"/>
  <c r="J13" i="6"/>
  <c r="I30" i="6"/>
  <c r="I53" i="6" s="1"/>
  <c r="K28" i="6"/>
  <c r="K31" i="6"/>
  <c r="I20" i="6"/>
  <c r="I47" i="6" s="1"/>
  <c r="J16" i="6"/>
  <c r="J25" i="6"/>
  <c r="I19" i="7"/>
  <c r="I34" i="7"/>
  <c r="J30" i="7"/>
  <c r="I26" i="7"/>
  <c r="J22" i="7"/>
  <c r="K15" i="7"/>
  <c r="J19" i="7"/>
  <c r="K17" i="7"/>
  <c r="L17" i="7" s="1"/>
  <c r="I36" i="7" l="1"/>
  <c r="I24" i="6"/>
  <c r="I49" i="6" s="1"/>
  <c r="J9" i="6"/>
  <c r="I37" i="7"/>
  <c r="I35" i="6"/>
  <c r="I10" i="6"/>
  <c r="I36" i="6" s="1"/>
  <c r="I27" i="6"/>
  <c r="I51" i="6" s="1"/>
  <c r="L28" i="6"/>
  <c r="M28" i="6" s="1"/>
  <c r="L31" i="6"/>
  <c r="K25" i="6"/>
  <c r="J24" i="6"/>
  <c r="J49" i="6" s="1"/>
  <c r="K16" i="6"/>
  <c r="K42" i="6" s="1"/>
  <c r="J42" i="6"/>
  <c r="I15" i="6"/>
  <c r="I41" i="6" s="1"/>
  <c r="I38" i="6"/>
  <c r="L21" i="6"/>
  <c r="L23" i="6"/>
  <c r="K13" i="6"/>
  <c r="L13" i="6" s="1"/>
  <c r="J39" i="6"/>
  <c r="J12" i="6"/>
  <c r="J34" i="7"/>
  <c r="K30" i="7"/>
  <c r="J26" i="7"/>
  <c r="K22" i="7"/>
  <c r="K19" i="7"/>
  <c r="L15" i="7"/>
  <c r="L19" i="7" s="1"/>
  <c r="I44" i="6" l="1"/>
  <c r="I55" i="6"/>
  <c r="I56" i="6" s="1"/>
  <c r="J36" i="7"/>
  <c r="J35" i="6"/>
  <c r="J10" i="6"/>
  <c r="J36" i="6" s="1"/>
  <c r="J20" i="6"/>
  <c r="J47" i="6" s="1"/>
  <c r="J27" i="6"/>
  <c r="J51" i="6" s="1"/>
  <c r="J30" i="6"/>
  <c r="J53" i="6" s="1"/>
  <c r="J22" i="6"/>
  <c r="J48" i="6" s="1"/>
  <c r="L25" i="6"/>
  <c r="M25" i="6" s="1"/>
  <c r="M31" i="6"/>
  <c r="L39" i="6"/>
  <c r="K39" i="6"/>
  <c r="M13" i="6"/>
  <c r="M23" i="6"/>
  <c r="J15" i="6"/>
  <c r="J41" i="6" s="1"/>
  <c r="J38" i="6"/>
  <c r="M21" i="6"/>
  <c r="L16" i="6"/>
  <c r="L42" i="6" s="1"/>
  <c r="K34" i="7"/>
  <c r="L30" i="7"/>
  <c r="L34" i="7" s="1"/>
  <c r="K26" i="7"/>
  <c r="L22" i="7"/>
  <c r="L26" i="7" s="1"/>
  <c r="K36" i="7" l="1"/>
  <c r="L36" i="7"/>
  <c r="L37" i="7"/>
  <c r="M9" i="6"/>
  <c r="M22" i="6" s="1"/>
  <c r="M48" i="6" s="1"/>
  <c r="L9" i="6"/>
  <c r="K37" i="7"/>
  <c r="K9" i="6"/>
  <c r="J37" i="7"/>
  <c r="M16" i="6"/>
  <c r="M42" i="6" s="1"/>
  <c r="J44" i="6"/>
  <c r="J55" i="6" s="1"/>
  <c r="J56" i="6" s="1"/>
  <c r="M39" i="6"/>
  <c r="M20" i="6" l="1"/>
  <c r="M47" i="6" s="1"/>
  <c r="M12" i="6"/>
  <c r="M38" i="6" s="1"/>
  <c r="M30" i="6"/>
  <c r="M53" i="6" s="1"/>
  <c r="M24" i="6"/>
  <c r="M49" i="6" s="1"/>
  <c r="M35" i="6"/>
  <c r="M10" i="6"/>
  <c r="M36" i="6" s="1"/>
  <c r="M27" i="6"/>
  <c r="M51" i="6" s="1"/>
  <c r="L35" i="6"/>
  <c r="L10" i="6"/>
  <c r="L36" i="6" s="1"/>
  <c r="L24" i="6"/>
  <c r="L49" i="6" s="1"/>
  <c r="L12" i="6"/>
  <c r="L20" i="6"/>
  <c r="L47" i="6" s="1"/>
  <c r="L27" i="6"/>
  <c r="L51" i="6" s="1"/>
  <c r="L30" i="6"/>
  <c r="L53" i="6" s="1"/>
  <c r="L22" i="6"/>
  <c r="L48" i="6" s="1"/>
  <c r="K10" i="6"/>
  <c r="K36" i="6" s="1"/>
  <c r="K35" i="6"/>
  <c r="K22" i="6"/>
  <c r="K48" i="6" s="1"/>
  <c r="K27" i="6"/>
  <c r="K51" i="6" s="1"/>
  <c r="K30" i="6"/>
  <c r="K53" i="6" s="1"/>
  <c r="K20" i="6"/>
  <c r="K47" i="6" s="1"/>
  <c r="K12" i="6"/>
  <c r="K24" i="6"/>
  <c r="K49" i="6" s="1"/>
  <c r="M15" i="6"/>
  <c r="M41" i="6" s="1"/>
  <c r="M44" i="6" l="1"/>
  <c r="M55" i="6" s="1"/>
  <c r="L15" i="6"/>
  <c r="L41" i="6" s="1"/>
  <c r="L38" i="6"/>
  <c r="L44" i="6" s="1"/>
  <c r="L55" i="6" s="1"/>
  <c r="L56" i="6" s="1"/>
  <c r="K15" i="6"/>
  <c r="K41" i="6" s="1"/>
  <c r="K38" i="6"/>
  <c r="M59" i="6"/>
  <c r="M60" i="6" s="1"/>
  <c r="M56" i="6"/>
  <c r="K44" i="6" l="1"/>
  <c r="K55" i="6" s="1"/>
  <c r="K56" i="6" s="1"/>
  <c r="M66" i="6" s="1"/>
  <c r="F5" i="6" s="1"/>
</calcChain>
</file>

<file path=xl/sharedStrings.xml><?xml version="1.0" encoding="utf-8"?>
<sst xmlns="http://schemas.openxmlformats.org/spreadsheetml/2006/main" count="278" uniqueCount="178">
  <si>
    <t>Consolidated Balance Sheets - USD ($) shares in Thousands, $ in Thousands</t>
  </si>
  <si>
    <t>Dec. 31, 2022</t>
  </si>
  <si>
    <t>Dec. 31, 2021</t>
  </si>
  <si>
    <t>Assets, Current [Abstract]</t>
  </si>
  <si>
    <t> </t>
  </si>
  <si>
    <t>Cash and Cash Equivalents, at Carrying Value</t>
  </si>
  <si>
    <t>Short-term Investments</t>
  </si>
  <si>
    <t>Accounts Receivable, after Allowance for Credit Loss, Current</t>
  </si>
  <si>
    <t>Inventories</t>
  </si>
  <si>
    <t>Prepaid Expense and Other Assets, Current</t>
  </si>
  <si>
    <t>Assets, Current, Total</t>
  </si>
  <si>
    <t>Assets, Noncurrent [Abstract]</t>
  </si>
  <si>
    <t>Property, Plant and Equipment, Net</t>
  </si>
  <si>
    <t>Operating Lease, Right-of-Use Asset</t>
  </si>
  <si>
    <t>Intangible Assets, Net (Excluding Goodwill)</t>
  </si>
  <si>
    <t>Goodwill</t>
  </si>
  <si>
    <t>Deferred Tax Assets, Deferred Income</t>
  </si>
  <si>
    <t>Other Assets, Noncurrent</t>
  </si>
  <si>
    <t>Total assets</t>
  </si>
  <si>
    <t>Liabilities, Current [Abstract]</t>
  </si>
  <si>
    <t>Accounts payable</t>
  </si>
  <si>
    <t>Accrued Liabilities, Current</t>
  </si>
  <si>
    <t>Operating Lease, Liability, Current</t>
  </si>
  <si>
    <t>Taxes Payable, Current</t>
  </si>
  <si>
    <t>Total current liabilties</t>
  </si>
  <si>
    <t>Liabilities, Noncurrent [Abstract]</t>
  </si>
  <si>
    <t>Operating Lease, Liability, Noncurrent</t>
  </si>
  <si>
    <t>Accrued Income Taxes, Noncurrent</t>
  </si>
  <si>
    <t>Deferred Tax Liabilities, Tax Deferred Income</t>
  </si>
  <si>
    <t>Other Liabilities, Noncurrent</t>
  </si>
  <si>
    <t>Liabilities, Total</t>
  </si>
  <si>
    <t>Shareholders' Equity:</t>
  </si>
  <si>
    <t>Preferred Stock, Value, Issued</t>
  </si>
  <si>
    <t>Common Stock, Shares Authorized</t>
  </si>
  <si>
    <t>Common Stock, Value, Issued</t>
  </si>
  <si>
    <t>Retained earnings</t>
  </si>
  <si>
    <t>Accumulated Other Comprehensive Income (Loss), Net of Tax</t>
  </si>
  <si>
    <t>Stockholders' Equity Attributable to Parent</t>
  </si>
  <si>
    <t>Total liabilities and equity</t>
  </si>
  <si>
    <t>Common Stock, Shares, Issued</t>
  </si>
  <si>
    <t>Consolidated Statements of Operations - USD ($) shares in Thousands, $ in Thousands</t>
  </si>
  <si>
    <t>12 Months Ended</t>
  </si>
  <si>
    <t>Dec. 31, 2020</t>
  </si>
  <si>
    <t>Income Statement [Abstract]</t>
  </si>
  <si>
    <t>Revenue from Contract with Customer, Excluding Assessed Tax</t>
  </si>
  <si>
    <t>Cost of Goods and Services Sold</t>
  </si>
  <si>
    <t>Gross Profit, Total</t>
  </si>
  <si>
    <t>Selling, general and administrative expenses</t>
  </si>
  <si>
    <t>Goodwill and Intangible Asset Impairment</t>
  </si>
  <si>
    <t>Noninterest Income, Other Operating Income</t>
  </si>
  <si>
    <t>Income from operations</t>
  </si>
  <si>
    <t>Interest income, net</t>
  </si>
  <si>
    <t>Other Nonoperating Income (Expense)</t>
  </si>
  <si>
    <t>Income before income tax</t>
  </si>
  <si>
    <t>Income Tax Expense (Benefit)</t>
  </si>
  <si>
    <t>Net Income (Loss) Attributable to Parent, Total</t>
  </si>
  <si>
    <t>Earnings Per Share [Abstract]</t>
  </si>
  <si>
    <t>Earnings Per Share, Basic</t>
  </si>
  <si>
    <t>Earnings Per Share, Diluted</t>
  </si>
  <si>
    <t>Weighted Average Number of Shares Outstanding, Diluted [Abstract]</t>
  </si>
  <si>
    <t>Weighted Average Number of Shares Outstanding, Basic</t>
  </si>
  <si>
    <t>Weighted Average Number of Shares Outstanding, Diluted</t>
  </si>
  <si>
    <t>Consolidated Statement of Cash Flows - USD ($) $ in Thousands</t>
  </si>
  <si>
    <t>Cash flows from operating activities:</t>
  </si>
  <si>
    <t>Net Income (Loss), Including Portion Attributable to Noncontrolling Interest</t>
  </si>
  <si>
    <t>Adjustments to reconcile net income to net cash provided by operating activities:</t>
  </si>
  <si>
    <t>Depreciation, Amortization And Non-Cash Lease Expense</t>
  </si>
  <si>
    <t>Accounts Receivable, Credit Loss Expense (Reversal)</t>
  </si>
  <si>
    <t>Gain (Loss) on Disposition of Assets</t>
  </si>
  <si>
    <t>Deferred income taxes</t>
  </si>
  <si>
    <t>Share-based Payment Arrangement, Noncash Expense</t>
  </si>
  <si>
    <t>Changes in operating assets and liabilities:</t>
  </si>
  <si>
    <t>Increase (Decrease) in Accounts Receivable</t>
  </si>
  <si>
    <t>Increase (Decrease) in Inventories</t>
  </si>
  <si>
    <t>Increase (Decrease) in Prepaid Expense and Other Assets</t>
  </si>
  <si>
    <t>Increase (Decrease) in Other Noncurrent Assets</t>
  </si>
  <si>
    <t>Increase (Decrease) in Accounts Payable</t>
  </si>
  <si>
    <t>Increase (Decrease) in Accrued Liabilities</t>
  </si>
  <si>
    <t>Increase (Decrease) in Income Taxes Payable</t>
  </si>
  <si>
    <t>Increase (Decrease) in Other Operating Assets and Liabilities, Net</t>
  </si>
  <si>
    <t>Increase (Decrease) in Other Noncurrent Liabilities</t>
  </si>
  <si>
    <t>Net cash provided by operating activities</t>
  </si>
  <si>
    <t>Cash flows from investing activities:</t>
  </si>
  <si>
    <t>Payments to Acquire Short-term Investments</t>
  </si>
  <si>
    <t>Proceeds from Sale, Maturity and Collection of Short-term Investments</t>
  </si>
  <si>
    <t>Payments to Acquire Productive Assets</t>
  </si>
  <si>
    <t>Net cash used in investing activities</t>
  </si>
  <si>
    <t>Cash flows from financing activities:</t>
  </si>
  <si>
    <t>Proceeds from Lines of Credit</t>
  </si>
  <si>
    <t>Repayments of Lines of Credit</t>
  </si>
  <si>
    <t>Payment of line of credit issuance fees</t>
  </si>
  <si>
    <t>Proceeds, Issuance of Shares, Share-based Payment Arrangement, Including Option Exercised</t>
  </si>
  <si>
    <t>Payment, Tax Withholding, Share-based Payment Arrangement</t>
  </si>
  <si>
    <t>Payments for Repurchase of Common Stock</t>
  </si>
  <si>
    <t>Payments of Dividends</t>
  </si>
  <si>
    <t>Net cash used in financing activities</t>
  </si>
  <si>
    <t>Effect of Exchange Rate on Cash, Cash Equivalents, Restricted Cash and Restricted Cash Equivalents</t>
  </si>
  <si>
    <t>Cash, Cash Equivalents, Restricted Cash and Restricted Cash Equivalents, Period Increase (Decrease), Including Exchange Rate Effect, Total</t>
  </si>
  <si>
    <t>Cash, Cash Equivalents, Restricted Cash and Restricted Cash Equivalents, Beginning Balance</t>
  </si>
  <si>
    <t>Cash, Cash Equivalents, Restricted Cash and Restricted Cash Equivalents</t>
  </si>
  <si>
    <t>Supplemental disclosures of cash flow information:</t>
  </si>
  <si>
    <t>Income Taxes Paid</t>
  </si>
  <si>
    <t>Supplemental disclosures of non-cash investing activities:</t>
  </si>
  <si>
    <t>Capital expenditures incurred but not yet paid</t>
  </si>
  <si>
    <t>Dec. 31, 2019</t>
  </si>
  <si>
    <t xml:space="preserve"> </t>
  </si>
  <si>
    <t>Columbia Sportswear DCF</t>
  </si>
  <si>
    <t>Income Statement</t>
  </si>
  <si>
    <t>Revenue</t>
  </si>
  <si>
    <t>% growth</t>
  </si>
  <si>
    <t>EBIT</t>
  </si>
  <si>
    <t>% of Revenue</t>
  </si>
  <si>
    <t>Taxes</t>
  </si>
  <si>
    <t>% of EBIT</t>
  </si>
  <si>
    <t>Dec. 31, 2018</t>
  </si>
  <si>
    <t>Payments to Noncontrolling Interests</t>
  </si>
  <si>
    <t>Revenue ( In Thousands)</t>
  </si>
  <si>
    <t>EBIT ( In Thousands)</t>
  </si>
  <si>
    <t>Taxes ( In Thousands)</t>
  </si>
  <si>
    <t>Cash flow Items</t>
  </si>
  <si>
    <t>Non Cash Charge</t>
  </si>
  <si>
    <t>Deferred Income Taxes</t>
  </si>
  <si>
    <t>Depreciation&amp;Amortization</t>
  </si>
  <si>
    <t>Stock Based Compensation</t>
  </si>
  <si>
    <t>CapEx</t>
  </si>
  <si>
    <t>Change in NWC</t>
  </si>
  <si>
    <t>DCF</t>
  </si>
  <si>
    <t>% EBIT</t>
  </si>
  <si>
    <t>NOPAT</t>
  </si>
  <si>
    <t>Unlevered FCFF</t>
  </si>
  <si>
    <t>Present Value of FCFF</t>
  </si>
  <si>
    <t>Terminal Value</t>
  </si>
  <si>
    <t>Present Value of Terminal Value</t>
  </si>
  <si>
    <t>+Cash</t>
  </si>
  <si>
    <t>-Debt</t>
  </si>
  <si>
    <t>Enterprise Value</t>
  </si>
  <si>
    <t>Equity Value</t>
  </si>
  <si>
    <t>Share Price</t>
  </si>
  <si>
    <t>Apparel, Accessories and Equipment</t>
  </si>
  <si>
    <t>Footwear</t>
  </si>
  <si>
    <t>2019A</t>
  </si>
  <si>
    <t>2020A</t>
  </si>
  <si>
    <t>2021A</t>
  </si>
  <si>
    <t>2022A</t>
  </si>
  <si>
    <t>2023E</t>
  </si>
  <si>
    <t>2024E</t>
  </si>
  <si>
    <t>2025E</t>
  </si>
  <si>
    <t>2026E</t>
  </si>
  <si>
    <t>2027E</t>
  </si>
  <si>
    <t>USA Revenue ( In Thousands)</t>
  </si>
  <si>
    <t xml:space="preserve">Total </t>
  </si>
  <si>
    <t>LAAP Revenue ( In Thousands)</t>
  </si>
  <si>
    <t>EMEA Revenue ( In Thousands)</t>
  </si>
  <si>
    <t>Canada Revenue ( In Thousands)</t>
  </si>
  <si>
    <t>Total Revenue, All Regions</t>
  </si>
  <si>
    <t>Cost of Capital</t>
  </si>
  <si>
    <t>WACC</t>
  </si>
  <si>
    <t>Debt</t>
  </si>
  <si>
    <t>% of Debt</t>
  </si>
  <si>
    <t>Cost of Debt</t>
  </si>
  <si>
    <t>Tax Rate</t>
  </si>
  <si>
    <t>% of Equity</t>
  </si>
  <si>
    <t>Cost of Equity</t>
  </si>
  <si>
    <t>Weighted Average Cost of Capital (WACC)</t>
  </si>
  <si>
    <t>Equity</t>
  </si>
  <si>
    <t>After Tax Cost of Debt</t>
  </si>
  <si>
    <t>Risk Free Rate(10-Yr Treasury Yield)</t>
  </si>
  <si>
    <t>Market Risk Premium</t>
  </si>
  <si>
    <t>Perpetual Growth Rate (GDP Growth Rate)</t>
  </si>
  <si>
    <t>Expected Market Return (S&amp;P 500)</t>
  </si>
  <si>
    <t xml:space="preserve"> Beta</t>
  </si>
  <si>
    <t>Ticker</t>
  </si>
  <si>
    <t>Date</t>
  </si>
  <si>
    <t>Implied Share Price</t>
  </si>
  <si>
    <t>Today's Share Price</t>
  </si>
  <si>
    <t>COLM</t>
  </si>
  <si>
    <t>Revenue Forecast by Region</t>
  </si>
  <si>
    <t>No. of Shares (In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</si>
</sst>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 &quot;#,##0_);_(&quot;$ &quot;\(#,##0\)"/>
    <numFmt numFmtId="165" formatCode="_(&quot;$ &quot;#,##0.00_);_(&quot;$ &quot;\(#,##0.00\)"/>
    <numFmt numFmtId="166" formatCode="_(* #,##0_);_(* \(#,##0\);_(* &quot;-&quot;??_);_(@_)"/>
    <numFmt numFmtId="167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8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C33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164" fontId="6" fillId="0" borderId="0" xfId="0" applyNumberFormat="1" applyFont="1" applyAlignment="1">
      <alignment horizontal="right" vertical="top"/>
    </xf>
    <xf numFmtId="37" fontId="6" fillId="0" borderId="0" xfId="0" applyNumberFormat="1" applyFont="1" applyAlignment="1">
      <alignment horizontal="right" vertical="top"/>
    </xf>
    <xf numFmtId="165" fontId="6" fillId="0" borderId="0" xfId="0" applyNumberFormat="1" applyFont="1" applyAlignment="1">
      <alignment horizontal="right" vertical="top"/>
    </xf>
    <xf numFmtId="37" fontId="7" fillId="0" borderId="0" xfId="0" applyNumberFormat="1" applyFont="1" applyAlignment="1">
      <alignment horizontal="right" vertical="top"/>
    </xf>
    <xf numFmtId="0" fontId="0" fillId="0" borderId="1" xfId="0" applyBorder="1"/>
    <xf numFmtId="0" fontId="8" fillId="0" borderId="0" xfId="0" applyFont="1"/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right" vertical="top"/>
    </xf>
    <xf numFmtId="165" fontId="7" fillId="0" borderId="0" xfId="0" applyNumberFormat="1" applyFont="1" applyAlignment="1">
      <alignment horizontal="right" vertical="top"/>
    </xf>
    <xf numFmtId="164" fontId="0" fillId="0" borderId="0" xfId="0" applyNumberFormat="1"/>
    <xf numFmtId="37" fontId="0" fillId="0" borderId="0" xfId="0" applyNumberFormat="1"/>
    <xf numFmtId="166" fontId="7" fillId="0" borderId="0" xfId="1" applyNumberFormat="1" applyFont="1" applyAlignment="1">
      <alignment horizontal="right" vertical="top"/>
    </xf>
    <xf numFmtId="166" fontId="0" fillId="0" borderId="0" xfId="1" applyNumberFormat="1" applyFont="1"/>
    <xf numFmtId="0" fontId="7" fillId="0" borderId="0" xfId="0" applyFont="1" applyAlignment="1">
      <alignment vertical="top" wrapText="1"/>
    </xf>
    <xf numFmtId="166" fontId="6" fillId="0" borderId="0" xfId="0" applyNumberFormat="1" applyFont="1" applyAlignment="1">
      <alignment vertical="top" wrapText="1"/>
    </xf>
    <xf numFmtId="0" fontId="2" fillId="2" borderId="0" xfId="0" applyFont="1" applyFill="1"/>
    <xf numFmtId="0" fontId="0" fillId="2" borderId="0" xfId="0" applyFill="1"/>
    <xf numFmtId="0" fontId="4" fillId="2" borderId="0" xfId="0" applyFont="1" applyFill="1"/>
    <xf numFmtId="166" fontId="0" fillId="0" borderId="0" xfId="0" applyNumberFormat="1"/>
    <xf numFmtId="43" fontId="0" fillId="0" borderId="0" xfId="0" applyNumberFormat="1"/>
    <xf numFmtId="166" fontId="9" fillId="0" borderId="0" xfId="1" applyNumberFormat="1" applyFont="1"/>
    <xf numFmtId="167" fontId="10" fillId="0" borderId="0" xfId="2" applyNumberFormat="1" applyFont="1"/>
    <xf numFmtId="0" fontId="0" fillId="0" borderId="0" xfId="0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/>
    <xf numFmtId="0" fontId="3" fillId="0" borderId="0" xfId="0" applyFont="1"/>
    <xf numFmtId="0" fontId="3" fillId="0" borderId="2" xfId="0" applyFont="1" applyBorder="1"/>
    <xf numFmtId="0" fontId="0" fillId="0" borderId="0" xfId="0" quotePrefix="1"/>
    <xf numFmtId="0" fontId="0" fillId="0" borderId="1" xfId="0" quotePrefix="1" applyBorder="1"/>
    <xf numFmtId="0" fontId="12" fillId="0" borderId="0" xfId="0" applyFont="1"/>
    <xf numFmtId="167" fontId="10" fillId="0" borderId="0" xfId="0" applyNumberFormat="1" applyFont="1"/>
    <xf numFmtId="0" fontId="0" fillId="3" borderId="0" xfId="0" applyFill="1"/>
    <xf numFmtId="0" fontId="4" fillId="3" borderId="0" xfId="0" applyFont="1" applyFill="1"/>
    <xf numFmtId="166" fontId="13" fillId="0" borderId="0" xfId="1" applyNumberFormat="1" applyFont="1"/>
    <xf numFmtId="166" fontId="11" fillId="0" borderId="0" xfId="1" applyNumberFormat="1" applyFont="1"/>
    <xf numFmtId="0" fontId="0" fillId="0" borderId="5" xfId="0" applyBorder="1"/>
    <xf numFmtId="166" fontId="0" fillId="0" borderId="6" xfId="0" applyNumberFormat="1" applyBorder="1"/>
    <xf numFmtId="166" fontId="0" fillId="0" borderId="7" xfId="0" applyNumberFormat="1" applyBorder="1"/>
    <xf numFmtId="0" fontId="10" fillId="0" borderId="8" xfId="0" applyFont="1" applyBorder="1"/>
    <xf numFmtId="167" fontId="0" fillId="0" borderId="1" xfId="2" applyNumberFormat="1" applyFont="1" applyBorder="1"/>
    <xf numFmtId="167" fontId="0" fillId="0" borderId="9" xfId="2" applyNumberFormat="1" applyFont="1" applyBorder="1"/>
    <xf numFmtId="166" fontId="0" fillId="0" borderId="3" xfId="0" applyNumberFormat="1" applyBorder="1"/>
    <xf numFmtId="0" fontId="0" fillId="0" borderId="10" xfId="0" applyBorder="1"/>
    <xf numFmtId="0" fontId="4" fillId="2" borderId="10" xfId="0" applyFont="1" applyFill="1" applyBorder="1"/>
    <xf numFmtId="166" fontId="9" fillId="0" borderId="10" xfId="1" applyNumberFormat="1" applyFont="1" applyBorder="1"/>
    <xf numFmtId="167" fontId="10" fillId="0" borderId="10" xfId="2" applyNumberFormat="1" applyFont="1" applyBorder="1"/>
    <xf numFmtId="167" fontId="10" fillId="0" borderId="10" xfId="0" applyNumberFormat="1" applyFont="1" applyBorder="1"/>
    <xf numFmtId="0" fontId="0" fillId="2" borderId="10" xfId="0" applyFill="1" applyBorder="1"/>
    <xf numFmtId="0" fontId="10" fillId="0" borderId="10" xfId="0" applyFont="1" applyBorder="1"/>
    <xf numFmtId="166" fontId="0" fillId="0" borderId="2" xfId="0" applyNumberFormat="1" applyBorder="1"/>
    <xf numFmtId="166" fontId="9" fillId="0" borderId="0" xfId="1" applyNumberFormat="1" applyFont="1" applyBorder="1"/>
    <xf numFmtId="166" fontId="0" fillId="0" borderId="4" xfId="0" applyNumberFormat="1" applyBorder="1"/>
    <xf numFmtId="0" fontId="14" fillId="0" borderId="0" xfId="0" applyFont="1"/>
    <xf numFmtId="0" fontId="2" fillId="3" borderId="0" xfId="0" applyFont="1" applyFill="1"/>
    <xf numFmtId="0" fontId="3" fillId="0" borderId="3" xfId="0" applyFont="1" applyBorder="1"/>
    <xf numFmtId="10" fontId="0" fillId="0" borderId="0" xfId="0" applyNumberFormat="1"/>
    <xf numFmtId="9" fontId="0" fillId="0" borderId="0" xfId="0" applyNumberFormat="1"/>
    <xf numFmtId="10" fontId="0" fillId="0" borderId="3" xfId="0" applyNumberFormat="1" applyBorder="1"/>
    <xf numFmtId="43" fontId="0" fillId="0" borderId="1" xfId="0" applyNumberFormat="1" applyBorder="1"/>
    <xf numFmtId="166" fontId="0" fillId="0" borderId="1" xfId="0" applyNumberFormat="1" applyBorder="1"/>
    <xf numFmtId="37" fontId="0" fillId="0" borderId="1" xfId="0" applyNumberFormat="1" applyBorder="1"/>
    <xf numFmtId="41" fontId="0" fillId="0" borderId="0" xfId="0" applyNumberFormat="1"/>
    <xf numFmtId="0" fontId="0" fillId="4" borderId="0" xfId="0" applyFill="1"/>
    <xf numFmtId="14" fontId="0" fillId="4" borderId="0" xfId="0" applyNumberFormat="1" applyFill="1" applyAlignment="1">
      <alignment horizontal="left"/>
    </xf>
    <xf numFmtId="0" fontId="0" fillId="0" borderId="6" xfId="0" applyBorder="1"/>
    <xf numFmtId="167" fontId="0" fillId="0" borderId="6" xfId="0" applyNumberFormat="1" applyBorder="1"/>
    <xf numFmtId="44" fontId="0" fillId="4" borderId="0" xfId="0" applyNumberFormat="1" applyFill="1"/>
    <xf numFmtId="44" fontId="0" fillId="4" borderId="0" xfId="0" applyNumberFormat="1" applyFill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0" fillId="0" borderId="0" xfId="0"/>
    <xf numFmtId="0" fontId="6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BC57-0295-4484-B739-C233C49184E2}">
  <dimension ref="B2:M66"/>
  <sheetViews>
    <sheetView showGridLines="0" zoomScale="120" zoomScaleNormal="120" workbookViewId="0">
      <pane ySplit="3" topLeftCell="A49" activePane="bottomLeft" state="frozen"/>
      <selection pane="bottomLeft" activeCell="D23" sqref="D23"/>
    </sheetView>
  </sheetViews>
  <sheetFormatPr defaultRowHeight="15" x14ac:dyDescent="0.25"/>
  <cols>
    <col min="2" max="2" width="26.7109375" customWidth="1"/>
    <col min="3" max="4" width="14.7109375" customWidth="1"/>
    <col min="5" max="5" width="18" customWidth="1"/>
    <col min="6" max="15" width="14.7109375" customWidth="1"/>
  </cols>
  <sheetData>
    <row r="2" spans="2:13" ht="23.25" x14ac:dyDescent="0.35">
      <c r="B2" s="10" t="s">
        <v>106</v>
      </c>
    </row>
    <row r="3" spans="2:13" s="9" customFormat="1" x14ac:dyDescent="0.25">
      <c r="I3"/>
    </row>
    <row r="4" spans="2:13" x14ac:dyDescent="0.25">
      <c r="I4" s="49"/>
    </row>
    <row r="5" spans="2:13" x14ac:dyDescent="0.25">
      <c r="C5" t="s">
        <v>171</v>
      </c>
      <c r="D5" s="69" t="s">
        <v>175</v>
      </c>
      <c r="E5" t="s">
        <v>173</v>
      </c>
      <c r="F5" s="74">
        <f>M66</f>
        <v>97.797875778092759</v>
      </c>
      <c r="I5" s="49"/>
    </row>
    <row r="6" spans="2:13" x14ac:dyDescent="0.25">
      <c r="C6" t="s">
        <v>172</v>
      </c>
      <c r="D6" s="70">
        <v>45054</v>
      </c>
      <c r="E6" t="s">
        <v>174</v>
      </c>
      <c r="F6" s="73">
        <v>82.01</v>
      </c>
      <c r="I6" s="49"/>
    </row>
    <row r="7" spans="2:13" x14ac:dyDescent="0.25">
      <c r="I7" s="49">
        <v>1</v>
      </c>
      <c r="J7">
        <v>2</v>
      </c>
      <c r="K7">
        <v>3</v>
      </c>
      <c r="L7">
        <v>4</v>
      </c>
      <c r="M7">
        <v>5</v>
      </c>
    </row>
    <row r="8" spans="2:13" x14ac:dyDescent="0.25">
      <c r="B8" s="20" t="s">
        <v>107</v>
      </c>
      <c r="C8" s="21"/>
      <c r="D8" s="22">
        <v>2018</v>
      </c>
      <c r="E8" s="22">
        <f>D$8+1</f>
        <v>2019</v>
      </c>
      <c r="F8" s="22">
        <f t="shared" ref="F8:M8" si="0">E$8+1</f>
        <v>2020</v>
      </c>
      <c r="G8" s="22">
        <f t="shared" si="0"/>
        <v>2021</v>
      </c>
      <c r="H8" s="22">
        <f t="shared" si="0"/>
        <v>2022</v>
      </c>
      <c r="I8" s="50">
        <f t="shared" si="0"/>
        <v>2023</v>
      </c>
      <c r="J8" s="22">
        <f t="shared" si="0"/>
        <v>2024</v>
      </c>
      <c r="K8" s="22">
        <f t="shared" si="0"/>
        <v>2025</v>
      </c>
      <c r="L8" s="22">
        <f t="shared" si="0"/>
        <v>2026</v>
      </c>
      <c r="M8" s="22">
        <f t="shared" si="0"/>
        <v>2027</v>
      </c>
    </row>
    <row r="9" spans="2:13" x14ac:dyDescent="0.25">
      <c r="B9" t="s">
        <v>116</v>
      </c>
      <c r="D9" s="25">
        <f>'Consolidated Statements of Oper'!B4</f>
        <v>2802326</v>
      </c>
      <c r="E9" s="25">
        <f>'Consolidated Statements of Oper'!C4</f>
        <v>3042478</v>
      </c>
      <c r="F9" s="25">
        <f>'Consolidated Statements of Oper'!D4</f>
        <v>2501554</v>
      </c>
      <c r="G9" s="25">
        <f>'Consolidated Statements of Oper'!E4</f>
        <v>3126402</v>
      </c>
      <c r="H9" s="25">
        <f>'Consolidated Statements of Oper'!F4</f>
        <v>3464152</v>
      </c>
      <c r="I9" s="51">
        <f>'Revenue Forecast'!H36</f>
        <v>3687425.2262058947</v>
      </c>
      <c r="J9" s="25">
        <f>'Revenue Forecast'!I36</f>
        <v>4226621.8222298361</v>
      </c>
      <c r="K9" s="25">
        <f>'Revenue Forecast'!J36</f>
        <v>4689186.2684651697</v>
      </c>
      <c r="L9" s="25">
        <f>'Revenue Forecast'!K36</f>
        <v>5204326.9610616174</v>
      </c>
      <c r="M9" s="25">
        <f>'Revenue Forecast'!L36</f>
        <v>5855485.8521607639</v>
      </c>
    </row>
    <row r="10" spans="2:13" x14ac:dyDescent="0.25">
      <c r="B10" s="28" t="s">
        <v>109</v>
      </c>
      <c r="E10" s="26">
        <f>(E9-D9)/D9</f>
        <v>8.5697381389602784E-2</v>
      </c>
      <c r="F10" s="26">
        <f t="shared" ref="F10:H10" si="1">(F9-E9)/E9</f>
        <v>-0.17779060358037099</v>
      </c>
      <c r="G10" s="26">
        <f t="shared" si="1"/>
        <v>0.24978393430643511</v>
      </c>
      <c r="H10" s="26">
        <f t="shared" si="1"/>
        <v>0.10803153273315459</v>
      </c>
      <c r="I10" s="52">
        <f t="shared" ref="I10" si="2">(I9-H9)/H9</f>
        <v>6.4452491174144422E-2</v>
      </c>
      <c r="J10" s="26">
        <f t="shared" ref="J10" si="3">(J9-I9)/I9</f>
        <v>0.14622577081481253</v>
      </c>
      <c r="K10" s="26">
        <f t="shared" ref="K10" si="4">(K9-J9)/J9</f>
        <v>0.10944069890579866</v>
      </c>
      <c r="L10" s="26">
        <f t="shared" ref="L10" si="5">(L9-K9)/K9</f>
        <v>0.1098571613716381</v>
      </c>
      <c r="M10" s="26">
        <f t="shared" ref="M10" si="6">(M9-L9)/L9</f>
        <v>0.12511875137190043</v>
      </c>
    </row>
    <row r="11" spans="2:13" x14ac:dyDescent="0.25">
      <c r="I11" s="51"/>
      <c r="J11" s="25"/>
      <c r="K11" s="25"/>
      <c r="L11" s="25"/>
      <c r="M11" s="25"/>
    </row>
    <row r="12" spans="2:13" x14ac:dyDescent="0.25">
      <c r="B12" t="s">
        <v>117</v>
      </c>
      <c r="D12" s="25">
        <f>'Consolidated Statements of Oper'!B10</f>
        <v>350982</v>
      </c>
      <c r="E12" s="25">
        <f>'Consolidated Statements of Oper'!C10</f>
        <v>394971</v>
      </c>
      <c r="F12" s="25">
        <f>'Consolidated Statements of Oper'!D10</f>
        <v>137049</v>
      </c>
      <c r="G12" s="25">
        <f>'Consolidated Statements of Oper'!E10</f>
        <v>450504</v>
      </c>
      <c r="H12" s="25">
        <f>'Consolidated Statements of Oper'!F10</f>
        <v>393104</v>
      </c>
      <c r="I12" s="51">
        <f>I9*(I13)</f>
        <v>383934.56384097191</v>
      </c>
      <c r="J12" s="25">
        <f t="shared" ref="J12:M12" si="7">J9*(J13)</f>
        <v>509581.66139841027</v>
      </c>
      <c r="K12" s="25">
        <f t="shared" si="7"/>
        <v>528568.86263218045</v>
      </c>
      <c r="L12" s="25">
        <f t="shared" si="7"/>
        <v>585322.89947039459</v>
      </c>
      <c r="M12" s="25">
        <f t="shared" si="7"/>
        <v>674852.71053437318</v>
      </c>
    </row>
    <row r="13" spans="2:13" x14ac:dyDescent="0.25">
      <c r="B13" s="28" t="s">
        <v>111</v>
      </c>
      <c r="D13" s="26">
        <f>D12/D9</f>
        <v>0.12524667008763435</v>
      </c>
      <c r="E13" s="26">
        <f t="shared" ref="E13:H13" si="8">E12/E9</f>
        <v>0.1298188516071439</v>
      </c>
      <c r="F13" s="26">
        <f t="shared" si="8"/>
        <v>5.4785545305038388E-2</v>
      </c>
      <c r="G13" s="26">
        <f t="shared" si="8"/>
        <v>0.14409663248680113</v>
      </c>
      <c r="H13" s="26">
        <f t="shared" si="8"/>
        <v>0.11347769959285851</v>
      </c>
      <c r="I13" s="52">
        <f>AVERAGE(F13:H13)</f>
        <v>0.10411995912823269</v>
      </c>
      <c r="J13" s="26">
        <f t="shared" ref="J13:M13" si="9">AVERAGE(G13:I13)</f>
        <v>0.1205647637359641</v>
      </c>
      <c r="K13" s="26">
        <f t="shared" si="9"/>
        <v>0.1127208074856851</v>
      </c>
      <c r="L13" s="26">
        <f t="shared" si="9"/>
        <v>0.11246851011662728</v>
      </c>
      <c r="M13" s="26">
        <f t="shared" si="9"/>
        <v>0.11525136044609215</v>
      </c>
    </row>
    <row r="14" spans="2:13" x14ac:dyDescent="0.25">
      <c r="I14" s="49"/>
    </row>
    <row r="15" spans="2:13" x14ac:dyDescent="0.25">
      <c r="B15" t="s">
        <v>118</v>
      </c>
      <c r="D15" s="25">
        <f>'Consolidated Statements of Oper'!B14</f>
        <v>-85769</v>
      </c>
      <c r="E15" s="25">
        <f>'Consolidated Statements of Oper'!C14</f>
        <v>-74940</v>
      </c>
      <c r="F15" s="25">
        <f>'Consolidated Statements of Oper'!D14</f>
        <v>-31510</v>
      </c>
      <c r="G15" s="25">
        <f>'Consolidated Statements of Oper'!E14</f>
        <v>-97403</v>
      </c>
      <c r="H15" s="25">
        <f>'Consolidated Statements of Oper'!F14</f>
        <v>-85970</v>
      </c>
      <c r="I15" s="51">
        <f>-(I12*(I16))</f>
        <v>-85082.71881051948</v>
      </c>
      <c r="J15" s="25">
        <f t="shared" ref="J15:M15" si="10">-(J12*(J16))</f>
        <v>-111515.42527284755</v>
      </c>
      <c r="K15" s="25">
        <f t="shared" si="10"/>
        <v>-116133.6008564635</v>
      </c>
      <c r="L15" s="25">
        <f t="shared" si="10"/>
        <v>-128801.83184347935</v>
      </c>
      <c r="M15" s="25">
        <f t="shared" si="10"/>
        <v>-148153.36177768084</v>
      </c>
    </row>
    <row r="16" spans="2:13" x14ac:dyDescent="0.25">
      <c r="B16" s="28" t="s">
        <v>113</v>
      </c>
      <c r="D16" s="26">
        <f>-D15/D12</f>
        <v>0.24436865708212957</v>
      </c>
      <c r="E16" s="26">
        <f t="shared" ref="E16:H16" si="11">-E15/E12</f>
        <v>0.18973544893169372</v>
      </c>
      <c r="F16" s="26">
        <f t="shared" si="11"/>
        <v>0.2299177666382097</v>
      </c>
      <c r="G16" s="26">
        <f t="shared" si="11"/>
        <v>0.21620895707918242</v>
      </c>
      <c r="H16" s="26">
        <f t="shared" si="11"/>
        <v>0.21869530709430585</v>
      </c>
      <c r="I16" s="53">
        <f>AVERAGE(F16:H16)</f>
        <v>0.22160734360389933</v>
      </c>
      <c r="J16" s="37">
        <f t="shared" ref="J16:M16" si="12">AVERAGE(G16:I16)</f>
        <v>0.21883720259246253</v>
      </c>
      <c r="K16" s="37">
        <f t="shared" si="12"/>
        <v>0.21971328443022256</v>
      </c>
      <c r="L16" s="37">
        <f t="shared" si="12"/>
        <v>0.22005261020886147</v>
      </c>
      <c r="M16" s="37">
        <f t="shared" si="12"/>
        <v>0.21953436574384885</v>
      </c>
    </row>
    <row r="17" spans="2:13" x14ac:dyDescent="0.25">
      <c r="I17" s="49"/>
    </row>
    <row r="18" spans="2:13" x14ac:dyDescent="0.25">
      <c r="B18" s="22" t="s">
        <v>119</v>
      </c>
      <c r="C18" s="21"/>
      <c r="D18" s="21"/>
      <c r="E18" s="21"/>
      <c r="F18" s="21"/>
      <c r="G18" s="21"/>
      <c r="H18" s="21"/>
      <c r="I18" s="54"/>
      <c r="J18" s="21"/>
      <c r="K18" s="21"/>
      <c r="L18" s="21"/>
      <c r="M18" s="21"/>
    </row>
    <row r="19" spans="2:13" x14ac:dyDescent="0.25">
      <c r="B19" t="s">
        <v>120</v>
      </c>
      <c r="I19" s="49"/>
    </row>
    <row r="20" spans="2:13" x14ac:dyDescent="0.25">
      <c r="B20" s="27" t="s">
        <v>122</v>
      </c>
      <c r="D20" s="25">
        <f>'Consolidated Statement of Cash '!B6</f>
        <v>58230</v>
      </c>
      <c r="E20" s="25">
        <f>'Consolidated Statement of Cash '!C6</f>
        <v>121725</v>
      </c>
      <c r="F20" s="25">
        <f>'Consolidated Statement of Cash '!D6</f>
        <v>146601</v>
      </c>
      <c r="G20" s="25">
        <f>'Consolidated Statement of Cash '!E6</f>
        <v>115571</v>
      </c>
      <c r="H20" s="25">
        <f>'Consolidated Statement of Cash '!F6</f>
        <v>117399</v>
      </c>
      <c r="I20" s="51">
        <f>I21*I9</f>
        <v>159124.42749399543</v>
      </c>
      <c r="J20" s="25">
        <f t="shared" ref="J20:M20" si="13">J21*J9</f>
        <v>160624.41742727038</v>
      </c>
      <c r="K20" s="25">
        <f t="shared" si="13"/>
        <v>179823.98956059318</v>
      </c>
      <c r="L20" s="25">
        <f t="shared" si="13"/>
        <v>207314.26640289795</v>
      </c>
      <c r="M20" s="25">
        <f t="shared" si="13"/>
        <v>226776.45271850188</v>
      </c>
    </row>
    <row r="21" spans="2:13" x14ac:dyDescent="0.25">
      <c r="B21" s="29" t="s">
        <v>111</v>
      </c>
      <c r="D21" s="26">
        <f>D20/D9</f>
        <v>2.0779167020539367E-2</v>
      </c>
      <c r="E21" s="26">
        <f>E20/E9</f>
        <v>4.0008506224202774E-2</v>
      </c>
      <c r="F21" s="26">
        <f>F20/F9</f>
        <v>5.8603971771147054E-2</v>
      </c>
      <c r="G21" s="26">
        <f>G20/G9</f>
        <v>3.6966135512963468E-2</v>
      </c>
      <c r="H21" s="26">
        <f>H20/H9</f>
        <v>3.3889679205762337E-2</v>
      </c>
      <c r="I21" s="53">
        <f>AVERAGE(F21:H21)</f>
        <v>4.3153262163290955E-2</v>
      </c>
      <c r="J21" s="37">
        <f t="shared" ref="J21:M21" si="14">AVERAGE(G21:I21)</f>
        <v>3.800302562733892E-2</v>
      </c>
      <c r="K21" s="37">
        <f t="shared" si="14"/>
        <v>3.8348655665464075E-2</v>
      </c>
      <c r="L21" s="37">
        <f t="shared" si="14"/>
        <v>3.9834981152031317E-2</v>
      </c>
      <c r="M21" s="37">
        <f t="shared" si="14"/>
        <v>3.8728887481611435E-2</v>
      </c>
    </row>
    <row r="22" spans="2:13" x14ac:dyDescent="0.25">
      <c r="B22" s="27" t="s">
        <v>121</v>
      </c>
      <c r="D22" s="25">
        <f>'Consolidated Statement of Cash '!B9</f>
        <v>1462</v>
      </c>
      <c r="E22" s="25">
        <f>'Consolidated Statement of Cash '!C9</f>
        <v>-1808</v>
      </c>
      <c r="F22" s="25">
        <f>'Consolidated Statement of Cash '!D9</f>
        <v>-11263</v>
      </c>
      <c r="G22" s="25">
        <f>'Consolidated Statement of Cash '!E9</f>
        <v>-9798</v>
      </c>
      <c r="H22" s="25">
        <f>'Consolidated Statement of Cash '!F9</f>
        <v>-8118</v>
      </c>
      <c r="I22" s="51">
        <f>I9*I23</f>
        <v>-12266.571485608585</v>
      </c>
      <c r="J22" s="25">
        <f t="shared" ref="J22:M22" si="15">J9*J23</f>
        <v>-12403.697935772112</v>
      </c>
      <c r="K22" s="25">
        <f t="shared" si="15"/>
        <v>-13449.658414990359</v>
      </c>
      <c r="L22" s="25">
        <f t="shared" si="15"/>
        <v>-15837.606495289841</v>
      </c>
      <c r="M22" s="25">
        <f t="shared" si="15"/>
        <v>-17265.973456692998</v>
      </c>
    </row>
    <row r="23" spans="2:13" x14ac:dyDescent="0.25">
      <c r="B23" s="29" t="s">
        <v>111</v>
      </c>
      <c r="D23" s="26">
        <f>D22/D9</f>
        <v>5.2170946563676035E-4</v>
      </c>
      <c r="E23" s="26">
        <f>E22/E9</f>
        <v>-5.942524481688939E-4</v>
      </c>
      <c r="F23" s="26">
        <f>F22/F9</f>
        <v>-4.5024013073473529E-3</v>
      </c>
      <c r="G23" s="26">
        <f>G22/G9</f>
        <v>-3.1339539828851184E-3</v>
      </c>
      <c r="H23" s="26">
        <f>H22/H9</f>
        <v>-2.3434306577771414E-3</v>
      </c>
      <c r="I23" s="53">
        <f>AVERAGE(F23:H23)</f>
        <v>-3.3265953160032044E-3</v>
      </c>
      <c r="J23" s="37">
        <f t="shared" ref="J23:M23" si="16">AVERAGE(G23:I23)</f>
        <v>-2.9346599855551545E-3</v>
      </c>
      <c r="K23" s="37">
        <f t="shared" si="16"/>
        <v>-2.8682286531118337E-3</v>
      </c>
      <c r="L23" s="37">
        <f t="shared" si="16"/>
        <v>-3.0431613182233977E-3</v>
      </c>
      <c r="M23" s="37">
        <f t="shared" si="16"/>
        <v>-2.9486833189634621E-3</v>
      </c>
    </row>
    <row r="24" spans="2:13" x14ac:dyDescent="0.25">
      <c r="B24" s="27" t="s">
        <v>123</v>
      </c>
      <c r="D24" s="25">
        <f>'Consolidated Statement of Cash '!B10</f>
        <v>14291</v>
      </c>
      <c r="E24" s="25">
        <f>'Consolidated Statement of Cash '!C10</f>
        <v>17832</v>
      </c>
      <c r="F24" s="25">
        <f>'Consolidated Statement of Cash '!D10</f>
        <v>17778</v>
      </c>
      <c r="G24" s="25">
        <f>'Consolidated Statement of Cash '!E10</f>
        <v>19126</v>
      </c>
      <c r="H24" s="25">
        <f>'Consolidated Statement of Cash '!F10</f>
        <v>21021</v>
      </c>
      <c r="I24" s="51">
        <f>I25*I9</f>
        <v>23713.228832723864</v>
      </c>
      <c r="J24" s="25">
        <f t="shared" ref="J24:M24" si="17">J25*J9</f>
        <v>26228.39143662628</v>
      </c>
      <c r="K24" s="25">
        <f t="shared" si="17"/>
        <v>29236.309697697514</v>
      </c>
      <c r="L24" s="25">
        <f t="shared" si="17"/>
        <v>32737.288345194884</v>
      </c>
      <c r="M24" s="25">
        <f t="shared" si="17"/>
        <v>36559.225215873324</v>
      </c>
    </row>
    <row r="25" spans="2:13" x14ac:dyDescent="0.25">
      <c r="B25" s="29" t="s">
        <v>111</v>
      </c>
      <c r="D25" s="26">
        <f>D24/D9</f>
        <v>5.0996921842783463E-3</v>
      </c>
      <c r="E25" s="26">
        <f>E24/E9</f>
        <v>5.861011977736569E-3</v>
      </c>
      <c r="F25" s="26">
        <f>F24/F9</f>
        <v>7.1067824240452137E-3</v>
      </c>
      <c r="G25" s="26">
        <f>G24/G9</f>
        <v>6.1175754109676237E-3</v>
      </c>
      <c r="H25" s="26">
        <f>H24/H9</f>
        <v>6.0681517439188579E-3</v>
      </c>
      <c r="I25" s="53">
        <f>AVERAGE(F25:H25)</f>
        <v>6.4308365263105642E-3</v>
      </c>
      <c r="J25" s="37">
        <f t="shared" ref="J25:M25" si="18">AVERAGE(G25:I25)</f>
        <v>6.2055212270656817E-3</v>
      </c>
      <c r="K25" s="37">
        <f t="shared" si="18"/>
        <v>6.2348364990983673E-3</v>
      </c>
      <c r="L25" s="37">
        <f t="shared" si="18"/>
        <v>6.2903980841582038E-3</v>
      </c>
      <c r="M25" s="37">
        <f t="shared" si="18"/>
        <v>6.2435852701074176E-3</v>
      </c>
    </row>
    <row r="26" spans="2:13" x14ac:dyDescent="0.25">
      <c r="I26" s="55"/>
      <c r="J26" s="28"/>
      <c r="K26" s="28"/>
      <c r="L26" s="28"/>
      <c r="M26" s="28"/>
    </row>
    <row r="27" spans="2:13" x14ac:dyDescent="0.25">
      <c r="B27" t="s">
        <v>124</v>
      </c>
      <c r="D27" s="25">
        <f>'Consolidated Statement of Cash '!B25</f>
        <v>-65603</v>
      </c>
      <c r="E27" s="25">
        <f>'Consolidated Statement of Cash '!C25</f>
        <v>-123516</v>
      </c>
      <c r="F27" s="25">
        <f>'Consolidated Statement of Cash '!D25</f>
        <v>28758</v>
      </c>
      <c r="G27" s="25">
        <f>'Consolidated Statement of Cash '!E25</f>
        <v>34744</v>
      </c>
      <c r="H27" s="25">
        <f>'Consolidated Statement of Cash '!F25</f>
        <v>58467</v>
      </c>
      <c r="I27" s="51">
        <f>I28*I9</f>
        <v>48534.962496942499</v>
      </c>
      <c r="J27" s="25">
        <f t="shared" ref="J27:M27" si="19">J28*J9</f>
        <v>57979.542089667404</v>
      </c>
      <c r="K27" s="25">
        <f t="shared" si="19"/>
        <v>68396.028656535564</v>
      </c>
      <c r="L27" s="25">
        <f t="shared" si="19"/>
        <v>71934.032276338228</v>
      </c>
      <c r="M27" s="25">
        <f t="shared" si="19"/>
        <v>82221.90258278689</v>
      </c>
    </row>
    <row r="28" spans="2:13" x14ac:dyDescent="0.25">
      <c r="B28" t="s">
        <v>111</v>
      </c>
      <c r="D28" s="26">
        <f>D27/D9</f>
        <v>-2.3410195673165792E-2</v>
      </c>
      <c r="E28" s="26">
        <f>E27/E9</f>
        <v>-4.0597171121697508E-2</v>
      </c>
      <c r="F28" s="26">
        <f>F27/F9</f>
        <v>1.149605405280078E-2</v>
      </c>
      <c r="G28" s="26">
        <f>G27/G9</f>
        <v>1.1113094221408507E-2</v>
      </c>
      <c r="H28" s="26">
        <f>H27/H9</f>
        <v>1.6877723610280379E-2</v>
      </c>
      <c r="I28" s="53">
        <f>AVERAGE(F28:H28)</f>
        <v>1.3162290628163223E-2</v>
      </c>
      <c r="J28" s="37">
        <f t="shared" ref="J28:M28" si="20">AVERAGE(G28:I28)</f>
        <v>1.3717702819950703E-2</v>
      </c>
      <c r="K28" s="37">
        <f t="shared" si="20"/>
        <v>1.4585905686131434E-2</v>
      </c>
      <c r="L28" s="37">
        <f t="shared" si="20"/>
        <v>1.3821966378081786E-2</v>
      </c>
      <c r="M28" s="37">
        <f t="shared" si="20"/>
        <v>1.4041858294721307E-2</v>
      </c>
    </row>
    <row r="29" spans="2:13" x14ac:dyDescent="0.25">
      <c r="I29" s="55"/>
      <c r="J29" s="28"/>
      <c r="K29" s="28"/>
      <c r="L29" s="28"/>
      <c r="M29" s="28"/>
    </row>
    <row r="30" spans="2:13" x14ac:dyDescent="0.25">
      <c r="B30" t="s">
        <v>125</v>
      </c>
      <c r="D30" s="25">
        <f>SUM('Consolidated Statement of Cash '!B12:B14)+SUM('Consolidated Statement of Cash '!B16:B19)</f>
        <v>-51670</v>
      </c>
      <c r="E30" s="25">
        <f>SUM('Consolidated Statement of Cash '!C12:C14)+SUM('Consolidated Statement of Cash '!C16:C19)</f>
        <v>-191710</v>
      </c>
      <c r="F30" s="25">
        <f>SUM('Consolidated Statement of Cash '!D12:D14)+SUM('Consolidated Statement of Cash '!D16:D19)</f>
        <v>81285</v>
      </c>
      <c r="G30" s="25">
        <f>SUM('Consolidated Statement of Cash '!E12:E14)+SUM('Consolidated Statement of Cash '!E16:E19)</f>
        <v>55157</v>
      </c>
      <c r="H30" s="25">
        <f>SUM('Consolidated Statement of Cash '!F12:F14)+SUM('Consolidated Statement of Cash '!F16:F19)</f>
        <v>-372105</v>
      </c>
      <c r="I30" s="51">
        <f>I9*I31</f>
        <v>-70404.958507131436</v>
      </c>
      <c r="J30" s="25">
        <f t="shared" ref="J30:M30" si="21">J9*J31</f>
        <v>-153379.64111140312</v>
      </c>
      <c r="K30" s="25">
        <f t="shared" si="21"/>
        <v>-254463.53760568978</v>
      </c>
      <c r="L30" s="25">
        <f t="shared" si="21"/>
        <v>-190215.08696610216</v>
      </c>
      <c r="M30" s="25">
        <f t="shared" si="21"/>
        <v>-248085.98224752108</v>
      </c>
    </row>
    <row r="31" spans="2:13" x14ac:dyDescent="0.25">
      <c r="B31" t="s">
        <v>111</v>
      </c>
      <c r="D31" s="26">
        <f>D30/D9</f>
        <v>-1.8438254507148703E-2</v>
      </c>
      <c r="E31" s="26">
        <f>E30/E9</f>
        <v>-6.301113763189084E-2</v>
      </c>
      <c r="F31" s="26">
        <f>F30/F9</f>
        <v>3.2493801852768317E-2</v>
      </c>
      <c r="G31" s="26">
        <f>G30/G9</f>
        <v>1.7642324947335628E-2</v>
      </c>
      <c r="H31" s="26">
        <f>H30/H9</f>
        <v>-0.10741589860952984</v>
      </c>
      <c r="I31" s="52">
        <f>AVERAGE(F31:H31)</f>
        <v>-1.9093257269808633E-2</v>
      </c>
      <c r="J31" s="26">
        <f t="shared" ref="J31:M31" si="22">AVERAGE(G31:I31)</f>
        <v>-3.6288943644000947E-2</v>
      </c>
      <c r="K31" s="26">
        <f t="shared" si="22"/>
        <v>-5.4266033174446476E-2</v>
      </c>
      <c r="L31" s="26">
        <f t="shared" si="22"/>
        <v>-3.654941136275202E-2</v>
      </c>
      <c r="M31" s="26">
        <f t="shared" si="22"/>
        <v>-4.2368129393733155E-2</v>
      </c>
    </row>
    <row r="32" spans="2:13" x14ac:dyDescent="0.25">
      <c r="I32" s="49"/>
    </row>
    <row r="33" spans="2:13" x14ac:dyDescent="0.25">
      <c r="I33" s="49"/>
    </row>
    <row r="34" spans="2:13" x14ac:dyDescent="0.25">
      <c r="B34" s="22" t="s">
        <v>126</v>
      </c>
      <c r="C34" s="21"/>
      <c r="D34" s="21"/>
      <c r="E34" s="21"/>
      <c r="F34" s="21"/>
      <c r="G34" s="21"/>
      <c r="H34" s="21"/>
      <c r="I34" s="54"/>
      <c r="J34" s="21"/>
      <c r="K34" s="21"/>
      <c r="L34" s="21"/>
      <c r="M34" s="21"/>
    </row>
    <row r="35" spans="2:13" x14ac:dyDescent="0.25">
      <c r="B35" t="s">
        <v>108</v>
      </c>
      <c r="D35" s="25">
        <f>D9</f>
        <v>2802326</v>
      </c>
      <c r="E35" s="25">
        <f t="shared" ref="E35:H35" si="23">E9</f>
        <v>3042478</v>
      </c>
      <c r="F35" s="25">
        <f t="shared" si="23"/>
        <v>2501554</v>
      </c>
      <c r="G35" s="25">
        <f t="shared" si="23"/>
        <v>3126402</v>
      </c>
      <c r="H35" s="25">
        <f t="shared" si="23"/>
        <v>3464152</v>
      </c>
      <c r="I35" s="51">
        <f>I9</f>
        <v>3687425.2262058947</v>
      </c>
      <c r="J35" s="25">
        <f t="shared" ref="J35:M35" si="24">J9</f>
        <v>4226621.8222298361</v>
      </c>
      <c r="K35" s="25">
        <f t="shared" si="24"/>
        <v>4689186.2684651697</v>
      </c>
      <c r="L35" s="25">
        <f t="shared" si="24"/>
        <v>5204326.9610616174</v>
      </c>
      <c r="M35" s="25">
        <f t="shared" si="24"/>
        <v>5855485.8521607639</v>
      </c>
    </row>
    <row r="36" spans="2:13" x14ac:dyDescent="0.25">
      <c r="B36" t="s">
        <v>109</v>
      </c>
      <c r="E36" s="37">
        <f>E10</f>
        <v>8.5697381389602784E-2</v>
      </c>
      <c r="F36" s="37">
        <f t="shared" ref="F36:H36" si="25">F10</f>
        <v>-0.17779060358037099</v>
      </c>
      <c r="G36" s="37">
        <f t="shared" si="25"/>
        <v>0.24978393430643511</v>
      </c>
      <c r="H36" s="37">
        <f t="shared" si="25"/>
        <v>0.10803153273315459</v>
      </c>
      <c r="I36" s="53">
        <f>I10</f>
        <v>6.4452491174144422E-2</v>
      </c>
      <c r="J36" s="37">
        <f t="shared" ref="J36:M36" si="26">J10</f>
        <v>0.14622577081481253</v>
      </c>
      <c r="K36" s="37">
        <f t="shared" si="26"/>
        <v>0.10944069890579866</v>
      </c>
      <c r="L36" s="37">
        <f t="shared" si="26"/>
        <v>0.1098571613716381</v>
      </c>
      <c r="M36" s="37">
        <f t="shared" si="26"/>
        <v>0.12511875137190043</v>
      </c>
    </row>
    <row r="37" spans="2:13" x14ac:dyDescent="0.25">
      <c r="I37" s="49"/>
    </row>
    <row r="38" spans="2:13" x14ac:dyDescent="0.25">
      <c r="B38" t="s">
        <v>110</v>
      </c>
      <c r="D38" s="25">
        <f>D12</f>
        <v>350982</v>
      </c>
      <c r="E38" s="25">
        <f t="shared" ref="E38:H38" si="27">E12</f>
        <v>394971</v>
      </c>
      <c r="F38" s="25">
        <f t="shared" si="27"/>
        <v>137049</v>
      </c>
      <c r="G38" s="25">
        <f t="shared" si="27"/>
        <v>450504</v>
      </c>
      <c r="H38" s="25">
        <f t="shared" si="27"/>
        <v>393104</v>
      </c>
      <c r="I38" s="51">
        <f>I12</f>
        <v>383934.56384097191</v>
      </c>
      <c r="J38" s="25">
        <f t="shared" ref="J38:M38" si="28">J12</f>
        <v>509581.66139841027</v>
      </c>
      <c r="K38" s="25">
        <f t="shared" si="28"/>
        <v>528568.86263218045</v>
      </c>
      <c r="L38" s="25">
        <f t="shared" si="28"/>
        <v>585322.89947039459</v>
      </c>
      <c r="M38" s="25">
        <f t="shared" si="28"/>
        <v>674852.71053437318</v>
      </c>
    </row>
    <row r="39" spans="2:13" x14ac:dyDescent="0.25">
      <c r="B39" t="s">
        <v>109</v>
      </c>
      <c r="E39" s="37">
        <f>E13</f>
        <v>0.1298188516071439</v>
      </c>
      <c r="F39" s="37">
        <f t="shared" ref="F39:H39" si="29">F13</f>
        <v>5.4785545305038388E-2</v>
      </c>
      <c r="G39" s="37">
        <f t="shared" si="29"/>
        <v>0.14409663248680113</v>
      </c>
      <c r="H39" s="37">
        <f t="shared" si="29"/>
        <v>0.11347769959285851</v>
      </c>
      <c r="I39" s="53">
        <f>I13</f>
        <v>0.10411995912823269</v>
      </c>
      <c r="J39" s="37">
        <f t="shared" ref="J39:M39" si="30">J13</f>
        <v>0.1205647637359641</v>
      </c>
      <c r="K39" s="37">
        <f t="shared" si="30"/>
        <v>0.1127208074856851</v>
      </c>
      <c r="L39" s="37">
        <f t="shared" si="30"/>
        <v>0.11246851011662728</v>
      </c>
      <c r="M39" s="37">
        <f t="shared" si="30"/>
        <v>0.11525136044609215</v>
      </c>
    </row>
    <row r="40" spans="2:13" x14ac:dyDescent="0.25">
      <c r="I40" s="49"/>
    </row>
    <row r="41" spans="2:13" x14ac:dyDescent="0.25">
      <c r="B41" t="s">
        <v>112</v>
      </c>
      <c r="D41" s="25">
        <f>D15</f>
        <v>-85769</v>
      </c>
      <c r="E41" s="25">
        <f t="shared" ref="E41:H41" si="31">E15</f>
        <v>-74940</v>
      </c>
      <c r="F41" s="25">
        <f t="shared" si="31"/>
        <v>-31510</v>
      </c>
      <c r="G41" s="25">
        <f t="shared" si="31"/>
        <v>-97403</v>
      </c>
      <c r="H41" s="25">
        <f t="shared" si="31"/>
        <v>-85970</v>
      </c>
      <c r="I41" s="51">
        <f>I15</f>
        <v>-85082.71881051948</v>
      </c>
      <c r="J41" s="25">
        <f t="shared" ref="J41:M41" si="32">J15</f>
        <v>-111515.42527284755</v>
      </c>
      <c r="K41" s="25">
        <f t="shared" si="32"/>
        <v>-116133.6008564635</v>
      </c>
      <c r="L41" s="25">
        <f t="shared" si="32"/>
        <v>-128801.83184347935</v>
      </c>
      <c r="M41" s="25">
        <f t="shared" si="32"/>
        <v>-148153.36177768084</v>
      </c>
    </row>
    <row r="42" spans="2:13" x14ac:dyDescent="0.25">
      <c r="B42" t="s">
        <v>127</v>
      </c>
      <c r="E42" s="37">
        <f>E16</f>
        <v>0.18973544893169372</v>
      </c>
      <c r="F42" s="37">
        <f t="shared" ref="F42:H42" si="33">F16</f>
        <v>0.2299177666382097</v>
      </c>
      <c r="G42" s="37">
        <f t="shared" si="33"/>
        <v>0.21620895707918242</v>
      </c>
      <c r="H42" s="37">
        <f t="shared" si="33"/>
        <v>0.21869530709430585</v>
      </c>
      <c r="I42" s="53">
        <f>I16</f>
        <v>0.22160734360389933</v>
      </c>
      <c r="J42" s="37">
        <f t="shared" ref="J42:M42" si="34">J16</f>
        <v>0.21883720259246253</v>
      </c>
      <c r="K42" s="37">
        <f t="shared" si="34"/>
        <v>0.21971328443022256</v>
      </c>
      <c r="L42" s="37">
        <f t="shared" si="34"/>
        <v>0.22005261020886147</v>
      </c>
      <c r="M42" s="37">
        <f t="shared" si="34"/>
        <v>0.21953436574384885</v>
      </c>
    </row>
    <row r="43" spans="2:13" x14ac:dyDescent="0.25">
      <c r="I43" s="49"/>
    </row>
    <row r="44" spans="2:13" x14ac:dyDescent="0.25">
      <c r="B44" s="30" t="s">
        <v>128</v>
      </c>
      <c r="C44" s="31"/>
      <c r="D44" s="31"/>
      <c r="E44" s="31"/>
      <c r="F44" s="31"/>
      <c r="G44" s="31"/>
      <c r="H44" s="31"/>
      <c r="I44" s="56">
        <f>I38+I41</f>
        <v>298851.84503045242</v>
      </c>
      <c r="J44" s="48">
        <f t="shared" ref="J44:M44" si="35">J38+J41</f>
        <v>398066.23612556269</v>
      </c>
      <c r="K44" s="48">
        <f t="shared" si="35"/>
        <v>412435.26177571696</v>
      </c>
      <c r="L44" s="48">
        <f t="shared" si="35"/>
        <v>456521.06762691523</v>
      </c>
      <c r="M44" s="48">
        <f t="shared" si="35"/>
        <v>526699.34875669237</v>
      </c>
    </row>
    <row r="45" spans="2:13" x14ac:dyDescent="0.25">
      <c r="I45" s="49"/>
    </row>
    <row r="46" spans="2:13" x14ac:dyDescent="0.25">
      <c r="B46" t="s">
        <v>120</v>
      </c>
      <c r="I46" s="49"/>
    </row>
    <row r="47" spans="2:13" x14ac:dyDescent="0.25">
      <c r="B47" s="27" t="s">
        <v>122</v>
      </c>
      <c r="I47" s="51">
        <f>I20</f>
        <v>159124.42749399543</v>
      </c>
      <c r="J47" s="57">
        <f t="shared" ref="J47:M47" si="36">J20</f>
        <v>160624.41742727038</v>
      </c>
      <c r="K47" s="57">
        <f t="shared" si="36"/>
        <v>179823.98956059318</v>
      </c>
      <c r="L47" s="57">
        <f t="shared" si="36"/>
        <v>207314.26640289795</v>
      </c>
      <c r="M47" s="57">
        <f t="shared" si="36"/>
        <v>226776.45271850188</v>
      </c>
    </row>
    <row r="48" spans="2:13" x14ac:dyDescent="0.25">
      <c r="B48" s="27" t="s">
        <v>121</v>
      </c>
      <c r="I48" s="51">
        <f>I22</f>
        <v>-12266.571485608585</v>
      </c>
      <c r="J48" s="57">
        <f>J22</f>
        <v>-12403.697935772112</v>
      </c>
      <c r="K48" s="57">
        <f>K22</f>
        <v>-13449.658414990359</v>
      </c>
      <c r="L48" s="57">
        <f>L22</f>
        <v>-15837.606495289841</v>
      </c>
      <c r="M48" s="57">
        <f>M22</f>
        <v>-17265.973456692998</v>
      </c>
    </row>
    <row r="49" spans="2:13" x14ac:dyDescent="0.25">
      <c r="B49" s="27" t="s">
        <v>123</v>
      </c>
      <c r="I49" s="51">
        <f>I24</f>
        <v>23713.228832723864</v>
      </c>
      <c r="J49" s="57">
        <f>J24</f>
        <v>26228.39143662628</v>
      </c>
      <c r="K49" s="57">
        <f>K24</f>
        <v>29236.309697697514</v>
      </c>
      <c r="L49" s="57">
        <f>L24</f>
        <v>32737.288345194884</v>
      </c>
      <c r="M49" s="57">
        <f>M24</f>
        <v>36559.225215873324</v>
      </c>
    </row>
    <row r="50" spans="2:13" x14ac:dyDescent="0.25">
      <c r="B50" s="29"/>
      <c r="I50" s="51"/>
      <c r="J50" s="57"/>
      <c r="K50" s="57"/>
      <c r="L50" s="57"/>
      <c r="M50" s="57"/>
    </row>
    <row r="51" spans="2:13" x14ac:dyDescent="0.25">
      <c r="B51" t="s">
        <v>124</v>
      </c>
      <c r="I51" s="51">
        <f>I27</f>
        <v>48534.962496942499</v>
      </c>
      <c r="J51" s="57">
        <f t="shared" ref="J51:M51" si="37">J27</f>
        <v>57979.542089667404</v>
      </c>
      <c r="K51" s="57">
        <f t="shared" si="37"/>
        <v>68396.028656535564</v>
      </c>
      <c r="L51" s="57">
        <f t="shared" si="37"/>
        <v>71934.032276338228</v>
      </c>
      <c r="M51" s="57">
        <f t="shared" si="37"/>
        <v>82221.90258278689</v>
      </c>
    </row>
    <row r="52" spans="2:13" x14ac:dyDescent="0.25">
      <c r="I52" s="51"/>
      <c r="J52" s="57"/>
      <c r="K52" s="57"/>
      <c r="L52" s="57"/>
      <c r="M52" s="57"/>
    </row>
    <row r="53" spans="2:13" x14ac:dyDescent="0.25">
      <c r="B53" t="s">
        <v>125</v>
      </c>
      <c r="I53" s="51">
        <f>I30</f>
        <v>-70404.958507131436</v>
      </c>
      <c r="J53" s="57">
        <f t="shared" ref="J53:M53" si="38">J30</f>
        <v>-153379.64111140312</v>
      </c>
      <c r="K53" s="57">
        <f t="shared" si="38"/>
        <v>-254463.53760568978</v>
      </c>
      <c r="L53" s="57">
        <f t="shared" si="38"/>
        <v>-190215.08696610216</v>
      </c>
      <c r="M53" s="57">
        <f t="shared" si="38"/>
        <v>-248085.98224752108</v>
      </c>
    </row>
    <row r="54" spans="2:13" x14ac:dyDescent="0.25">
      <c r="I54" s="49"/>
    </row>
    <row r="55" spans="2:13" x14ac:dyDescent="0.25">
      <c r="B55" s="33" t="s">
        <v>129</v>
      </c>
      <c r="C55" s="31"/>
      <c r="D55" s="31"/>
      <c r="E55" s="31"/>
      <c r="F55" s="31"/>
      <c r="G55" s="31"/>
      <c r="H55" s="31"/>
      <c r="I55" s="56">
        <f>I44+SUM(I47:I49)-I51+I53</f>
        <v>350483.00886748917</v>
      </c>
      <c r="J55" s="48">
        <f>J44+SUM(J47:J49)-J51+J53</f>
        <v>361156.1638526168</v>
      </c>
      <c r="K55" s="48">
        <f>K44+SUM(K47:K49)-K51+K53</f>
        <v>285186.33635679196</v>
      </c>
      <c r="L55" s="48">
        <f>L44+SUM(L47:L49)-L51+L53</f>
        <v>418585.89663727791</v>
      </c>
      <c r="M55" s="58">
        <f>M44+SUM(M47:M49)-M51+M53</f>
        <v>442461.1684040667</v>
      </c>
    </row>
    <row r="56" spans="2:13" x14ac:dyDescent="0.25">
      <c r="B56" s="33" t="s">
        <v>130</v>
      </c>
      <c r="C56" s="31"/>
      <c r="D56" s="31"/>
      <c r="E56" s="31"/>
      <c r="F56" s="31"/>
      <c r="G56" s="31"/>
      <c r="H56" s="31"/>
      <c r="I56" s="56">
        <f>I55/(1+'Cost of Capital'!$H$22)^FCFF!I7</f>
        <v>319563.77554638631</v>
      </c>
      <c r="J56" s="48">
        <f>J55/(1+'Cost of Capital'!$H$22)^FCFF!J7</f>
        <v>300245.27485536376</v>
      </c>
      <c r="K56" s="48">
        <f>K55/(1+'Cost of Capital'!$H$22)^FCFF!K7</f>
        <v>216172.49698819878</v>
      </c>
      <c r="L56" s="48">
        <f>L55/(1+'Cost of Capital'!$H$22)^FCFF!L7</f>
        <v>289298.97280501621</v>
      </c>
      <c r="M56" s="58">
        <f>M55/(1+'Cost of Capital'!$H$22)^FCFF!M7</f>
        <v>278822.64122307242</v>
      </c>
    </row>
    <row r="59" spans="2:13" x14ac:dyDescent="0.25">
      <c r="B59" t="s">
        <v>131</v>
      </c>
      <c r="M59" s="23">
        <f>M55*(1+'Cost of Capital'!H24)/('Cost of Capital'!H22-'Cost of Capital'!H24)</f>
        <v>6827030.4392391341</v>
      </c>
    </row>
    <row r="60" spans="2:13" x14ac:dyDescent="0.25">
      <c r="B60" s="9" t="s">
        <v>132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66">
        <f>M59/(1+'Cost of Capital'!H22)^FCFF!M7</f>
        <v>4302141.7351603955</v>
      </c>
    </row>
    <row r="61" spans="2:13" x14ac:dyDescent="0.25">
      <c r="B61" s="32" t="s">
        <v>135</v>
      </c>
      <c r="M61" s="23">
        <f>SUM(I56:M56)+M60</f>
        <v>5706244.896578433</v>
      </c>
    </row>
    <row r="62" spans="2:13" x14ac:dyDescent="0.25">
      <c r="B62" s="34" t="s">
        <v>133</v>
      </c>
      <c r="M62" s="15">
        <f>'Consolidated Balance Sheets'!E3+'Consolidated Balance Sheets'!E4</f>
        <v>430963</v>
      </c>
    </row>
    <row r="63" spans="2:13" x14ac:dyDescent="0.25">
      <c r="B63" s="35" t="s">
        <v>134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65">
        <v>0</v>
      </c>
    </row>
    <row r="64" spans="2:13" x14ac:dyDescent="0.25">
      <c r="B64" t="s">
        <v>136</v>
      </c>
      <c r="M64" s="23">
        <f>M61+M62-M63</f>
        <v>6137207.896578433</v>
      </c>
    </row>
    <row r="65" spans="2:13" x14ac:dyDescent="0.25">
      <c r="B65" s="9" t="s">
        <v>177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67">
        <f>'Consolidated Statements of Oper'!F20</f>
        <v>62754</v>
      </c>
    </row>
    <row r="66" spans="2:13" x14ac:dyDescent="0.25">
      <c r="B66" s="36" t="s">
        <v>137</v>
      </c>
      <c r="M66" s="24">
        <f>M64/M65</f>
        <v>97.797875778092759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A554-50E6-433B-B4FD-F4E858B8A2E4}">
  <dimension ref="A3:O38"/>
  <sheetViews>
    <sheetView showGridLines="0" topLeftCell="A13" zoomScale="120" zoomScaleNormal="120" workbookViewId="0">
      <selection activeCell="C40" sqref="C40"/>
    </sheetView>
  </sheetViews>
  <sheetFormatPr defaultRowHeight="15" x14ac:dyDescent="0.25"/>
  <cols>
    <col min="2" max="2" width="34.7109375" customWidth="1"/>
    <col min="3" max="12" width="14.7109375" customWidth="1"/>
  </cols>
  <sheetData>
    <row r="3" spans="1:15" ht="23.25" x14ac:dyDescent="0.35">
      <c r="B3" s="10" t="s">
        <v>176</v>
      </c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6" spans="1:15" x14ac:dyDescent="0.25">
      <c r="B6" s="39" t="s">
        <v>149</v>
      </c>
      <c r="C6" s="39" t="str">
        <f>2018&amp;"A"</f>
        <v>2018A</v>
      </c>
      <c r="D6" s="39" t="s">
        <v>140</v>
      </c>
      <c r="E6" s="39" t="s">
        <v>141</v>
      </c>
      <c r="F6" s="39" t="s">
        <v>142</v>
      </c>
      <c r="G6" s="39" t="s">
        <v>143</v>
      </c>
      <c r="H6" s="39" t="s">
        <v>144</v>
      </c>
      <c r="I6" s="39" t="s">
        <v>145</v>
      </c>
      <c r="J6" s="39" t="s">
        <v>146</v>
      </c>
      <c r="K6" s="39" t="s">
        <v>147</v>
      </c>
      <c r="L6" s="39" t="s">
        <v>148</v>
      </c>
    </row>
    <row r="7" spans="1:15" x14ac:dyDescent="0.25">
      <c r="B7" t="s">
        <v>138</v>
      </c>
      <c r="C7" s="40">
        <v>1432711</v>
      </c>
      <c r="D7" s="41">
        <v>1562487</v>
      </c>
      <c r="E7" s="41">
        <v>1231835</v>
      </c>
      <c r="F7" s="41">
        <v>1624542</v>
      </c>
      <c r="G7" s="41">
        <v>1829389</v>
      </c>
      <c r="H7" s="41">
        <f>G7*(1+H8)</f>
        <v>1971638.9769110517</v>
      </c>
      <c r="I7" s="41">
        <f t="shared" ref="I7:L7" si="0">H7*(1+I8)</f>
        <v>2315132.5299939686</v>
      </c>
      <c r="J7" s="41">
        <f t="shared" si="0"/>
        <v>2606893.7794474824</v>
      </c>
      <c r="K7" s="41">
        <f t="shared" si="0"/>
        <v>2935361.5430864496</v>
      </c>
      <c r="L7" s="41">
        <f t="shared" si="0"/>
        <v>3352418.2024221937</v>
      </c>
    </row>
    <row r="8" spans="1:15" x14ac:dyDescent="0.25">
      <c r="C8" s="17"/>
      <c r="D8" s="26">
        <f>(D7-C7)/C7</f>
        <v>9.0580724235383131E-2</v>
      </c>
      <c r="E8" s="26">
        <f t="shared" ref="E8:G8" si="1">(E7-D7)/D7</f>
        <v>-0.21161904067041837</v>
      </c>
      <c r="F8" s="26">
        <f t="shared" si="1"/>
        <v>0.31879837802952504</v>
      </c>
      <c r="G8" s="26">
        <f t="shared" si="1"/>
        <v>0.12609523176378326</v>
      </c>
      <c r="H8" s="26">
        <f>AVERAGE(E8:G8)</f>
        <v>7.7758189707629974E-2</v>
      </c>
      <c r="I8" s="26">
        <f t="shared" ref="I8:L8" si="2">AVERAGE(F8:H8)</f>
        <v>0.17421726650031275</v>
      </c>
      <c r="J8" s="26">
        <f t="shared" si="2"/>
        <v>0.12602356265724199</v>
      </c>
      <c r="K8" s="26">
        <f t="shared" si="2"/>
        <v>0.12599967295506156</v>
      </c>
      <c r="L8" s="26">
        <f t="shared" si="2"/>
        <v>0.14208016737087212</v>
      </c>
    </row>
    <row r="9" spans="1:15" x14ac:dyDescent="0.25">
      <c r="B9" t="s">
        <v>139</v>
      </c>
      <c r="C9" s="40">
        <v>295765</v>
      </c>
      <c r="D9" s="41">
        <v>380520</v>
      </c>
      <c r="E9" s="41">
        <v>371948</v>
      </c>
      <c r="F9" s="41">
        <v>435758</v>
      </c>
      <c r="G9" s="41">
        <v>472857</v>
      </c>
      <c r="H9" s="41">
        <f>G9*(1+H10)</f>
        <v>509765.99107357644</v>
      </c>
      <c r="I9" s="41">
        <f t="shared" ref="I9:L9" si="3">H9*(1+I10)</f>
        <v>566647.07967792032</v>
      </c>
      <c r="J9" s="41">
        <f t="shared" si="3"/>
        <v>618547.18120738259</v>
      </c>
      <c r="K9" s="41">
        <f t="shared" si="3"/>
        <v>676531.77684837312</v>
      </c>
      <c r="L9" s="41">
        <f t="shared" si="3"/>
        <v>743489.82513988088</v>
      </c>
    </row>
    <row r="10" spans="1:15" x14ac:dyDescent="0.25">
      <c r="C10" s="17"/>
      <c r="D10" s="26">
        <f>(D9-C9)/C9</f>
        <v>0.2865619664260477</v>
      </c>
      <c r="E10" s="26">
        <f t="shared" ref="E10:G10" si="4">(E9-D9)/D9</f>
        <v>-2.2527068222432462E-2</v>
      </c>
      <c r="F10" s="26">
        <f t="shared" si="4"/>
        <v>0.17155623904416747</v>
      </c>
      <c r="G10" s="26">
        <f t="shared" si="4"/>
        <v>8.5136704317534048E-2</v>
      </c>
      <c r="H10" s="26">
        <f>AVERAGE(E10:G10)</f>
        <v>7.8055291713089683E-2</v>
      </c>
      <c r="I10" s="26">
        <f t="shared" ref="I10:L10" si="5">AVERAGE(F10:H10)</f>
        <v>0.11158274502493039</v>
      </c>
      <c r="J10" s="26">
        <f t="shared" si="5"/>
        <v>9.1591580351851373E-2</v>
      </c>
      <c r="K10" s="26">
        <f t="shared" si="5"/>
        <v>9.374320569662381E-2</v>
      </c>
      <c r="L10" s="26">
        <f t="shared" si="5"/>
        <v>9.8972510357801857E-2</v>
      </c>
    </row>
    <row r="11" spans="1:15" x14ac:dyDescent="0.25">
      <c r="B11" t="s">
        <v>150</v>
      </c>
      <c r="C11" s="17">
        <f>C7+C9</f>
        <v>1728476</v>
      </c>
      <c r="D11" s="17">
        <f t="shared" ref="D11:L11" si="6">D7+D9</f>
        <v>1943007</v>
      </c>
      <c r="E11" s="17">
        <f t="shared" si="6"/>
        <v>1603783</v>
      </c>
      <c r="F11" s="17">
        <f t="shared" si="6"/>
        <v>2060300</v>
      </c>
      <c r="G11" s="17">
        <f t="shared" si="6"/>
        <v>2302246</v>
      </c>
      <c r="H11" s="17">
        <f t="shared" si="6"/>
        <v>2481404.9679846279</v>
      </c>
      <c r="I11" s="17">
        <f t="shared" si="6"/>
        <v>2881779.6096718889</v>
      </c>
      <c r="J11" s="17">
        <f t="shared" si="6"/>
        <v>3225440.960654865</v>
      </c>
      <c r="K11" s="17">
        <f t="shared" si="6"/>
        <v>3611893.3199348226</v>
      </c>
      <c r="L11" s="17">
        <f t="shared" si="6"/>
        <v>4095908.0275620744</v>
      </c>
    </row>
    <row r="14" spans="1:15" x14ac:dyDescent="0.25">
      <c r="B14" s="39" t="s">
        <v>151</v>
      </c>
      <c r="C14" s="39" t="str">
        <f>2018&amp;"A"</f>
        <v>2018A</v>
      </c>
      <c r="D14" s="39" t="s">
        <v>140</v>
      </c>
      <c r="E14" s="39" t="s">
        <v>141</v>
      </c>
      <c r="F14" s="39" t="s">
        <v>142</v>
      </c>
      <c r="G14" s="39" t="s">
        <v>143</v>
      </c>
      <c r="H14" s="39" t="s">
        <v>144</v>
      </c>
      <c r="I14" s="39" t="s">
        <v>145</v>
      </c>
      <c r="J14" s="39" t="s">
        <v>146</v>
      </c>
      <c r="K14" s="39" t="s">
        <v>147</v>
      </c>
      <c r="L14" s="39" t="s">
        <v>148</v>
      </c>
    </row>
    <row r="15" spans="1:15" x14ac:dyDescent="0.25">
      <c r="B15" t="s">
        <v>138</v>
      </c>
      <c r="C15" s="40">
        <v>400240</v>
      </c>
      <c r="D15" s="41">
        <v>395002</v>
      </c>
      <c r="E15" s="41">
        <v>320616</v>
      </c>
      <c r="F15" s="41">
        <v>347071</v>
      </c>
      <c r="G15" s="41">
        <v>354000</v>
      </c>
      <c r="H15" s="41">
        <f>G15*(1+H16)</f>
        <v>343870.78776944126</v>
      </c>
      <c r="I15" s="41">
        <f t="shared" ref="I15" si="7">H15*(1+I16)</f>
        <v>352337.30589712149</v>
      </c>
      <c r="J15" s="41">
        <f t="shared" ref="J15" si="8">I15*(1+J16)</f>
        <v>354213.13096842589</v>
      </c>
      <c r="K15" s="41">
        <f t="shared" ref="K15" si="9">J15*(1+K16)</f>
        <v>354370.35110837617</v>
      </c>
      <c r="L15" s="41">
        <f t="shared" ref="L15" si="10">K15*(1+L16)</f>
        <v>357960.00744167337</v>
      </c>
    </row>
    <row r="16" spans="1:15" x14ac:dyDescent="0.25">
      <c r="C16" s="17"/>
      <c r="D16" s="26">
        <f>(D15-C15)/C15</f>
        <v>-1.3087147711373176E-2</v>
      </c>
      <c r="E16" s="26">
        <f t="shared" ref="E16" si="11">(E15-D15)/D15</f>
        <v>-0.18831803383274009</v>
      </c>
      <c r="F16" s="26">
        <f t="shared" ref="F16:G16" si="12">(F15-E15)/E15</f>
        <v>8.2513037402999229E-2</v>
      </c>
      <c r="G16" s="26">
        <f t="shared" si="12"/>
        <v>1.9964214814836158E-2</v>
      </c>
      <c r="H16" s="26">
        <f>AVERAGE(E16:G16)</f>
        <v>-2.8613593871634906E-2</v>
      </c>
      <c r="I16" s="26">
        <f t="shared" ref="I16" si="13">AVERAGE(F16:H16)</f>
        <v>2.4621219448733491E-2</v>
      </c>
      <c r="J16" s="26">
        <f t="shared" ref="J16" si="14">AVERAGE(G16:I16)</f>
        <v>5.3239467973115809E-3</v>
      </c>
      <c r="K16" s="26">
        <f t="shared" ref="K16" si="15">AVERAGE(H16:J16)</f>
        <v>4.4385745813672189E-4</v>
      </c>
      <c r="L16" s="26">
        <f t="shared" ref="L16" si="16">AVERAGE(I16:K16)</f>
        <v>1.0129674568060599E-2</v>
      </c>
    </row>
    <row r="17" spans="2:12" x14ac:dyDescent="0.25">
      <c r="B17" t="s">
        <v>139</v>
      </c>
      <c r="C17" s="40">
        <v>129912</v>
      </c>
      <c r="D17" s="41">
        <v>134280</v>
      </c>
      <c r="E17" s="41">
        <v>103873</v>
      </c>
      <c r="F17" s="41">
        <v>118428</v>
      </c>
      <c r="G17" s="41">
        <v>119866</v>
      </c>
      <c r="H17" s="41">
        <f>G17*(1+H18)</f>
        <v>116902.1409939545</v>
      </c>
      <c r="I17" s="41">
        <f t="shared" ref="I17" si="17">H17*(1+I18)</f>
        <v>121872.00161191321</v>
      </c>
      <c r="J17" s="41">
        <f t="shared" ref="J17" si="18">I17*(1+J18)</f>
        <v>123087.83576590176</v>
      </c>
      <c r="K17" s="41">
        <f t="shared" ref="K17" si="19">J17*(1+K18)</f>
        <v>124226.92684488813</v>
      </c>
      <c r="L17" s="41">
        <f t="shared" ref="L17" si="20">K17*(1+L18)</f>
        <v>126783.66665778542</v>
      </c>
    </row>
    <row r="18" spans="2:12" x14ac:dyDescent="0.25">
      <c r="C18" s="17"/>
      <c r="D18" s="26">
        <f>(D17-C17)/C17</f>
        <v>3.3622760022168852E-2</v>
      </c>
      <c r="E18" s="26">
        <f t="shared" ref="E18" si="21">(E17-D17)/D17</f>
        <v>-0.22644474232946082</v>
      </c>
      <c r="F18" s="26">
        <f t="shared" ref="F18" si="22">(F17-E17)/E17</f>
        <v>0.14012303485987695</v>
      </c>
      <c r="G18" s="26">
        <f t="shared" ref="G18" si="23">(G17-F17)/F17</f>
        <v>1.2142398757050697E-2</v>
      </c>
      <c r="H18" s="26">
        <f>AVERAGE(E18:G18)</f>
        <v>-2.4726436237511057E-2</v>
      </c>
      <c r="I18" s="26">
        <f t="shared" ref="I18" si="24">AVERAGE(F18:H18)</f>
        <v>4.2512999126472197E-2</v>
      </c>
      <c r="J18" s="26">
        <f t="shared" ref="J18" si="25">AVERAGE(G18:I18)</f>
        <v>9.9763205486706127E-3</v>
      </c>
      <c r="K18" s="26">
        <f t="shared" ref="K18" si="26">AVERAGE(H18:J18)</f>
        <v>9.2542944792105841E-3</v>
      </c>
      <c r="L18" s="26">
        <f t="shared" ref="L18" si="27">AVERAGE(I18:K18)</f>
        <v>2.0581204718117797E-2</v>
      </c>
    </row>
    <row r="19" spans="2:12" x14ac:dyDescent="0.25">
      <c r="B19" t="s">
        <v>150</v>
      </c>
      <c r="C19" s="17">
        <f>C15+C17</f>
        <v>530152</v>
      </c>
      <c r="D19" s="17">
        <f t="shared" ref="D19:L19" si="28">D15+D17</f>
        <v>529282</v>
      </c>
      <c r="E19" s="17">
        <f t="shared" si="28"/>
        <v>424489</v>
      </c>
      <c r="F19" s="17">
        <f t="shared" si="28"/>
        <v>465499</v>
      </c>
      <c r="G19" s="17">
        <f t="shared" si="28"/>
        <v>473866</v>
      </c>
      <c r="H19" s="17">
        <f t="shared" si="28"/>
        <v>460772.92876339576</v>
      </c>
      <c r="I19" s="17">
        <f t="shared" si="28"/>
        <v>474209.3075090347</v>
      </c>
      <c r="J19" s="17">
        <f t="shared" si="28"/>
        <v>477300.96673432767</v>
      </c>
      <c r="K19" s="17">
        <f t="shared" si="28"/>
        <v>478597.2779532643</v>
      </c>
      <c r="L19" s="17">
        <f t="shared" si="28"/>
        <v>484743.67409945879</v>
      </c>
    </row>
    <row r="21" spans="2:12" x14ac:dyDescent="0.25">
      <c r="B21" s="39" t="s">
        <v>152</v>
      </c>
      <c r="C21" s="39" t="str">
        <f>2018&amp;"A"</f>
        <v>2018A</v>
      </c>
      <c r="D21" s="39" t="s">
        <v>140</v>
      </c>
      <c r="E21" s="39" t="s">
        <v>141</v>
      </c>
      <c r="F21" s="39" t="s">
        <v>142</v>
      </c>
      <c r="G21" s="39" t="s">
        <v>143</v>
      </c>
      <c r="H21" s="39" t="s">
        <v>144</v>
      </c>
      <c r="I21" s="39" t="s">
        <v>145</v>
      </c>
      <c r="J21" s="39" t="s">
        <v>146</v>
      </c>
      <c r="K21" s="39" t="s">
        <v>147</v>
      </c>
      <c r="L21" s="39" t="s">
        <v>148</v>
      </c>
    </row>
    <row r="22" spans="2:12" x14ac:dyDescent="0.25">
      <c r="B22" t="s">
        <v>138</v>
      </c>
      <c r="C22" s="40">
        <v>226324</v>
      </c>
      <c r="D22" s="41">
        <v>245381</v>
      </c>
      <c r="E22" s="41">
        <v>197052</v>
      </c>
      <c r="F22" s="41">
        <v>263432</v>
      </c>
      <c r="G22" s="41">
        <v>303731</v>
      </c>
      <c r="H22" s="41">
        <f>G22*(1+H23)</f>
        <v>333383.98576951824</v>
      </c>
      <c r="I22" s="41">
        <f t="shared" ref="I22" si="29">H22*(1+I23)</f>
        <v>398668.50033235835</v>
      </c>
      <c r="J22" s="41">
        <f t="shared" ref="J22" si="30">I22*(1+J23)</f>
        <v>457994.32682990102</v>
      </c>
      <c r="K22" s="41">
        <f t="shared" ref="K22" si="31">J22*(1+K23)</f>
        <v>525512.27936073265</v>
      </c>
      <c r="L22" s="41">
        <f t="shared" ref="L22" si="32">K22*(1+L23)</f>
        <v>611705.86457151489</v>
      </c>
    </row>
    <row r="23" spans="2:12" x14ac:dyDescent="0.25">
      <c r="C23" s="17"/>
      <c r="D23" s="26">
        <f>(D22-C22)/C22</f>
        <v>8.4202294056308649E-2</v>
      </c>
      <c r="E23" s="26">
        <f t="shared" ref="E23" si="33">(E22-D22)/D22</f>
        <v>-0.19695493946149051</v>
      </c>
      <c r="F23" s="26">
        <f t="shared" ref="F23" si="34">(F22-E22)/E22</f>
        <v>0.3368653959360981</v>
      </c>
      <c r="G23" s="26">
        <f t="shared" ref="G23" si="35">(G22-F22)/F22</f>
        <v>0.15297685930334964</v>
      </c>
      <c r="H23" s="26">
        <f>AVERAGE(E23:G23)</f>
        <v>9.7629105259319074E-2</v>
      </c>
      <c r="I23" s="26">
        <f t="shared" ref="I23" si="36">AVERAGE(F23:H23)</f>
        <v>0.19582378683292226</v>
      </c>
      <c r="J23" s="26">
        <f t="shared" ref="J23" si="37">AVERAGE(G23:I23)</f>
        <v>0.14880991713186364</v>
      </c>
      <c r="K23" s="26">
        <f t="shared" ref="K23" si="38">AVERAGE(H23:J23)</f>
        <v>0.147420936408035</v>
      </c>
      <c r="L23" s="26">
        <f t="shared" ref="L23" si="39">AVERAGE(I23:K23)</f>
        <v>0.16401821345760695</v>
      </c>
    </row>
    <row r="24" spans="2:12" x14ac:dyDescent="0.25">
      <c r="B24" t="s">
        <v>139</v>
      </c>
      <c r="C24" s="40">
        <v>124430</v>
      </c>
      <c r="D24" s="41">
        <v>121691</v>
      </c>
      <c r="E24" s="41">
        <v>101855</v>
      </c>
      <c r="F24" s="41">
        <v>118628</v>
      </c>
      <c r="G24" s="41">
        <v>134823</v>
      </c>
      <c r="H24" s="41">
        <f>G24*(1+H25)</f>
        <v>141033.46243641994</v>
      </c>
      <c r="I24" s="41">
        <f t="shared" ref="I24" si="40">H24*(1+I25)</f>
        <v>157358.47575563539</v>
      </c>
      <c r="J24" s="41">
        <f t="shared" ref="J24" si="41">I24*(1+J25)</f>
        <v>173007.03074817875</v>
      </c>
      <c r="K24" s="41">
        <f t="shared" ref="K24" si="42">J24*(1+K25)</f>
        <v>188073.74298159342</v>
      </c>
      <c r="L24" s="41">
        <f t="shared" ref="L24" si="43">K24*(1+L25)</f>
        <v>207024.38630439879</v>
      </c>
    </row>
    <row r="25" spans="2:12" x14ac:dyDescent="0.25">
      <c r="C25" s="17"/>
      <c r="D25" s="26">
        <f>(D24-C24)/C24</f>
        <v>-2.2012376436550671E-2</v>
      </c>
      <c r="E25" s="26">
        <f t="shared" ref="E25" si="44">(E24-D24)/D24</f>
        <v>-0.16300301583518911</v>
      </c>
      <c r="F25" s="26">
        <f t="shared" ref="F25" si="45">(F24-E24)/E24</f>
        <v>0.16467527367335918</v>
      </c>
      <c r="G25" s="26">
        <f t="shared" ref="G25" si="46">(G24-F24)/F24</f>
        <v>0.13651920288633376</v>
      </c>
      <c r="H25" s="26">
        <f>AVERAGE(E25:G25)</f>
        <v>4.6063820241501276E-2</v>
      </c>
      <c r="I25" s="26">
        <f t="shared" ref="I25" si="47">AVERAGE(F25:H25)</f>
        <v>0.11575276560039809</v>
      </c>
      <c r="J25" s="26">
        <f t="shared" ref="J25" si="48">AVERAGE(G25:I25)</f>
        <v>9.9445262909411039E-2</v>
      </c>
      <c r="K25" s="26">
        <f t="shared" ref="K25" si="49">AVERAGE(H25:J25)</f>
        <v>8.7087282917103478E-2</v>
      </c>
      <c r="L25" s="26">
        <f t="shared" ref="L25" si="50">AVERAGE(I25:K25)</f>
        <v>0.10076177047563754</v>
      </c>
    </row>
    <row r="26" spans="2:12" x14ac:dyDescent="0.25">
      <c r="B26" t="s">
        <v>150</v>
      </c>
      <c r="C26" s="17">
        <f>C22+C24</f>
        <v>350754</v>
      </c>
      <c r="D26" s="17">
        <f t="shared" ref="D26:L26" si="51">D22+D24</f>
        <v>367072</v>
      </c>
      <c r="E26" s="17">
        <f t="shared" si="51"/>
        <v>298907</v>
      </c>
      <c r="F26" s="17">
        <f t="shared" si="51"/>
        <v>382060</v>
      </c>
      <c r="G26" s="17">
        <f t="shared" si="51"/>
        <v>438554</v>
      </c>
      <c r="H26" s="17">
        <f t="shared" si="51"/>
        <v>474417.44820593821</v>
      </c>
      <c r="I26" s="17">
        <f t="shared" si="51"/>
        <v>556026.97608799371</v>
      </c>
      <c r="J26" s="17">
        <f t="shared" si="51"/>
        <v>631001.3575780798</v>
      </c>
      <c r="K26" s="17">
        <f t="shared" si="51"/>
        <v>713586.02234232612</v>
      </c>
      <c r="L26" s="17">
        <f t="shared" si="51"/>
        <v>818730.25087591365</v>
      </c>
    </row>
    <row r="29" spans="2:12" x14ac:dyDescent="0.25">
      <c r="B29" s="39" t="s">
        <v>153</v>
      </c>
      <c r="C29" s="39" t="str">
        <f>2018&amp;"A"</f>
        <v>2018A</v>
      </c>
      <c r="D29" s="39" t="s">
        <v>140</v>
      </c>
      <c r="E29" s="39" t="s">
        <v>141</v>
      </c>
      <c r="F29" s="39" t="s">
        <v>142</v>
      </c>
      <c r="G29" s="39" t="s">
        <v>143</v>
      </c>
      <c r="H29" s="39" t="s">
        <v>144</v>
      </c>
      <c r="I29" s="39" t="s">
        <v>145</v>
      </c>
      <c r="J29" s="39" t="s">
        <v>146</v>
      </c>
      <c r="K29" s="39" t="s">
        <v>147</v>
      </c>
      <c r="L29" s="39" t="s">
        <v>148</v>
      </c>
    </row>
    <row r="30" spans="2:12" x14ac:dyDescent="0.25">
      <c r="B30" t="s">
        <v>138</v>
      </c>
      <c r="C30" s="40">
        <v>131783</v>
      </c>
      <c r="D30" s="41">
        <v>138292</v>
      </c>
      <c r="E30" s="41">
        <v>118116</v>
      </c>
      <c r="F30" s="41">
        <v>154109</v>
      </c>
      <c r="G30" s="41">
        <v>173911</v>
      </c>
      <c r="H30" s="41">
        <f>G30*(1+H31)</f>
        <v>190567.33395114657</v>
      </c>
      <c r="I30" s="41">
        <f t="shared" ref="I30" si="52">H30*(1+I31)</f>
        <v>224170.34999690996</v>
      </c>
      <c r="J30" s="41">
        <f t="shared" ref="J30" si="53">I30*(1+J31)</f>
        <v>254104.56209001792</v>
      </c>
      <c r="K30" s="41">
        <f t="shared" ref="K30" si="54">J30*(1+K31)</f>
        <v>288462.87247479742</v>
      </c>
      <c r="L30" s="41">
        <f t="shared" ref="L30" si="55">K30*(1+L31)</f>
        <v>331259.03769270593</v>
      </c>
    </row>
    <row r="31" spans="2:12" x14ac:dyDescent="0.25">
      <c r="C31" s="17"/>
      <c r="D31" s="26">
        <f>(D30-C30)/C30</f>
        <v>4.9391803191610448E-2</v>
      </c>
      <c r="E31" s="26">
        <f t="shared" ref="E31" si="56">(E30-D30)/D30</f>
        <v>-0.14589419489196773</v>
      </c>
      <c r="F31" s="26">
        <f t="shared" ref="F31" si="57">(F30-E30)/E30</f>
        <v>0.30472586271123303</v>
      </c>
      <c r="G31" s="26">
        <f t="shared" ref="G31" si="58">(G30-F30)/F30</f>
        <v>0.12849346890837005</v>
      </c>
      <c r="H31" s="26">
        <f>AVERAGE(E31:G31)</f>
        <v>9.5775045575878459E-2</v>
      </c>
      <c r="I31" s="26">
        <f t="shared" ref="I31" si="59">AVERAGE(F31:H31)</f>
        <v>0.17633145906516048</v>
      </c>
      <c r="J31" s="26">
        <f t="shared" ref="J31" si="60">AVERAGE(G31:I31)</f>
        <v>0.13353332451646968</v>
      </c>
      <c r="K31" s="26">
        <f t="shared" ref="K31" si="61">AVERAGE(H31:J31)</f>
        <v>0.13521327638583622</v>
      </c>
      <c r="L31" s="26">
        <f t="shared" ref="L31" si="62">AVERAGE(I31:K31)</f>
        <v>0.14835935332248881</v>
      </c>
    </row>
    <row r="32" spans="2:12" x14ac:dyDescent="0.25">
      <c r="B32" t="s">
        <v>139</v>
      </c>
      <c r="C32" s="40">
        <v>61161</v>
      </c>
      <c r="D32" s="41">
        <v>64825</v>
      </c>
      <c r="E32" s="41">
        <v>56259</v>
      </c>
      <c r="F32" s="41">
        <v>64434</v>
      </c>
      <c r="G32" s="41">
        <v>75575</v>
      </c>
      <c r="H32" s="41">
        <f>G32*(1+H33)</f>
        <v>80262.547300786595</v>
      </c>
      <c r="I32" s="41">
        <f t="shared" ref="I32" si="63">H32*(1+I33)</f>
        <v>90435.578964008106</v>
      </c>
      <c r="J32" s="41">
        <f t="shared" ref="J32" si="64">I32*(1+J33)</f>
        <v>101338.42140787895</v>
      </c>
      <c r="K32" s="41">
        <f t="shared" ref="K32" si="65">J32*(1+K33)</f>
        <v>111787.46835640671</v>
      </c>
      <c r="L32" s="41">
        <f t="shared" ref="L32" si="66">K32*(1+L33)</f>
        <v>124844.8619306117</v>
      </c>
    </row>
    <row r="33" spans="2:12" x14ac:dyDescent="0.25">
      <c r="C33" s="17"/>
      <c r="D33" s="26">
        <f>(D32-C32)/C32</f>
        <v>5.9907457366622521E-2</v>
      </c>
      <c r="E33" s="26">
        <f t="shared" ref="E33" si="67">(E32-D32)/D32</f>
        <v>-0.13214037794060934</v>
      </c>
      <c r="F33" s="26">
        <f t="shared" ref="F33" si="68">(F32-E32)/E32</f>
        <v>0.14531008371993814</v>
      </c>
      <c r="G33" s="26">
        <f t="shared" ref="G33" si="69">(G32-F32)/F32</f>
        <v>0.17290560884005338</v>
      </c>
      <c r="H33" s="26">
        <f>AVERAGE(E33:G33)</f>
        <v>6.2025104873127394E-2</v>
      </c>
      <c r="I33" s="26">
        <f t="shared" ref="I33" si="70">AVERAGE(F33:H33)</f>
        <v>0.1267469324777063</v>
      </c>
      <c r="J33" s="26">
        <f t="shared" ref="J33" si="71">AVERAGE(G33:I33)</f>
        <v>0.12055921539696235</v>
      </c>
      <c r="K33" s="26">
        <f t="shared" ref="K33" si="72">AVERAGE(H33:J33)</f>
        <v>0.10311041758259869</v>
      </c>
      <c r="L33" s="26">
        <f t="shared" ref="L33" si="73">AVERAGE(I33:K33)</f>
        <v>0.11680552181908911</v>
      </c>
    </row>
    <row r="34" spans="2:12" x14ac:dyDescent="0.25">
      <c r="B34" t="s">
        <v>150</v>
      </c>
      <c r="C34" s="17">
        <f>C30+C32</f>
        <v>192944</v>
      </c>
      <c r="D34" s="17">
        <f t="shared" ref="D34:L34" si="74">D30+D32</f>
        <v>203117</v>
      </c>
      <c r="E34" s="17">
        <f t="shared" si="74"/>
        <v>174375</v>
      </c>
      <c r="F34" s="17">
        <f t="shared" si="74"/>
        <v>218543</v>
      </c>
      <c r="G34" s="17">
        <f t="shared" si="74"/>
        <v>249486</v>
      </c>
      <c r="H34" s="17">
        <f t="shared" si="74"/>
        <v>270829.88125193317</v>
      </c>
      <c r="I34" s="17">
        <f t="shared" si="74"/>
        <v>314605.9289609181</v>
      </c>
      <c r="J34" s="17">
        <f t="shared" si="74"/>
        <v>355442.98349789687</v>
      </c>
      <c r="K34" s="17">
        <f t="shared" si="74"/>
        <v>400250.34083120414</v>
      </c>
      <c r="L34" s="17">
        <f t="shared" si="74"/>
        <v>456103.89962331764</v>
      </c>
    </row>
    <row r="36" spans="2:12" x14ac:dyDescent="0.25">
      <c r="B36" s="42" t="s">
        <v>154</v>
      </c>
      <c r="C36" s="43">
        <f>C11+C19+C26+C34</f>
        <v>2802326</v>
      </c>
      <c r="D36" s="43">
        <f t="shared" ref="D36:L36" si="75">D11+D19+D26+D34</f>
        <v>3042478</v>
      </c>
      <c r="E36" s="43">
        <f t="shared" si="75"/>
        <v>2501554</v>
      </c>
      <c r="F36" s="43">
        <f t="shared" si="75"/>
        <v>3126402</v>
      </c>
      <c r="G36" s="43">
        <f t="shared" si="75"/>
        <v>3464152</v>
      </c>
      <c r="H36" s="43">
        <f t="shared" si="75"/>
        <v>3687425.2262058947</v>
      </c>
      <c r="I36" s="43">
        <f t="shared" si="75"/>
        <v>4226621.8222298361</v>
      </c>
      <c r="J36" s="43">
        <f t="shared" si="75"/>
        <v>4689186.2684651697</v>
      </c>
      <c r="K36" s="43">
        <f t="shared" si="75"/>
        <v>5204326.9610616174</v>
      </c>
      <c r="L36" s="44">
        <f t="shared" si="75"/>
        <v>5855485.8521607639</v>
      </c>
    </row>
    <row r="37" spans="2:12" x14ac:dyDescent="0.25">
      <c r="B37" s="45" t="s">
        <v>109</v>
      </c>
      <c r="C37" s="9"/>
      <c r="D37" s="46">
        <f>(D36-C36)/C36</f>
        <v>8.5697381389602784E-2</v>
      </c>
      <c r="E37" s="46">
        <f t="shared" ref="E37:L37" si="76">(E36-D36)/D36</f>
        <v>-0.17779060358037099</v>
      </c>
      <c r="F37" s="46">
        <f t="shared" si="76"/>
        <v>0.24978393430643511</v>
      </c>
      <c r="G37" s="46">
        <f t="shared" si="76"/>
        <v>0.10803153273315459</v>
      </c>
      <c r="H37" s="46">
        <f t="shared" si="76"/>
        <v>6.4452491174144422E-2</v>
      </c>
      <c r="I37" s="46">
        <f t="shared" si="76"/>
        <v>0.14622577081481253</v>
      </c>
      <c r="J37" s="46">
        <f t="shared" si="76"/>
        <v>0.10944069890579866</v>
      </c>
      <c r="K37" s="46">
        <f t="shared" si="76"/>
        <v>0.1098571613716381</v>
      </c>
      <c r="L37" s="47">
        <f t="shared" si="76"/>
        <v>0.12511875137190043</v>
      </c>
    </row>
    <row r="38" spans="2:12" x14ac:dyDescent="0.25"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4D406-CF49-42DB-9A59-181EF19FCB78}">
  <dimension ref="A2:U24"/>
  <sheetViews>
    <sheetView showGridLines="0" tabSelected="1" workbookViewId="0">
      <selection activeCell="J19" sqref="J19"/>
    </sheetView>
  </sheetViews>
  <sheetFormatPr defaultRowHeight="15" x14ac:dyDescent="0.25"/>
  <cols>
    <col min="8" max="8" width="16.85546875" bestFit="1" customWidth="1"/>
  </cols>
  <sheetData>
    <row r="2" spans="1:21" ht="21" x14ac:dyDescent="0.35">
      <c r="B2" s="59" t="s">
        <v>155</v>
      </c>
    </row>
    <row r="3" spans="1:2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5" spans="1:21" x14ac:dyDescent="0.25">
      <c r="B5" s="60" t="s">
        <v>163</v>
      </c>
      <c r="C5" s="38"/>
      <c r="D5" s="38"/>
      <c r="E5" s="38"/>
      <c r="F5" s="38"/>
      <c r="G5" s="38"/>
      <c r="H5" s="38"/>
    </row>
    <row r="7" spans="1:21" x14ac:dyDescent="0.25">
      <c r="B7" t="s">
        <v>164</v>
      </c>
      <c r="H7" s="17">
        <f>5.091*1000000000</f>
        <v>5091000000</v>
      </c>
    </row>
    <row r="8" spans="1:21" x14ac:dyDescent="0.25">
      <c r="B8" t="s">
        <v>157</v>
      </c>
      <c r="H8" s="68">
        <v>0</v>
      </c>
    </row>
    <row r="9" spans="1:21" x14ac:dyDescent="0.25">
      <c r="H9" s="68"/>
    </row>
    <row r="10" spans="1:21" x14ac:dyDescent="0.25">
      <c r="B10" t="s">
        <v>159</v>
      </c>
      <c r="H10" s="68">
        <v>0</v>
      </c>
    </row>
    <row r="11" spans="1:21" x14ac:dyDescent="0.25">
      <c r="B11" t="s">
        <v>160</v>
      </c>
      <c r="H11" s="68">
        <v>0</v>
      </c>
    </row>
    <row r="12" spans="1:21" x14ac:dyDescent="0.25">
      <c r="B12" t="s">
        <v>158</v>
      </c>
      <c r="H12" s="68">
        <v>0</v>
      </c>
    </row>
    <row r="13" spans="1:21" x14ac:dyDescent="0.25">
      <c r="B13" s="61" t="s">
        <v>165</v>
      </c>
      <c r="C13" s="31"/>
      <c r="D13" s="31"/>
      <c r="E13" s="31"/>
      <c r="F13" s="31"/>
      <c r="G13" s="31"/>
      <c r="H13" s="31"/>
    </row>
    <row r="15" spans="1:21" x14ac:dyDescent="0.25">
      <c r="B15" t="s">
        <v>166</v>
      </c>
      <c r="H15" s="62">
        <v>3.5090000000000003E-2</v>
      </c>
    </row>
    <row r="16" spans="1:21" x14ac:dyDescent="0.25">
      <c r="B16" t="s">
        <v>169</v>
      </c>
      <c r="H16" s="63">
        <v>0.1</v>
      </c>
    </row>
    <row r="17" spans="2:8" x14ac:dyDescent="0.25">
      <c r="B17" t="s">
        <v>167</v>
      </c>
      <c r="H17" s="62">
        <f>H16-H15</f>
        <v>6.4909999999999995E-2</v>
      </c>
    </row>
    <row r="18" spans="2:8" x14ac:dyDescent="0.25">
      <c r="B18" t="s">
        <v>170</v>
      </c>
      <c r="H18">
        <v>0.95</v>
      </c>
    </row>
    <row r="19" spans="2:8" x14ac:dyDescent="0.25">
      <c r="B19" t="s">
        <v>161</v>
      </c>
      <c r="H19" s="63">
        <v>1</v>
      </c>
    </row>
    <row r="20" spans="2:8" x14ac:dyDescent="0.25">
      <c r="B20" s="61" t="s">
        <v>162</v>
      </c>
      <c r="C20" s="31"/>
      <c r="D20" s="31"/>
      <c r="E20" s="31"/>
      <c r="F20" s="31"/>
      <c r="G20" s="31"/>
      <c r="H20" s="64">
        <f>H15+H18*H17</f>
        <v>9.6754499999999993E-2</v>
      </c>
    </row>
    <row r="22" spans="2:8" x14ac:dyDescent="0.25">
      <c r="B22" s="32" t="s">
        <v>156</v>
      </c>
      <c r="H22" s="62">
        <f>H20</f>
        <v>9.6754499999999993E-2</v>
      </c>
    </row>
    <row r="24" spans="2:8" x14ac:dyDescent="0.25">
      <c r="B24" s="32" t="s">
        <v>168</v>
      </c>
      <c r="H24" s="63">
        <v>0.03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8BCDC-547A-4829-9192-0809ABE332B8}">
  <sheetPr>
    <tabColor theme="7"/>
  </sheetPr>
  <dimension ref="A1"/>
  <sheetViews>
    <sheetView workbookViewId="0">
      <selection activeCell="H39" sqref="H3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4F12-E2A3-4A57-8CB3-69B474752869}">
  <dimension ref="A1:E38"/>
  <sheetViews>
    <sheetView workbookViewId="0">
      <selection activeCell="A42" sqref="A42"/>
    </sheetView>
  </sheetViews>
  <sheetFormatPr defaultRowHeight="15" x14ac:dyDescent="0.25"/>
  <cols>
    <col min="1" max="1" width="74" customWidth="1"/>
    <col min="2" max="3" width="14" customWidth="1"/>
    <col min="4" max="4" width="14.28515625" customWidth="1"/>
    <col min="5" max="5" width="12.140625" customWidth="1"/>
  </cols>
  <sheetData>
    <row r="1" spans="1:5" ht="30" x14ac:dyDescent="0.25">
      <c r="A1" s="1" t="s">
        <v>0</v>
      </c>
      <c r="B1" s="2" t="s">
        <v>104</v>
      </c>
      <c r="C1" s="2" t="s">
        <v>42</v>
      </c>
      <c r="D1" s="2" t="s">
        <v>2</v>
      </c>
      <c r="E1" s="2" t="s">
        <v>1</v>
      </c>
    </row>
    <row r="2" spans="1:5" x14ac:dyDescent="0.25">
      <c r="A2" s="3" t="s">
        <v>3</v>
      </c>
      <c r="D2" s="4" t="s">
        <v>4</v>
      </c>
      <c r="E2" s="4" t="s">
        <v>4</v>
      </c>
    </row>
    <row r="3" spans="1:5" x14ac:dyDescent="0.25">
      <c r="A3" s="4" t="s">
        <v>5</v>
      </c>
      <c r="B3" s="5">
        <v>686009</v>
      </c>
      <c r="C3" s="5">
        <v>790725</v>
      </c>
      <c r="D3" s="5">
        <v>763404</v>
      </c>
      <c r="E3" s="5">
        <v>430241</v>
      </c>
    </row>
    <row r="4" spans="1:5" x14ac:dyDescent="0.25">
      <c r="A4" s="4" t="s">
        <v>6</v>
      </c>
      <c r="B4" s="6">
        <v>1668</v>
      </c>
      <c r="C4" s="6">
        <v>1224</v>
      </c>
      <c r="D4" s="6">
        <v>131145</v>
      </c>
      <c r="E4" s="6">
        <v>722</v>
      </c>
    </row>
    <row r="5" spans="1:5" x14ac:dyDescent="0.25">
      <c r="A5" s="4" t="s">
        <v>7</v>
      </c>
      <c r="B5" s="6">
        <v>488233</v>
      </c>
      <c r="C5" s="6">
        <v>452945</v>
      </c>
      <c r="D5" s="6">
        <v>487803</v>
      </c>
      <c r="E5" s="6">
        <v>547561</v>
      </c>
    </row>
    <row r="6" spans="1:5" x14ac:dyDescent="0.25">
      <c r="A6" s="4" t="s">
        <v>8</v>
      </c>
      <c r="B6" s="5">
        <v>605968</v>
      </c>
      <c r="C6" s="5">
        <v>556530</v>
      </c>
      <c r="D6" s="6">
        <v>645379</v>
      </c>
      <c r="E6" s="6">
        <v>1028545</v>
      </c>
    </row>
    <row r="7" spans="1:5" x14ac:dyDescent="0.25">
      <c r="A7" s="4" t="s">
        <v>9</v>
      </c>
      <c r="B7" s="6">
        <v>93868</v>
      </c>
      <c r="C7" s="6">
        <v>54197</v>
      </c>
      <c r="D7" s="6">
        <v>86306</v>
      </c>
      <c r="E7" s="6">
        <v>129872</v>
      </c>
    </row>
    <row r="8" spans="1:5" x14ac:dyDescent="0.25">
      <c r="A8" s="4" t="s">
        <v>10</v>
      </c>
      <c r="B8" s="6">
        <v>1875746</v>
      </c>
      <c r="C8" s="6">
        <v>1855621</v>
      </c>
      <c r="D8" s="6">
        <v>2114037</v>
      </c>
      <c r="E8" s="6">
        <v>2136941</v>
      </c>
    </row>
    <row r="9" spans="1:5" x14ac:dyDescent="0.25">
      <c r="A9" s="3" t="s">
        <v>11</v>
      </c>
      <c r="D9" s="4" t="s">
        <v>4</v>
      </c>
      <c r="E9" s="4" t="s">
        <v>4</v>
      </c>
    </row>
    <row r="10" spans="1:5" x14ac:dyDescent="0.25">
      <c r="A10" s="4" t="s">
        <v>12</v>
      </c>
      <c r="B10" s="6">
        <v>346651</v>
      </c>
      <c r="C10" s="6">
        <v>309792</v>
      </c>
      <c r="D10" s="6">
        <v>291088</v>
      </c>
      <c r="E10" s="6">
        <v>291214</v>
      </c>
    </row>
    <row r="11" spans="1:5" x14ac:dyDescent="0.25">
      <c r="A11" s="4" t="s">
        <v>13</v>
      </c>
      <c r="B11" s="6">
        <v>394501</v>
      </c>
      <c r="C11" s="6">
        <v>339244</v>
      </c>
      <c r="D11" s="6">
        <v>330928</v>
      </c>
      <c r="E11" s="6">
        <v>324409</v>
      </c>
    </row>
    <row r="12" spans="1:5" x14ac:dyDescent="0.25">
      <c r="A12" s="4" t="s">
        <v>14</v>
      </c>
      <c r="B12" s="6">
        <v>123595</v>
      </c>
      <c r="C12" s="6">
        <v>103558</v>
      </c>
      <c r="D12" s="6">
        <v>101908</v>
      </c>
      <c r="E12" s="6">
        <v>81558</v>
      </c>
    </row>
    <row r="13" spans="1:5" x14ac:dyDescent="0.25">
      <c r="A13" s="4" t="s">
        <v>15</v>
      </c>
      <c r="B13" s="6">
        <v>68594</v>
      </c>
      <c r="C13" s="6">
        <v>68594</v>
      </c>
      <c r="D13" s="6">
        <v>68594</v>
      </c>
      <c r="E13" s="6">
        <v>51694</v>
      </c>
    </row>
    <row r="14" spans="1:5" x14ac:dyDescent="0.25">
      <c r="A14" s="4" t="s">
        <v>16</v>
      </c>
      <c r="B14" s="6">
        <v>78849</v>
      </c>
      <c r="C14" s="6">
        <v>96126</v>
      </c>
      <c r="D14" s="6">
        <v>92121</v>
      </c>
      <c r="E14" s="6">
        <v>94162</v>
      </c>
    </row>
    <row r="15" spans="1:5" x14ac:dyDescent="0.25">
      <c r="A15" s="4" t="s">
        <v>17</v>
      </c>
      <c r="B15" s="6">
        <v>43655</v>
      </c>
      <c r="C15" s="6">
        <v>63636</v>
      </c>
      <c r="D15" s="6">
        <v>68452</v>
      </c>
      <c r="E15" s="6">
        <v>71568</v>
      </c>
    </row>
    <row r="16" spans="1:5" x14ac:dyDescent="0.25">
      <c r="A16" s="4" t="s">
        <v>18</v>
      </c>
      <c r="B16" s="6">
        <v>2931591</v>
      </c>
      <c r="C16" s="6">
        <v>2836571</v>
      </c>
      <c r="D16" s="6">
        <v>3067128</v>
      </c>
      <c r="E16" s="6">
        <v>3051546</v>
      </c>
    </row>
    <row r="17" spans="1:5" x14ac:dyDescent="0.25">
      <c r="A17" s="3" t="s">
        <v>19</v>
      </c>
      <c r="D17" s="4" t="s">
        <v>4</v>
      </c>
      <c r="E17" s="4" t="s">
        <v>4</v>
      </c>
    </row>
    <row r="18" spans="1:5" x14ac:dyDescent="0.25">
      <c r="A18" s="4" t="s">
        <v>20</v>
      </c>
      <c r="B18" s="6">
        <v>255372</v>
      </c>
      <c r="C18" s="6">
        <v>206697</v>
      </c>
      <c r="D18" s="6">
        <v>283349</v>
      </c>
      <c r="E18" s="6">
        <v>322472</v>
      </c>
    </row>
    <row r="19" spans="1:5" x14ac:dyDescent="0.25">
      <c r="A19" s="4" t="s">
        <v>21</v>
      </c>
      <c r="B19" s="6">
        <v>295723</v>
      </c>
      <c r="C19" s="6">
        <v>257278</v>
      </c>
      <c r="D19" s="6">
        <v>316485</v>
      </c>
      <c r="E19" s="6">
        <v>328759</v>
      </c>
    </row>
    <row r="20" spans="1:5" x14ac:dyDescent="0.25">
      <c r="A20" s="4" t="s">
        <v>22</v>
      </c>
      <c r="B20" s="6">
        <v>64019</v>
      </c>
      <c r="C20" s="6">
        <v>65466</v>
      </c>
      <c r="D20" s="6">
        <v>67429</v>
      </c>
      <c r="E20" s="6">
        <v>68685</v>
      </c>
    </row>
    <row r="21" spans="1:5" x14ac:dyDescent="0.25">
      <c r="A21" s="4" t="s">
        <v>23</v>
      </c>
      <c r="B21" s="6">
        <v>15801</v>
      </c>
      <c r="C21" s="6">
        <v>23181</v>
      </c>
      <c r="D21" s="6">
        <v>13127</v>
      </c>
      <c r="E21" s="6">
        <v>18802</v>
      </c>
    </row>
    <row r="22" spans="1:5" x14ac:dyDescent="0.25">
      <c r="A22" s="4" t="s">
        <v>24</v>
      </c>
      <c r="B22" s="6">
        <v>630915</v>
      </c>
      <c r="C22" s="6">
        <v>552622</v>
      </c>
      <c r="D22" s="6">
        <v>680390</v>
      </c>
      <c r="E22" s="6">
        <v>738718</v>
      </c>
    </row>
    <row r="23" spans="1:5" x14ac:dyDescent="0.25">
      <c r="A23" s="3" t="s">
        <v>25</v>
      </c>
      <c r="D23" s="4" t="s">
        <v>4</v>
      </c>
      <c r="E23" s="4" t="s">
        <v>4</v>
      </c>
    </row>
    <row r="24" spans="1:5" x14ac:dyDescent="0.25">
      <c r="A24" s="4" t="s">
        <v>26</v>
      </c>
      <c r="B24" s="6">
        <v>371507</v>
      </c>
      <c r="C24" s="6">
        <v>353181</v>
      </c>
      <c r="D24" s="6">
        <v>317666</v>
      </c>
      <c r="E24" s="6">
        <v>310625</v>
      </c>
    </row>
    <row r="25" spans="1:5" x14ac:dyDescent="0.25">
      <c r="A25" s="4" t="s">
        <v>27</v>
      </c>
      <c r="B25" s="6">
        <v>48427</v>
      </c>
      <c r="C25" s="6">
        <v>49922</v>
      </c>
      <c r="D25" s="6">
        <v>44541</v>
      </c>
      <c r="E25" s="6">
        <v>33251</v>
      </c>
    </row>
    <row r="26" spans="1:5" x14ac:dyDescent="0.25">
      <c r="A26" s="4" t="s">
        <v>28</v>
      </c>
      <c r="B26" s="6">
        <v>6361</v>
      </c>
      <c r="C26" s="6">
        <v>5205</v>
      </c>
      <c r="D26" s="6">
        <v>0</v>
      </c>
      <c r="E26" s="6">
        <v>143</v>
      </c>
    </row>
    <row r="27" spans="1:5" x14ac:dyDescent="0.25">
      <c r="A27" s="4" t="s">
        <v>29</v>
      </c>
      <c r="B27" s="6">
        <v>24934</v>
      </c>
      <c r="C27" s="6">
        <v>42870</v>
      </c>
      <c r="D27" s="6">
        <v>35279</v>
      </c>
      <c r="E27" s="6">
        <v>33020</v>
      </c>
    </row>
    <row r="28" spans="1:5" x14ac:dyDescent="0.25">
      <c r="A28" s="4" t="s">
        <v>30</v>
      </c>
      <c r="B28" s="6">
        <v>1082144</v>
      </c>
      <c r="C28" s="6">
        <v>1003800</v>
      </c>
      <c r="D28" s="6">
        <v>1077876</v>
      </c>
      <c r="E28" s="6">
        <v>1115757</v>
      </c>
    </row>
    <row r="29" spans="1:5" x14ac:dyDescent="0.25">
      <c r="A29" s="3" t="s">
        <v>31</v>
      </c>
      <c r="B29" s="4" t="s">
        <v>105</v>
      </c>
      <c r="C29" s="4" t="s">
        <v>105</v>
      </c>
      <c r="D29" s="4" t="s">
        <v>4</v>
      </c>
      <c r="E29" s="4" t="s">
        <v>4</v>
      </c>
    </row>
    <row r="30" spans="1:5" x14ac:dyDescent="0.25">
      <c r="A30" s="4" t="s">
        <v>32</v>
      </c>
      <c r="B30" s="6">
        <v>0</v>
      </c>
      <c r="C30" s="6">
        <v>0</v>
      </c>
      <c r="D30" s="5">
        <v>0</v>
      </c>
      <c r="E30" s="5">
        <v>0</v>
      </c>
    </row>
    <row r="31" spans="1:5" x14ac:dyDescent="0.25">
      <c r="A31" s="4" t="s">
        <v>33</v>
      </c>
      <c r="B31" s="6">
        <v>250000</v>
      </c>
      <c r="C31" s="6">
        <v>250000</v>
      </c>
      <c r="D31" s="6">
        <v>250000</v>
      </c>
      <c r="E31" s="6">
        <v>250000</v>
      </c>
    </row>
    <row r="32" spans="1:5" x14ac:dyDescent="0.25">
      <c r="A32" s="4" t="s">
        <v>34</v>
      </c>
      <c r="B32" s="6">
        <v>4937</v>
      </c>
      <c r="C32" s="6">
        <v>20165</v>
      </c>
      <c r="D32" s="5">
        <v>0</v>
      </c>
      <c r="E32" s="5">
        <v>12692</v>
      </c>
    </row>
    <row r="33" spans="1:5" x14ac:dyDescent="0.25">
      <c r="A33" s="4" t="s">
        <v>35</v>
      </c>
      <c r="B33" s="6">
        <v>1848935</v>
      </c>
      <c r="C33" s="6">
        <v>1811800</v>
      </c>
      <c r="D33" s="6">
        <v>1993628</v>
      </c>
      <c r="E33" s="6">
        <v>1953734</v>
      </c>
    </row>
    <row r="34" spans="1:5" x14ac:dyDescent="0.25">
      <c r="A34" s="4" t="s">
        <v>36</v>
      </c>
      <c r="B34" s="6">
        <v>-4425</v>
      </c>
      <c r="C34" s="6">
        <v>806</v>
      </c>
      <c r="D34" s="6">
        <v>-4376</v>
      </c>
      <c r="E34" s="6">
        <v>-30637</v>
      </c>
    </row>
    <row r="35" spans="1:5" x14ac:dyDescent="0.25">
      <c r="A35" s="4" t="s">
        <v>37</v>
      </c>
      <c r="B35" s="6">
        <v>1849447</v>
      </c>
      <c r="C35" s="6">
        <v>1832771</v>
      </c>
      <c r="D35" s="6">
        <v>1989252</v>
      </c>
      <c r="E35" s="6">
        <v>1935789</v>
      </c>
    </row>
    <row r="36" spans="1:5" x14ac:dyDescent="0.25">
      <c r="A36" s="4" t="s">
        <v>38</v>
      </c>
      <c r="B36" s="6">
        <v>2931591</v>
      </c>
      <c r="C36" s="6">
        <v>2836571</v>
      </c>
      <c r="D36" s="5">
        <v>3067128</v>
      </c>
      <c r="E36" s="5">
        <v>3051546</v>
      </c>
    </row>
    <row r="37" spans="1:5" x14ac:dyDescent="0.25">
      <c r="A37" s="4" t="s">
        <v>39</v>
      </c>
      <c r="B37" s="8">
        <v>67561</v>
      </c>
      <c r="C37" s="8">
        <v>66252</v>
      </c>
      <c r="D37" s="6">
        <v>65164</v>
      </c>
      <c r="E37" s="8">
        <v>62139</v>
      </c>
    </row>
    <row r="38" spans="1:5" x14ac:dyDescent="0.25">
      <c r="D38" s="8"/>
    </row>
  </sheetData>
  <pageMargins left="0.75" right="0.75" top="1" bottom="1" header="0.5" footer="0.5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0694E-8564-4A2E-A341-16E6E34BA445}">
  <dimension ref="A1:I21"/>
  <sheetViews>
    <sheetView workbookViewId="0">
      <selection activeCell="F20" sqref="F20"/>
    </sheetView>
  </sheetViews>
  <sheetFormatPr defaultRowHeight="15" x14ac:dyDescent="0.25"/>
  <cols>
    <col min="1" max="1" width="80" customWidth="1"/>
    <col min="2" max="6" width="14.7109375" customWidth="1"/>
    <col min="8" max="8" width="12" bestFit="1" customWidth="1"/>
  </cols>
  <sheetData>
    <row r="1" spans="1:9" ht="15" customHeight="1" x14ac:dyDescent="0.25">
      <c r="A1" s="75" t="s">
        <v>40</v>
      </c>
      <c r="B1" s="77" t="s">
        <v>41</v>
      </c>
      <c r="C1" s="77"/>
      <c r="D1" s="77"/>
      <c r="E1" s="77"/>
      <c r="F1" s="77"/>
    </row>
    <row r="2" spans="1:9" x14ac:dyDescent="0.25">
      <c r="A2" s="76"/>
      <c r="B2" s="11" t="s">
        <v>114</v>
      </c>
      <c r="C2" s="11" t="s">
        <v>104</v>
      </c>
      <c r="D2" s="2" t="s">
        <v>42</v>
      </c>
      <c r="E2" s="2" t="s">
        <v>2</v>
      </c>
      <c r="F2" s="2" t="s">
        <v>1</v>
      </c>
    </row>
    <row r="3" spans="1:9" x14ac:dyDescent="0.25">
      <c r="A3" s="3" t="s">
        <v>43</v>
      </c>
      <c r="D3" s="4" t="s">
        <v>4</v>
      </c>
      <c r="E3" s="4" t="s">
        <v>4</v>
      </c>
      <c r="F3" s="4" t="s">
        <v>4</v>
      </c>
    </row>
    <row r="4" spans="1:9" x14ac:dyDescent="0.25">
      <c r="A4" s="4" t="s">
        <v>44</v>
      </c>
      <c r="B4" s="12">
        <v>2802326</v>
      </c>
      <c r="C4" s="12">
        <v>3042478</v>
      </c>
      <c r="D4" s="5">
        <v>2501554</v>
      </c>
      <c r="E4" s="5">
        <v>3126402</v>
      </c>
      <c r="F4" s="5">
        <v>3464152</v>
      </c>
      <c r="H4" s="14"/>
    </row>
    <row r="5" spans="1:9" x14ac:dyDescent="0.25">
      <c r="A5" s="4" t="s">
        <v>45</v>
      </c>
      <c r="B5" s="8">
        <v>1415978</v>
      </c>
      <c r="C5" s="8">
        <v>1526808</v>
      </c>
      <c r="D5" s="6">
        <v>1277665</v>
      </c>
      <c r="E5" s="6">
        <v>1513947</v>
      </c>
      <c r="F5" s="6">
        <v>1753074</v>
      </c>
      <c r="H5" s="15"/>
    </row>
    <row r="6" spans="1:9" x14ac:dyDescent="0.25">
      <c r="A6" s="4" t="s">
        <v>46</v>
      </c>
      <c r="B6" s="8">
        <v>1386348</v>
      </c>
      <c r="C6" s="8">
        <v>1515670</v>
      </c>
      <c r="D6" s="6">
        <v>1223889</v>
      </c>
      <c r="E6" s="6">
        <v>1612455</v>
      </c>
      <c r="F6" s="6">
        <v>1711078</v>
      </c>
      <c r="H6" s="14"/>
    </row>
    <row r="7" spans="1:9" x14ac:dyDescent="0.25">
      <c r="A7" s="4" t="s">
        <v>47</v>
      </c>
      <c r="B7" s="8">
        <v>1051152</v>
      </c>
      <c r="C7" s="8">
        <v>1136186</v>
      </c>
      <c r="D7" s="6">
        <v>1081448</v>
      </c>
      <c r="E7" s="6">
        <v>1180323</v>
      </c>
      <c r="F7" s="6">
        <v>1304394</v>
      </c>
      <c r="H7" s="14"/>
      <c r="I7" s="15"/>
    </row>
    <row r="8" spans="1:9" x14ac:dyDescent="0.25">
      <c r="A8" s="4" t="s">
        <v>48</v>
      </c>
      <c r="B8" s="8">
        <v>0</v>
      </c>
      <c r="C8" s="8">
        <v>0</v>
      </c>
      <c r="D8" s="6">
        <v>17500</v>
      </c>
      <c r="E8" s="6">
        <v>0</v>
      </c>
      <c r="F8" s="6">
        <v>35600</v>
      </c>
      <c r="H8" s="15"/>
    </row>
    <row r="9" spans="1:9" x14ac:dyDescent="0.25">
      <c r="A9" s="4" t="s">
        <v>49</v>
      </c>
      <c r="B9" s="12">
        <v>15786</v>
      </c>
      <c r="C9" s="12">
        <v>15487</v>
      </c>
      <c r="D9" s="6">
        <v>12108</v>
      </c>
      <c r="E9" s="6">
        <v>18372</v>
      </c>
      <c r="F9" s="6">
        <v>22020</v>
      </c>
      <c r="H9" s="15"/>
    </row>
    <row r="10" spans="1:9" x14ac:dyDescent="0.25">
      <c r="A10" s="4" t="s">
        <v>50</v>
      </c>
      <c r="B10" s="15">
        <v>350982</v>
      </c>
      <c r="C10" s="8">
        <v>394971</v>
      </c>
      <c r="D10" s="6">
        <v>137049</v>
      </c>
      <c r="E10" s="6">
        <v>450504</v>
      </c>
      <c r="F10" s="6">
        <v>393104</v>
      </c>
    </row>
    <row r="11" spans="1:9" x14ac:dyDescent="0.25">
      <c r="A11" s="4" t="s">
        <v>51</v>
      </c>
      <c r="B11" s="8">
        <v>9876</v>
      </c>
      <c r="C11" s="8">
        <v>8302</v>
      </c>
      <c r="D11" s="6">
        <v>435</v>
      </c>
      <c r="E11" s="6">
        <v>1380</v>
      </c>
      <c r="F11" s="6">
        <v>2713</v>
      </c>
    </row>
    <row r="12" spans="1:9" x14ac:dyDescent="0.25">
      <c r="A12" s="4" t="s">
        <v>52</v>
      </c>
      <c r="B12" s="8">
        <v>-141</v>
      </c>
      <c r="C12" s="8">
        <v>2156</v>
      </c>
      <c r="D12" s="6">
        <v>2039</v>
      </c>
      <c r="E12" s="6">
        <v>-373</v>
      </c>
      <c r="F12" s="6">
        <v>1593</v>
      </c>
    </row>
    <row r="13" spans="1:9" x14ac:dyDescent="0.25">
      <c r="A13" s="4" t="s">
        <v>53</v>
      </c>
      <c r="B13" s="8">
        <v>360717</v>
      </c>
      <c r="C13" s="8">
        <v>405429</v>
      </c>
      <c r="D13" s="6">
        <v>139523</v>
      </c>
      <c r="E13" s="6">
        <v>451511</v>
      </c>
      <c r="F13" s="6">
        <v>397410</v>
      </c>
    </row>
    <row r="14" spans="1:9" x14ac:dyDescent="0.25">
      <c r="A14" s="4" t="s">
        <v>54</v>
      </c>
      <c r="B14" s="8">
        <v>-85769</v>
      </c>
      <c r="C14" s="8">
        <v>-74940</v>
      </c>
      <c r="D14" s="6">
        <v>-31510</v>
      </c>
      <c r="E14" s="6">
        <v>-97403</v>
      </c>
      <c r="F14" s="6">
        <v>-85970</v>
      </c>
    </row>
    <row r="15" spans="1:9" x14ac:dyDescent="0.25">
      <c r="A15" s="4" t="s">
        <v>55</v>
      </c>
      <c r="B15" s="8">
        <v>274948</v>
      </c>
      <c r="C15" s="8">
        <v>330489</v>
      </c>
      <c r="D15" s="5">
        <v>108013</v>
      </c>
      <c r="E15" s="5">
        <v>354108</v>
      </c>
      <c r="F15" s="5">
        <v>311440</v>
      </c>
    </row>
    <row r="16" spans="1:9" x14ac:dyDescent="0.25">
      <c r="A16" s="3" t="s">
        <v>56</v>
      </c>
      <c r="D16" s="4" t="s">
        <v>4</v>
      </c>
      <c r="E16" s="4" t="s">
        <v>4</v>
      </c>
      <c r="F16" s="4" t="s">
        <v>4</v>
      </c>
    </row>
    <row r="17" spans="1:6" x14ac:dyDescent="0.25">
      <c r="A17" s="4" t="s">
        <v>57</v>
      </c>
      <c r="B17" s="13">
        <v>3.85</v>
      </c>
      <c r="C17" s="13">
        <v>4.87</v>
      </c>
      <c r="D17" s="7">
        <v>1.63</v>
      </c>
      <c r="E17" s="7">
        <v>5.37</v>
      </c>
      <c r="F17" s="7">
        <v>4.96</v>
      </c>
    </row>
    <row r="18" spans="1:6" x14ac:dyDescent="0.25">
      <c r="A18" s="4" t="s">
        <v>58</v>
      </c>
      <c r="B18" s="13">
        <v>3.81</v>
      </c>
      <c r="C18" s="13">
        <v>4.83</v>
      </c>
      <c r="D18" s="7">
        <v>1.62</v>
      </c>
      <c r="E18" s="7">
        <v>5.33</v>
      </c>
      <c r="F18" s="7">
        <v>4.95</v>
      </c>
    </row>
    <row r="19" spans="1:6" x14ac:dyDescent="0.25">
      <c r="A19" s="3" t="s">
        <v>59</v>
      </c>
      <c r="D19" s="4" t="s">
        <v>4</v>
      </c>
      <c r="E19" s="4" t="s">
        <v>4</v>
      </c>
      <c r="F19" s="4" t="s">
        <v>4</v>
      </c>
    </row>
    <row r="20" spans="1:6" x14ac:dyDescent="0.25">
      <c r="A20" s="4" t="s">
        <v>60</v>
      </c>
      <c r="B20" s="8">
        <v>69614</v>
      </c>
      <c r="C20" s="8">
        <v>67837</v>
      </c>
      <c r="D20" s="6">
        <v>66376</v>
      </c>
      <c r="E20" s="6">
        <v>65942</v>
      </c>
      <c r="F20" s="6">
        <v>62754</v>
      </c>
    </row>
    <row r="21" spans="1:6" x14ac:dyDescent="0.25">
      <c r="A21" s="4" t="s">
        <v>61</v>
      </c>
      <c r="B21" s="8">
        <v>70401</v>
      </c>
      <c r="C21" s="8">
        <v>68493</v>
      </c>
      <c r="D21" s="6">
        <v>66772</v>
      </c>
      <c r="E21" s="6">
        <v>66415</v>
      </c>
      <c r="F21" s="6">
        <v>62970</v>
      </c>
    </row>
  </sheetData>
  <mergeCells count="2">
    <mergeCell ref="A1:A2"/>
    <mergeCell ref="B1:F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9AA7-8BB6-46F8-8813-9B48E593EC50}">
  <dimension ref="A1:F45"/>
  <sheetViews>
    <sheetView workbookViewId="0">
      <selection activeCell="F16" sqref="F16"/>
    </sheetView>
  </sheetViews>
  <sheetFormatPr defaultRowHeight="15" x14ac:dyDescent="0.25"/>
  <cols>
    <col min="1" max="1" width="80" customWidth="1"/>
    <col min="2" max="6" width="14.7109375" customWidth="1"/>
  </cols>
  <sheetData>
    <row r="1" spans="1:6" ht="15" customHeight="1" x14ac:dyDescent="0.25">
      <c r="A1" s="75" t="s">
        <v>62</v>
      </c>
      <c r="B1" s="77" t="s">
        <v>41</v>
      </c>
      <c r="C1" s="77"/>
      <c r="D1" s="77"/>
      <c r="E1" s="77"/>
      <c r="F1" s="77"/>
    </row>
    <row r="2" spans="1:6" x14ac:dyDescent="0.25">
      <c r="A2" s="76"/>
      <c r="B2" s="11" t="s">
        <v>114</v>
      </c>
      <c r="C2" s="11" t="s">
        <v>104</v>
      </c>
      <c r="D2" s="2" t="s">
        <v>42</v>
      </c>
      <c r="E2" s="2" t="s">
        <v>2</v>
      </c>
      <c r="F2" s="2" t="s">
        <v>1</v>
      </c>
    </row>
    <row r="3" spans="1:6" x14ac:dyDescent="0.25">
      <c r="A3" s="3" t="s">
        <v>63</v>
      </c>
      <c r="B3" s="3"/>
      <c r="C3" s="3"/>
      <c r="D3" s="4" t="s">
        <v>4</v>
      </c>
      <c r="E3" s="4" t="s">
        <v>4</v>
      </c>
      <c r="F3" s="4" t="s">
        <v>4</v>
      </c>
    </row>
    <row r="4" spans="1:6" x14ac:dyDescent="0.25">
      <c r="A4" s="4" t="s">
        <v>64</v>
      </c>
      <c r="B4" s="19">
        <v>274948</v>
      </c>
      <c r="C4" s="19">
        <v>330489</v>
      </c>
      <c r="D4" s="5">
        <v>108013</v>
      </c>
      <c r="E4" s="5">
        <v>354108</v>
      </c>
      <c r="F4" s="5">
        <v>311440</v>
      </c>
    </row>
    <row r="5" spans="1:6" x14ac:dyDescent="0.25">
      <c r="A5" s="3" t="s">
        <v>65</v>
      </c>
      <c r="B5" s="19"/>
      <c r="C5" s="19"/>
      <c r="D5" s="4" t="s">
        <v>4</v>
      </c>
      <c r="E5" s="4" t="s">
        <v>4</v>
      </c>
      <c r="F5" s="4" t="s">
        <v>4</v>
      </c>
    </row>
    <row r="6" spans="1:6" x14ac:dyDescent="0.25">
      <c r="A6" s="4" t="s">
        <v>66</v>
      </c>
      <c r="B6" s="19">
        <v>58230</v>
      </c>
      <c r="C6" s="19">
        <v>121725</v>
      </c>
      <c r="D6" s="6">
        <v>146601</v>
      </c>
      <c r="E6" s="6">
        <v>115571</v>
      </c>
      <c r="F6" s="6">
        <v>117399</v>
      </c>
    </row>
    <row r="7" spans="1:6" x14ac:dyDescent="0.25">
      <c r="A7" s="4" t="s">
        <v>67</v>
      </c>
      <c r="B7" s="19">
        <v>3908</v>
      </c>
      <c r="C7" s="19">
        <v>-108</v>
      </c>
      <c r="D7" s="6">
        <v>19156</v>
      </c>
      <c r="E7" s="6">
        <v>-10758</v>
      </c>
      <c r="F7" s="6">
        <v>-2044</v>
      </c>
    </row>
    <row r="8" spans="1:6" x14ac:dyDescent="0.25">
      <c r="A8" s="4" t="s">
        <v>68</v>
      </c>
      <c r="B8" s="19">
        <v>4208</v>
      </c>
      <c r="C8" s="19">
        <v>5442</v>
      </c>
      <c r="D8" s="6">
        <v>-31342</v>
      </c>
      <c r="E8" s="6">
        <v>-1233</v>
      </c>
      <c r="F8" s="6">
        <v>-38194</v>
      </c>
    </row>
    <row r="9" spans="1:6" x14ac:dyDescent="0.25">
      <c r="A9" s="4" t="s">
        <v>69</v>
      </c>
      <c r="B9" s="19">
        <v>1462</v>
      </c>
      <c r="C9" s="19">
        <v>-1808</v>
      </c>
      <c r="D9" s="6">
        <v>-11263</v>
      </c>
      <c r="E9" s="6">
        <v>-9798</v>
      </c>
      <c r="F9" s="6">
        <v>-8118</v>
      </c>
    </row>
    <row r="10" spans="1:6" x14ac:dyDescent="0.25">
      <c r="A10" s="4" t="s">
        <v>70</v>
      </c>
      <c r="B10" s="19">
        <v>14291</v>
      </c>
      <c r="C10" s="19">
        <v>17832</v>
      </c>
      <c r="D10" s="6">
        <v>17778</v>
      </c>
      <c r="E10" s="6">
        <v>19126</v>
      </c>
      <c r="F10" s="6">
        <v>21021</v>
      </c>
    </row>
    <row r="11" spans="1:6" x14ac:dyDescent="0.25">
      <c r="A11" s="3" t="s">
        <v>71</v>
      </c>
      <c r="B11" s="19"/>
      <c r="C11" s="19"/>
      <c r="D11" s="4" t="s">
        <v>4</v>
      </c>
      <c r="E11" s="4" t="s">
        <v>4</v>
      </c>
      <c r="F11" s="4" t="s">
        <v>4</v>
      </c>
    </row>
    <row r="12" spans="1:6" x14ac:dyDescent="0.25">
      <c r="A12" s="4" t="s">
        <v>72</v>
      </c>
      <c r="B12" s="19">
        <v>-29509</v>
      </c>
      <c r="C12" s="19">
        <v>-37429</v>
      </c>
      <c r="D12" s="6">
        <v>22885</v>
      </c>
      <c r="E12" s="6">
        <v>-31622</v>
      </c>
      <c r="F12" s="6">
        <v>-64495</v>
      </c>
    </row>
    <row r="13" spans="1:6" x14ac:dyDescent="0.25">
      <c r="A13" s="4" t="s">
        <v>73</v>
      </c>
      <c r="B13" s="19">
        <v>-94716</v>
      </c>
      <c r="C13" s="19">
        <v>-84058</v>
      </c>
      <c r="D13" s="6">
        <v>64884</v>
      </c>
      <c r="E13" s="6">
        <v>-100261</v>
      </c>
      <c r="F13" s="6">
        <v>-399851</v>
      </c>
    </row>
    <row r="14" spans="1:6" x14ac:dyDescent="0.25">
      <c r="A14" s="4" t="s">
        <v>74</v>
      </c>
      <c r="B14" s="19">
        <v>-9771</v>
      </c>
      <c r="C14" s="19">
        <v>-15068</v>
      </c>
      <c r="D14" s="6">
        <v>33712</v>
      </c>
      <c r="E14" s="6">
        <v>-24858</v>
      </c>
      <c r="F14" s="6">
        <v>-25749</v>
      </c>
    </row>
    <row r="15" spans="1:6" x14ac:dyDescent="0.25">
      <c r="A15" s="4" t="s">
        <v>75</v>
      </c>
      <c r="B15" s="19">
        <v>-12421</v>
      </c>
      <c r="C15" s="19">
        <v>-3547</v>
      </c>
      <c r="D15" s="6">
        <v>21224</v>
      </c>
      <c r="E15" s="6">
        <v>-1231</v>
      </c>
      <c r="F15" s="6">
        <v>2475</v>
      </c>
    </row>
    <row r="16" spans="1:6" x14ac:dyDescent="0.25">
      <c r="A16" s="4" t="s">
        <v>76</v>
      </c>
      <c r="B16" s="19">
        <v>19384</v>
      </c>
      <c r="C16" s="19">
        <v>-10419</v>
      </c>
      <c r="D16" s="6">
        <v>-49275</v>
      </c>
      <c r="E16" s="6">
        <v>75513</v>
      </c>
      <c r="F16" s="6">
        <v>40429</v>
      </c>
    </row>
    <row r="17" spans="1:6" x14ac:dyDescent="0.25">
      <c r="A17" s="4" t="s">
        <v>77</v>
      </c>
      <c r="B17" s="19">
        <v>66900</v>
      </c>
      <c r="C17" s="19">
        <v>18863</v>
      </c>
      <c r="D17" s="6">
        <v>-52115</v>
      </c>
      <c r="E17" s="6">
        <v>66457</v>
      </c>
      <c r="F17" s="6">
        <v>20683</v>
      </c>
    </row>
    <row r="18" spans="1:6" x14ac:dyDescent="0.25">
      <c r="A18" s="4" t="s">
        <v>78</v>
      </c>
      <c r="B18" s="19">
        <v>-3958</v>
      </c>
      <c r="C18" s="19">
        <v>-9402</v>
      </c>
      <c r="D18" s="6">
        <v>9082</v>
      </c>
      <c r="E18" s="6">
        <v>-15248</v>
      </c>
      <c r="F18" s="6">
        <v>-5871</v>
      </c>
    </row>
    <row r="19" spans="1:6" x14ac:dyDescent="0.25">
      <c r="A19" s="4" t="s">
        <v>79</v>
      </c>
      <c r="B19" s="19">
        <v>0</v>
      </c>
      <c r="C19" s="19">
        <v>-54197</v>
      </c>
      <c r="D19" s="6">
        <v>52112</v>
      </c>
      <c r="E19" s="6">
        <v>85176</v>
      </c>
      <c r="F19" s="6">
        <v>62749</v>
      </c>
    </row>
    <row r="20" spans="1:6" x14ac:dyDescent="0.25">
      <c r="A20" s="4" t="s">
        <v>80</v>
      </c>
      <c r="B20" s="19">
        <v>-3387</v>
      </c>
      <c r="C20" s="19">
        <v>7137</v>
      </c>
      <c r="D20" s="6">
        <v>8613</v>
      </c>
      <c r="E20" s="6">
        <v>-1112</v>
      </c>
      <c r="F20" s="6">
        <v>-3055</v>
      </c>
    </row>
    <row r="21" spans="1:6" x14ac:dyDescent="0.25">
      <c r="A21" s="4" t="s">
        <v>81</v>
      </c>
      <c r="B21" s="19">
        <v>289569</v>
      </c>
      <c r="C21" s="19">
        <v>285452</v>
      </c>
      <c r="D21" s="6">
        <v>276077</v>
      </c>
      <c r="E21" s="6">
        <v>354406</v>
      </c>
      <c r="F21" s="6">
        <v>-25241</v>
      </c>
    </row>
    <row r="22" spans="1:6" x14ac:dyDescent="0.25">
      <c r="A22" s="3" t="s">
        <v>82</v>
      </c>
      <c r="B22" s="19"/>
      <c r="C22" s="19"/>
      <c r="D22" s="4" t="s">
        <v>4</v>
      </c>
      <c r="E22" s="4" t="s">
        <v>4</v>
      </c>
      <c r="F22" s="4" t="s">
        <v>4</v>
      </c>
    </row>
    <row r="23" spans="1:6" x14ac:dyDescent="0.25">
      <c r="A23" s="4" t="s">
        <v>83</v>
      </c>
      <c r="B23" s="19">
        <v>-518755</v>
      </c>
      <c r="C23" s="19">
        <v>-136257</v>
      </c>
      <c r="D23" s="6">
        <v>-35044</v>
      </c>
      <c r="E23" s="6">
        <v>-130191</v>
      </c>
      <c r="F23" s="6">
        <v>-44876</v>
      </c>
    </row>
    <row r="24" spans="1:6" x14ac:dyDescent="0.25">
      <c r="A24" s="4" t="s">
        <v>84</v>
      </c>
      <c r="B24" s="19">
        <v>352127</v>
      </c>
      <c r="C24" s="19">
        <v>400501</v>
      </c>
      <c r="D24" s="6">
        <v>36631</v>
      </c>
      <c r="E24" s="6">
        <v>1184</v>
      </c>
      <c r="F24" s="6">
        <v>176083</v>
      </c>
    </row>
    <row r="25" spans="1:6" x14ac:dyDescent="0.25">
      <c r="A25" s="4" t="s">
        <v>85</v>
      </c>
      <c r="B25" s="19">
        <v>-65603</v>
      </c>
      <c r="C25" s="19">
        <v>-123516</v>
      </c>
      <c r="D25" s="6">
        <v>28758</v>
      </c>
      <c r="E25" s="6">
        <v>34744</v>
      </c>
      <c r="F25" s="6">
        <v>58467</v>
      </c>
    </row>
    <row r="26" spans="1:6" x14ac:dyDescent="0.25">
      <c r="A26" s="4" t="s">
        <v>86</v>
      </c>
      <c r="B26" s="19">
        <v>-232231</v>
      </c>
      <c r="C26" s="19">
        <v>140728</v>
      </c>
      <c r="D26" s="6">
        <v>-27171</v>
      </c>
      <c r="E26" s="6">
        <v>-163751</v>
      </c>
      <c r="F26" s="6">
        <v>72740</v>
      </c>
    </row>
    <row r="27" spans="1:6" x14ac:dyDescent="0.25">
      <c r="A27" s="3" t="s">
        <v>87</v>
      </c>
      <c r="B27" s="19"/>
      <c r="C27" s="19"/>
      <c r="D27" s="4" t="s">
        <v>4</v>
      </c>
      <c r="E27" s="4" t="s">
        <v>4</v>
      </c>
      <c r="F27" s="4" t="s">
        <v>4</v>
      </c>
    </row>
    <row r="28" spans="1:6" x14ac:dyDescent="0.25">
      <c r="A28" s="4" t="s">
        <v>88</v>
      </c>
      <c r="B28" s="19">
        <v>70576</v>
      </c>
      <c r="C28" s="19">
        <v>78186</v>
      </c>
      <c r="D28" s="6">
        <v>402422</v>
      </c>
      <c r="E28" s="6">
        <v>38334</v>
      </c>
      <c r="F28" s="6">
        <v>52918</v>
      </c>
    </row>
    <row r="29" spans="1:6" x14ac:dyDescent="0.25">
      <c r="A29" s="4" t="s">
        <v>89</v>
      </c>
      <c r="B29" s="19">
        <v>-70576</v>
      </c>
      <c r="C29" s="19">
        <v>-78186</v>
      </c>
      <c r="D29" s="6">
        <v>-403146</v>
      </c>
      <c r="E29" s="6">
        <v>-38156</v>
      </c>
      <c r="F29" s="6">
        <v>-52979</v>
      </c>
    </row>
    <row r="30" spans="1:6" x14ac:dyDescent="0.25">
      <c r="A30" s="4" t="s">
        <v>90</v>
      </c>
      <c r="B30" s="19">
        <v>0</v>
      </c>
      <c r="C30" s="19">
        <v>0</v>
      </c>
      <c r="D30" s="6">
        <v>3278</v>
      </c>
      <c r="E30" s="6">
        <v>0</v>
      </c>
      <c r="F30" s="6">
        <v>604</v>
      </c>
    </row>
    <row r="31" spans="1:6" ht="30" x14ac:dyDescent="0.25">
      <c r="A31" s="4" t="s">
        <v>91</v>
      </c>
      <c r="B31" s="19">
        <v>18484</v>
      </c>
      <c r="C31" s="19">
        <v>19793</v>
      </c>
      <c r="D31" s="6">
        <v>6919</v>
      </c>
      <c r="E31" s="6">
        <v>28783</v>
      </c>
      <c r="F31" s="6">
        <v>6588</v>
      </c>
    </row>
    <row r="32" spans="1:6" x14ac:dyDescent="0.25">
      <c r="A32" s="4" t="s">
        <v>92</v>
      </c>
      <c r="B32" s="19">
        <v>-4285</v>
      </c>
      <c r="C32" s="19">
        <v>-5806</v>
      </c>
      <c r="D32" s="6">
        <v>-4533</v>
      </c>
      <c r="E32" s="6">
        <v>-5812</v>
      </c>
      <c r="F32" s="6">
        <v>-4229</v>
      </c>
    </row>
    <row r="33" spans="1:6" x14ac:dyDescent="0.25">
      <c r="A33" s="4" t="s">
        <v>93</v>
      </c>
      <c r="B33" s="19">
        <v>-201600</v>
      </c>
      <c r="C33" s="19">
        <v>-121702</v>
      </c>
      <c r="D33" s="6">
        <v>-132889</v>
      </c>
      <c r="E33" s="6">
        <v>-165415</v>
      </c>
      <c r="F33" s="6">
        <v>-287443</v>
      </c>
    </row>
    <row r="34" spans="1:6" x14ac:dyDescent="0.25">
      <c r="A34" s="18" t="s">
        <v>94</v>
      </c>
      <c r="B34" s="19">
        <v>-82613</v>
      </c>
      <c r="C34" s="19">
        <v>-65127</v>
      </c>
      <c r="D34" s="6">
        <v>17195</v>
      </c>
      <c r="E34" s="6">
        <v>68623</v>
      </c>
      <c r="F34" s="6">
        <v>75082</v>
      </c>
    </row>
    <row r="35" spans="1:6" x14ac:dyDescent="0.25">
      <c r="A35" s="18" t="s">
        <v>115</v>
      </c>
      <c r="B35" s="19">
        <v>0</v>
      </c>
      <c r="C35" s="19">
        <v>17880</v>
      </c>
      <c r="D35" s="16">
        <v>0</v>
      </c>
      <c r="E35" s="16">
        <v>0</v>
      </c>
      <c r="F35" s="16">
        <v>0</v>
      </c>
    </row>
    <row r="36" spans="1:6" x14ac:dyDescent="0.25">
      <c r="A36" s="4" t="s">
        <v>95</v>
      </c>
      <c r="B36" s="19">
        <v>-270014</v>
      </c>
      <c r="C36" s="19">
        <v>-190722</v>
      </c>
      <c r="D36" s="6">
        <v>-151700</v>
      </c>
      <c r="E36" s="6">
        <v>-210889</v>
      </c>
      <c r="F36" s="6">
        <v>-360831</v>
      </c>
    </row>
    <row r="37" spans="1:6" ht="30" x14ac:dyDescent="0.25">
      <c r="A37" s="4" t="s">
        <v>96</v>
      </c>
      <c r="B37" s="19">
        <v>-8695</v>
      </c>
      <c r="C37" s="19">
        <v>-1244</v>
      </c>
      <c r="D37" s="6">
        <v>7510</v>
      </c>
      <c r="E37" s="6">
        <v>-7087</v>
      </c>
      <c r="F37" s="6">
        <v>-19831</v>
      </c>
    </row>
    <row r="38" spans="1:6" ht="30" x14ac:dyDescent="0.25">
      <c r="A38" s="4" t="s">
        <v>97</v>
      </c>
      <c r="B38" s="19">
        <v>-221371</v>
      </c>
      <c r="C38" s="19">
        <v>234214</v>
      </c>
      <c r="D38" s="6">
        <v>104716</v>
      </c>
      <c r="E38" s="6">
        <v>-27321</v>
      </c>
      <c r="F38" s="6">
        <v>-333163</v>
      </c>
    </row>
    <row r="39" spans="1:6" ht="30" x14ac:dyDescent="0.25">
      <c r="A39" s="4" t="s">
        <v>98</v>
      </c>
      <c r="B39" s="19">
        <v>673166</v>
      </c>
      <c r="C39" s="19">
        <v>451795</v>
      </c>
      <c r="D39" s="6">
        <v>686009</v>
      </c>
      <c r="E39" s="6">
        <v>790725</v>
      </c>
      <c r="F39" s="6">
        <v>763404</v>
      </c>
    </row>
    <row r="40" spans="1:6" x14ac:dyDescent="0.25">
      <c r="A40" s="4" t="s">
        <v>99</v>
      </c>
      <c r="B40" s="19">
        <v>451795</v>
      </c>
      <c r="C40" s="19">
        <v>686009</v>
      </c>
      <c r="D40" s="6">
        <v>790725</v>
      </c>
      <c r="E40" s="6">
        <v>763404</v>
      </c>
      <c r="F40" s="6">
        <v>430241</v>
      </c>
    </row>
    <row r="41" spans="1:6" x14ac:dyDescent="0.25">
      <c r="A41" s="3" t="s">
        <v>100</v>
      </c>
      <c r="B41" s="19"/>
      <c r="C41" s="19"/>
      <c r="D41" s="4" t="s">
        <v>4</v>
      </c>
      <c r="E41" s="4" t="s">
        <v>4</v>
      </c>
      <c r="F41" s="4" t="s">
        <v>4</v>
      </c>
    </row>
    <row r="42" spans="1:6" x14ac:dyDescent="0.25">
      <c r="A42" s="4" t="s">
        <v>101</v>
      </c>
      <c r="B42" s="19">
        <v>77408</v>
      </c>
      <c r="C42" s="19">
        <v>99062</v>
      </c>
      <c r="D42" s="6">
        <v>14687</v>
      </c>
      <c r="E42" s="6">
        <v>129483</v>
      </c>
      <c r="F42" s="6">
        <v>92110</v>
      </c>
    </row>
    <row r="43" spans="1:6" x14ac:dyDescent="0.25">
      <c r="A43" s="3" t="s">
        <v>102</v>
      </c>
      <c r="B43" s="19"/>
      <c r="C43" s="19"/>
      <c r="D43" s="4" t="s">
        <v>4</v>
      </c>
      <c r="E43" s="4" t="s">
        <v>4</v>
      </c>
      <c r="F43" s="4" t="s">
        <v>4</v>
      </c>
    </row>
    <row r="44" spans="1:6" x14ac:dyDescent="0.25">
      <c r="A44" s="4" t="s">
        <v>103</v>
      </c>
      <c r="B44" s="19">
        <v>11831</v>
      </c>
      <c r="C44" s="19">
        <v>9543</v>
      </c>
      <c r="D44" s="6">
        <v>3831</v>
      </c>
      <c r="E44" s="6">
        <v>5853</v>
      </c>
      <c r="F44" s="6">
        <v>11103</v>
      </c>
    </row>
    <row r="45" spans="1:6" x14ac:dyDescent="0.25">
      <c r="A45" s="4"/>
      <c r="B45" s="4"/>
      <c r="C45" s="4"/>
      <c r="D45" s="5"/>
      <c r="E45" s="5"/>
      <c r="F45" s="5"/>
    </row>
  </sheetData>
  <mergeCells count="2">
    <mergeCell ref="A1:A2"/>
    <mergeCell ref="B1:F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V e o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V e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X q F Y o i k e 4 D g A A A B E A A A A T A B w A R m 9 y b X V s Y X M v U 2 V j d G l v b j E u b S C i G A A o o B Q A A A A A A A A A A A A A A A A A A A A A A A A A A A A r T k 0 u y c z P U w i G 0 I b W A F B L A Q I t A B Q A A g A I A D 1 X q F Y 4 s h n d p A A A A P Y A A A A S A A A A A A A A A A A A A A A A A A A A A A B D b 2 5 m a W c v U G F j a 2 F n Z S 5 4 b W x Q S w E C L Q A U A A I A C A A 9 V 6 h W D 8 r p q 6 Q A A A D p A A A A E w A A A A A A A A A A A A A A A A D w A A A A W 0 N v b n R l b n R f V H l w Z X N d L n h t b F B L A Q I t A B Q A A g A I A D 1 X q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h f s S O 1 0 F K S o 8 B / 6 7 0 p o B 7 A A A A A A I A A A A A A B B m A A A A A Q A A I A A A A C H 1 V i 1 D J v 4 s x v O C a 1 F I I g n s Y C 5 R 6 m 6 d o Z R S l L Y H 7 F m i A A A A A A 6 A A A A A A g A A I A A A A J m 0 F J B i b q e f H f 3 D i j U 2 D S Y P C u e s G k R U U 5 a 7 a 2 0 i W v P o U A A A A L o 4 V l U j h T z C E 8 E v O Z B 0 l o J q G S s j j V n s Q i Q Q c c A a a k H / r e s 6 2 s S u H p m y h A s f F 4 Y 3 Q q B 4 q H 1 4 U X Z Q 3 4 s D L m P s D w H l Q x B 3 L p W s F m e l y d f l a l / Z Q A A A A B T G o n 7 y i L j Z p O f a Q P D d I X 7 y h v S Y M 2 b 4 M R i r d B F W I 7 K U j P C N o t m h G l 4 h d M G S o X s P o V 2 S n q 3 b F D C W E L k 9 z t C 9 i 8 E = < / D a t a M a s h u p > 
</file>

<file path=customXml/itemProps1.xml><?xml version="1.0" encoding="utf-8"?>
<ds:datastoreItem xmlns:ds="http://schemas.openxmlformats.org/officeDocument/2006/customXml" ds:itemID="{FCD7A822-B4AA-47E9-95C4-11ACE22F19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FCFF</vt:lpstr>
      <vt:lpstr>Revenue Forecast</vt:lpstr>
      <vt:lpstr>Cost of Capital</vt:lpstr>
      <vt:lpstr>Financials---&gt;&gt;&gt;</vt:lpstr>
      <vt:lpstr>Consolidated Balance Sheets</vt:lpstr>
      <vt:lpstr>Consolidated Statements of Oper</vt:lpstr>
      <vt:lpstr>Consolidated Statement of Cash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2023-05-08T17:44:23Z</dcterms:created>
  <dcterms:modified xsi:type="dcterms:W3CDTF">2023-05-13T23:20:43Z</dcterms:modified>
</cp:coreProperties>
</file>