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8195" windowHeight="10005"/>
  </bookViews>
  <sheets>
    <sheet name="Sheet1" sheetId="1" r:id="rId1"/>
  </sheets>
  <externalReferences>
    <externalReference r:id="rId2"/>
  </externalReferences>
  <calcPr calcId="125725"/>
</workbook>
</file>

<file path=xl/calcChain.xml><?xml version="1.0" encoding="utf-8"?>
<calcChain xmlns="http://schemas.openxmlformats.org/spreadsheetml/2006/main">
  <c r="E36" i="1"/>
  <c r="M35"/>
  <c r="F33"/>
  <c r="E33"/>
  <c r="H32"/>
  <c r="C32"/>
  <c r="G31"/>
  <c r="C31"/>
  <c r="H31" s="1"/>
  <c r="G30"/>
  <c r="D30"/>
  <c r="C30"/>
  <c r="H30" s="1"/>
  <c r="G29"/>
  <c r="D29"/>
  <c r="C29"/>
  <c r="H29" s="1"/>
  <c r="O28"/>
  <c r="G28"/>
  <c r="D28"/>
  <c r="C28"/>
  <c r="H28" s="1"/>
  <c r="O27"/>
  <c r="N27"/>
  <c r="N28" s="1"/>
  <c r="G27"/>
  <c r="C27"/>
  <c r="H27" s="1"/>
  <c r="M26"/>
  <c r="L26"/>
  <c r="Q26" s="1"/>
  <c r="G26"/>
  <c r="D26"/>
  <c r="C26"/>
  <c r="H26" s="1"/>
  <c r="P25"/>
  <c r="Q25" s="1"/>
  <c r="L25"/>
  <c r="H25"/>
  <c r="G25"/>
  <c r="D25"/>
  <c r="C25"/>
  <c r="Q24"/>
  <c r="L24"/>
  <c r="G24"/>
  <c r="D24"/>
  <c r="C24"/>
  <c r="H24" s="1"/>
  <c r="P23"/>
  <c r="L23"/>
  <c r="Q23" s="1"/>
  <c r="G23"/>
  <c r="D23"/>
  <c r="C23"/>
  <c r="H23" s="1"/>
  <c r="P22"/>
  <c r="Q22" s="1"/>
  <c r="L22"/>
  <c r="H22"/>
  <c r="G22"/>
  <c r="C22"/>
  <c r="P21"/>
  <c r="L21"/>
  <c r="Q21" s="1"/>
  <c r="G21"/>
  <c r="C21"/>
  <c r="H21" s="1"/>
  <c r="P20"/>
  <c r="Q20" s="1"/>
  <c r="L20"/>
  <c r="H20"/>
  <c r="D20"/>
  <c r="C20"/>
  <c r="P19"/>
  <c r="M19"/>
  <c r="L19"/>
  <c r="Q19" s="1"/>
  <c r="G19"/>
  <c r="C19"/>
  <c r="H19" s="1"/>
  <c r="P18"/>
  <c r="L18"/>
  <c r="Q18" s="1"/>
  <c r="G18"/>
  <c r="D18"/>
  <c r="C18"/>
  <c r="H18" s="1"/>
  <c r="P17"/>
  <c r="Q17" s="1"/>
  <c r="L17"/>
  <c r="H17"/>
  <c r="G17"/>
  <c r="C17"/>
  <c r="P16"/>
  <c r="M16"/>
  <c r="L16"/>
  <c r="Q16" s="1"/>
  <c r="G16"/>
  <c r="D16"/>
  <c r="C16"/>
  <c r="H16" s="1"/>
  <c r="P15"/>
  <c r="M15"/>
  <c r="L15"/>
  <c r="Q15" s="1"/>
  <c r="G15"/>
  <c r="D15"/>
  <c r="C15"/>
  <c r="H15" s="1"/>
  <c r="P14"/>
  <c r="M14"/>
  <c r="L14"/>
  <c r="Q14" s="1"/>
  <c r="G14"/>
  <c r="D14"/>
  <c r="C14"/>
  <c r="H14" s="1"/>
  <c r="P13"/>
  <c r="M13"/>
  <c r="L13"/>
  <c r="Q13" s="1"/>
  <c r="G13"/>
  <c r="D13"/>
  <c r="C13"/>
  <c r="H13" s="1"/>
  <c r="P12"/>
  <c r="M12"/>
  <c r="L12"/>
  <c r="Q12" s="1"/>
  <c r="G12"/>
  <c r="D12"/>
  <c r="C12"/>
  <c r="H12" s="1"/>
  <c r="P11"/>
  <c r="L11"/>
  <c r="Q11" s="1"/>
  <c r="G11"/>
  <c r="D11"/>
  <c r="H11" s="1"/>
  <c r="C11"/>
  <c r="P10"/>
  <c r="M10"/>
  <c r="Q10" s="1"/>
  <c r="L10"/>
  <c r="G10"/>
  <c r="D10"/>
  <c r="H10" s="1"/>
  <c r="C10"/>
  <c r="M9"/>
  <c r="L9"/>
  <c r="Q9" s="1"/>
  <c r="G9"/>
  <c r="D9"/>
  <c r="C9"/>
  <c r="H9" s="1"/>
  <c r="P8"/>
  <c r="M8"/>
  <c r="L8"/>
  <c r="Q8" s="1"/>
  <c r="G8"/>
  <c r="D8"/>
  <c r="D36" s="1"/>
  <c r="C8"/>
  <c r="H8" s="1"/>
  <c r="P7"/>
  <c r="Q7" s="1"/>
  <c r="L7"/>
  <c r="H7"/>
  <c r="C7"/>
  <c r="P6"/>
  <c r="M6"/>
  <c r="Q6" s="1"/>
  <c r="L6"/>
  <c r="G6"/>
  <c r="C6"/>
  <c r="H6" s="1"/>
  <c r="P5"/>
  <c r="P27" s="1"/>
  <c r="M5"/>
  <c r="L5"/>
  <c r="Q5" s="1"/>
  <c r="G5"/>
  <c r="C5"/>
  <c r="H5" s="1"/>
  <c r="Q4"/>
  <c r="M4"/>
  <c r="L35" s="1"/>
  <c r="L4"/>
  <c r="K35" s="1"/>
  <c r="G4"/>
  <c r="H4" s="1"/>
  <c r="C4"/>
  <c r="C36" s="1"/>
  <c r="H36" s="1"/>
  <c r="H33" l="1"/>
  <c r="Q28" s="1"/>
  <c r="P35"/>
  <c r="Q27"/>
  <c r="D33"/>
  <c r="M28" s="1"/>
  <c r="M27"/>
  <c r="C33"/>
  <c r="G33"/>
  <c r="P28" s="1"/>
  <c r="L27"/>
  <c r="L28" l="1"/>
</calcChain>
</file>

<file path=xl/sharedStrings.xml><?xml version="1.0" encoding="utf-8"?>
<sst xmlns="http://schemas.openxmlformats.org/spreadsheetml/2006/main" count="83" uniqueCount="69">
  <si>
    <t>合同制员工2015年7月份加班费（1）</t>
  </si>
  <si>
    <t>合同制员工2015年7月份加班费（2）</t>
  </si>
  <si>
    <t>领导批示：</t>
    <phoneticPr fontId="5" type="noConversion"/>
  </si>
  <si>
    <t>序号</t>
    <phoneticPr fontId="5" type="noConversion"/>
  </si>
  <si>
    <t>姓名</t>
    <phoneticPr fontId="5" type="noConversion" alignment="center"/>
  </si>
  <si>
    <t>节假日
加班费</t>
  </si>
  <si>
    <t>扣款</t>
    <phoneticPr fontId="5" type="noConversion" alignment="center"/>
  </si>
  <si>
    <t>扣税</t>
    <phoneticPr fontId="5" type="noConversion"/>
  </si>
  <si>
    <t>2014年扣保
险补差</t>
    <phoneticPr fontId="5" type="noConversion"/>
  </si>
  <si>
    <t>2015年保险扣款</t>
    <phoneticPr fontId="5" type="noConversion"/>
  </si>
  <si>
    <t>实领金额</t>
    <phoneticPr fontId="5" type="noConversion" alignment="center"/>
  </si>
  <si>
    <t>领   印</t>
    <phoneticPr fontId="5" type="noConversion" alignment="center"/>
  </si>
  <si>
    <t>张洪奎</t>
    <phoneticPr fontId="5" type="noConversion" alignment="center"/>
  </si>
  <si>
    <t>徐舒婷</t>
    <phoneticPr fontId="5" type="noConversion" alignment="center"/>
  </si>
  <si>
    <t>王丹丹</t>
    <phoneticPr fontId="5" type="noConversion" alignment="center"/>
  </si>
  <si>
    <t>韩晓宾</t>
    <phoneticPr fontId="5" type="noConversion" alignment="center"/>
  </si>
  <si>
    <t>万思奇</t>
    <phoneticPr fontId="5" type="noConversion" alignment="center"/>
  </si>
  <si>
    <t>李庆春</t>
    <phoneticPr fontId="5" type="noConversion" alignment="center"/>
  </si>
  <si>
    <t>程志超</t>
    <phoneticPr fontId="5" type="noConversion"/>
  </si>
  <si>
    <t>王贺</t>
    <phoneticPr fontId="5" type="noConversion"/>
  </si>
  <si>
    <t>杨东升</t>
    <phoneticPr fontId="5" type="noConversion" alignment="center"/>
  </si>
  <si>
    <t>关迪皓</t>
    <phoneticPr fontId="5" type="noConversion" alignment="center"/>
  </si>
  <si>
    <t>王雪</t>
    <phoneticPr fontId="5" type="noConversion" alignment="center"/>
  </si>
  <si>
    <t>钱荟屹</t>
    <phoneticPr fontId="5" type="noConversion" alignment="center"/>
  </si>
  <si>
    <t>赵亚君</t>
    <phoneticPr fontId="5" type="noConversion" alignment="center"/>
  </si>
  <si>
    <t>常振兴</t>
    <phoneticPr fontId="5" type="noConversion" alignment="center"/>
  </si>
  <si>
    <t>宫树伟</t>
    <phoneticPr fontId="5" type="noConversion" alignment="center"/>
  </si>
  <si>
    <t>吴文杰</t>
    <phoneticPr fontId="5" type="noConversion" alignment="center"/>
  </si>
  <si>
    <t>郭磊</t>
    <phoneticPr fontId="5" type="noConversion" alignment="center"/>
  </si>
  <si>
    <t>郭建波</t>
    <phoneticPr fontId="5" type="noConversion" alignment="center"/>
  </si>
  <si>
    <t>于洪桥</t>
    <phoneticPr fontId="5" type="noConversion" alignment="center"/>
  </si>
  <si>
    <t>于跃</t>
    <phoneticPr fontId="5" type="noConversion" alignment="center"/>
  </si>
  <si>
    <t>芦颖慧</t>
    <phoneticPr fontId="5" type="noConversion" alignment="center"/>
  </si>
  <si>
    <t>李泽宇</t>
    <phoneticPr fontId="5" type="noConversion" alignment="center"/>
  </si>
  <si>
    <t>赵婧婧</t>
    <phoneticPr fontId="5" type="noConversion" alignment="center"/>
  </si>
  <si>
    <t>潘慧</t>
    <phoneticPr fontId="5" type="noConversion" alignment="center"/>
  </si>
  <si>
    <t>许亚萍</t>
    <phoneticPr fontId="5" type="noConversion" alignment="center"/>
  </si>
  <si>
    <t>孙永志</t>
    <phoneticPr fontId="5" type="noConversion" alignment="center"/>
  </si>
  <si>
    <t>蔡双燕</t>
    <phoneticPr fontId="5" type="noConversion" alignment="center"/>
  </si>
  <si>
    <t>齐永生</t>
    <phoneticPr fontId="5" type="noConversion" alignment="center"/>
  </si>
  <si>
    <t>关建伟</t>
    <phoneticPr fontId="5" type="noConversion" alignment="center"/>
  </si>
  <si>
    <t>丁涛</t>
    <phoneticPr fontId="5" type="noConversion" alignment="center"/>
  </si>
  <si>
    <t>张亚娟</t>
  </si>
  <si>
    <t>黄振光</t>
    <phoneticPr fontId="5" type="noConversion" alignment="center"/>
  </si>
  <si>
    <t>盛飞</t>
    <phoneticPr fontId="5" type="noConversion"/>
  </si>
  <si>
    <t>张升升</t>
    <phoneticPr fontId="5" type="noConversion"/>
  </si>
  <si>
    <t>李楠楠</t>
    <phoneticPr fontId="5" type="noConversion" alignment="center"/>
  </si>
  <si>
    <t>李任喆</t>
    <phoneticPr fontId="5" type="noConversion" alignment="center"/>
  </si>
  <si>
    <t>高延文</t>
    <phoneticPr fontId="5" type="noConversion"/>
  </si>
  <si>
    <t>邰岩</t>
    <phoneticPr fontId="5" type="noConversion"/>
  </si>
  <si>
    <t>麻华颖</t>
    <phoneticPr fontId="5" type="noConversion" alignment="center"/>
  </si>
  <si>
    <t>齐博</t>
    <phoneticPr fontId="5" type="noConversion" alignment="center"/>
  </si>
  <si>
    <t>侯云成</t>
  </si>
  <si>
    <t>李建伟</t>
    <phoneticPr fontId="5" type="noConversion" alignment="center"/>
  </si>
  <si>
    <t>刘新阳</t>
    <phoneticPr fontId="5" type="noConversion" alignment="center"/>
  </si>
  <si>
    <t>刘宏超</t>
    <phoneticPr fontId="5" type="noConversion" alignment="center"/>
  </si>
  <si>
    <t>董磊</t>
    <phoneticPr fontId="5" type="noConversion" alignment="center"/>
  </si>
  <si>
    <t>王桂艳</t>
    <phoneticPr fontId="5" type="noConversion" alignment="center"/>
  </si>
  <si>
    <t>黄海涛</t>
    <phoneticPr fontId="5" type="noConversion" alignment="center"/>
  </si>
  <si>
    <t>小   计</t>
    <phoneticPr fontId="5" type="noConversion"/>
  </si>
  <si>
    <t>赵凤洋</t>
    <phoneticPr fontId="5" type="noConversion" alignment="center"/>
  </si>
  <si>
    <t>合   计</t>
    <phoneticPr fontId="5" type="noConversion"/>
  </si>
  <si>
    <t>王月然</t>
    <phoneticPr fontId="5" type="noConversion" alignment="center"/>
  </si>
  <si>
    <t>制表人：</t>
    <phoneticPr fontId="5" type="noConversion" alignment="center"/>
  </si>
  <si>
    <t>复核人：</t>
    <phoneticPr fontId="5" type="noConversion" alignment="center"/>
  </si>
  <si>
    <t>审核人：</t>
    <phoneticPr fontId="5" type="noConversion" alignment="center"/>
  </si>
  <si>
    <t>盖志超</t>
    <phoneticPr fontId="5" type="noConversion" alignment="center"/>
  </si>
  <si>
    <t>罗梦迪</t>
    <phoneticPr fontId="5" type="noConversion" alignment="center"/>
  </si>
  <si>
    <t>韩叙</t>
    <phoneticPr fontId="5" type="noConversion"/>
  </si>
</sst>
</file>

<file path=xl/styles.xml><?xml version="1.0" encoding="utf-8"?>
<styleSheet xmlns="http://schemas.openxmlformats.org/spreadsheetml/2006/main">
  <numFmts count="4">
    <numFmt numFmtId="176" formatCode="0.00_);[Red]\(0.00\)"/>
    <numFmt numFmtId="177" formatCode="0.00_ "/>
    <numFmt numFmtId="178" formatCode="0_);[Red]\(0\)"/>
    <numFmt numFmtId="179" formatCode="0.00_);\(0.00\)"/>
  </numFmts>
  <fonts count="10">
    <font>
      <sz val="11"/>
      <color theme="1"/>
      <name val="宋体"/>
      <family val="2"/>
      <charset val="134"/>
      <scheme val="minor"/>
    </font>
    <font>
      <b/>
      <sz val="16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1"/>
      <name val="楷体_GB2312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/>
    <xf numFmtId="0" fontId="4" fillId="2" borderId="0" xfId="0" applyFont="1" applyFill="1" applyAlignment="1"/>
    <xf numFmtId="0" fontId="4" fillId="2" borderId="0" xfId="0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center" vertical="center"/>
    </xf>
    <xf numFmtId="176" fontId="4" fillId="2" borderId="0" xfId="0" applyNumberFormat="1" applyFont="1" applyFill="1" applyBorder="1" applyAlignment="1">
      <alignment horizontal="left" vertical="center"/>
    </xf>
    <xf numFmtId="176" fontId="4" fillId="2" borderId="0" xfId="0" applyNumberFormat="1" applyFont="1" applyFill="1" applyAlignment="1"/>
    <xf numFmtId="0" fontId="6" fillId="2" borderId="0" xfId="0" applyFont="1" applyFill="1" applyAlignment="1"/>
    <xf numFmtId="0" fontId="7" fillId="2" borderId="1" xfId="0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/>
    <xf numFmtId="0" fontId="7" fillId="0" borderId="1" xfId="0" applyFont="1" applyFill="1" applyBorder="1" applyAlignment="1">
      <alignment horizontal="center"/>
    </xf>
    <xf numFmtId="177" fontId="7" fillId="0" borderId="1" xfId="0" applyNumberFormat="1" applyFont="1" applyFill="1" applyBorder="1" applyAlignment="1">
      <alignment horizontal="center" vertical="center" wrapText="1"/>
    </xf>
    <xf numFmtId="178" fontId="7" fillId="0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Fill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/>
    <xf numFmtId="0" fontId="7" fillId="2" borderId="1" xfId="0" applyFont="1" applyFill="1" applyBorder="1" applyAlignment="1">
      <alignment horizontal="center"/>
    </xf>
    <xf numFmtId="179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/>
    </xf>
    <xf numFmtId="176" fontId="9" fillId="2" borderId="0" xfId="0" applyNumberFormat="1" applyFont="1" applyFill="1" applyBorder="1" applyAlignment="1">
      <alignment horizontal="left" vertical="center" wrapText="1"/>
    </xf>
    <xf numFmtId="176" fontId="9" fillId="2" borderId="0" xfId="0" applyNumberFormat="1" applyFont="1" applyFill="1" applyBorder="1" applyAlignment="1">
      <alignment horizontal="right" vertical="center" wrapText="1"/>
    </xf>
    <xf numFmtId="0" fontId="8" fillId="2" borderId="0" xfId="0" applyFont="1" applyFill="1" applyBorder="1" applyAlignment="1"/>
    <xf numFmtId="178" fontId="9" fillId="2" borderId="0" xfId="0" applyNumberFormat="1" applyFont="1" applyFill="1" applyBorder="1" applyAlignment="1">
      <alignment horizontal="left" vertical="center" wrapText="1"/>
    </xf>
    <xf numFmtId="0" fontId="3" fillId="2" borderId="0" xfId="0" applyFont="1" applyFill="1" applyBorder="1" applyAlignment="1"/>
    <xf numFmtId="176" fontId="3" fillId="2" borderId="0" xfId="0" applyNumberFormat="1" applyFont="1" applyFill="1" applyAlignment="1"/>
    <xf numFmtId="0" fontId="8" fillId="2" borderId="0" xfId="0" applyFont="1" applyFill="1" applyBorder="1" applyAlignment="1">
      <alignment horizontal="left"/>
    </xf>
    <xf numFmtId="179" fontId="3" fillId="2" borderId="0" xfId="0" applyNumberFormat="1" applyFont="1" applyFill="1" applyAlignment="1"/>
    <xf numFmtId="0" fontId="8" fillId="2" borderId="0" xfId="0" applyFont="1" applyFill="1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36164;&#30456;&#20851;/&#35843;/&#21512;&#21516;2013-2015&#20445;&#38505;&#25187;&#2745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3">
          <cell r="A3" t="str">
            <v>张洪奎</v>
          </cell>
          <cell r="B3">
            <v>2254.92</v>
          </cell>
          <cell r="C3">
            <v>2225.1599999999989</v>
          </cell>
          <cell r="D3">
            <v>799.87999999999965</v>
          </cell>
          <cell r="E3">
            <v>5279.9599999999991</v>
          </cell>
          <cell r="F3">
            <v>724.88</v>
          </cell>
          <cell r="G3">
            <v>74.999999999999659</v>
          </cell>
        </row>
        <row r="4">
          <cell r="A4" t="str">
            <v>武斌</v>
          </cell>
          <cell r="B4">
            <v>2062.42</v>
          </cell>
          <cell r="C4">
            <v>1877.5199999999995</v>
          </cell>
          <cell r="D4">
            <v>676.87999999999965</v>
          </cell>
          <cell r="E4">
            <v>4616.82</v>
          </cell>
          <cell r="F4">
            <v>601.88000000000011</v>
          </cell>
          <cell r="G4">
            <v>74.999999999999545</v>
          </cell>
        </row>
        <row r="5">
          <cell r="A5" t="str">
            <v>吴文杰</v>
          </cell>
          <cell r="B5">
            <v>1769.0199999999991</v>
          </cell>
          <cell r="C5">
            <v>1472.7600000000002</v>
          </cell>
          <cell r="D5">
            <v>844.76000000000022</v>
          </cell>
          <cell r="E5">
            <v>4086.5399999999995</v>
          </cell>
          <cell r="F5">
            <v>769.76</v>
          </cell>
          <cell r="G5">
            <v>75.000000000000227</v>
          </cell>
        </row>
        <row r="6">
          <cell r="A6" t="str">
            <v>王丹丹</v>
          </cell>
          <cell r="B6">
            <v>1923.0199999999991</v>
          </cell>
          <cell r="C6">
            <v>1554</v>
          </cell>
          <cell r="D6">
            <v>683.76000000000022</v>
          </cell>
          <cell r="E6">
            <v>4160.7799999999988</v>
          </cell>
          <cell r="F6">
            <v>608.76000000000022</v>
          </cell>
          <cell r="G6">
            <v>75</v>
          </cell>
        </row>
        <row r="7">
          <cell r="A7" t="str">
            <v>杨东升</v>
          </cell>
          <cell r="B7">
            <v>2647.62</v>
          </cell>
          <cell r="C7">
            <v>2269.5599999999995</v>
          </cell>
          <cell r="D7">
            <v>990.87999999999965</v>
          </cell>
          <cell r="E7">
            <v>5908.0599999999995</v>
          </cell>
          <cell r="F7">
            <v>915.88000000000011</v>
          </cell>
          <cell r="G7">
            <v>74.999999999999545</v>
          </cell>
        </row>
        <row r="8">
          <cell r="A8" t="str">
            <v>王雪</v>
          </cell>
          <cell r="B8">
            <v>2143.5200000000004</v>
          </cell>
          <cell r="C8">
            <v>1588.1999999999989</v>
          </cell>
          <cell r="D8">
            <v>674.76000000000022</v>
          </cell>
          <cell r="E8">
            <v>4406.4799999999996</v>
          </cell>
          <cell r="F8">
            <v>599.76000000000022</v>
          </cell>
          <cell r="G8">
            <v>75</v>
          </cell>
        </row>
        <row r="9">
          <cell r="A9" t="str">
            <v>赵亚君</v>
          </cell>
          <cell r="B9">
            <v>1219.5199999999995</v>
          </cell>
          <cell r="C9">
            <v>1542.6000000000004</v>
          </cell>
          <cell r="D9">
            <v>847.76000000000022</v>
          </cell>
          <cell r="E9">
            <v>3609.88</v>
          </cell>
          <cell r="F9">
            <v>772.76000000000022</v>
          </cell>
          <cell r="G9">
            <v>75</v>
          </cell>
        </row>
        <row r="10">
          <cell r="A10" t="str">
            <v>宫树伟</v>
          </cell>
          <cell r="B10">
            <v>1769.0199999999991</v>
          </cell>
          <cell r="C10">
            <v>1538.7600000000002</v>
          </cell>
          <cell r="D10">
            <v>687.76000000000022</v>
          </cell>
          <cell r="E10">
            <v>3995.5399999999995</v>
          </cell>
          <cell r="F10">
            <v>612.76000000000022</v>
          </cell>
          <cell r="G10">
            <v>75</v>
          </cell>
        </row>
        <row r="11">
          <cell r="A11" t="str">
            <v>郭磊</v>
          </cell>
          <cell r="B11">
            <v>1523.42</v>
          </cell>
          <cell r="C11">
            <v>1579.1999999999998</v>
          </cell>
          <cell r="D11">
            <v>678.87999999999965</v>
          </cell>
          <cell r="E11">
            <v>3781.4999999999995</v>
          </cell>
          <cell r="F11">
            <v>603.88000000000011</v>
          </cell>
          <cell r="G11">
            <v>74.999999999999545</v>
          </cell>
        </row>
        <row r="12">
          <cell r="A12" t="str">
            <v>于洪桥</v>
          </cell>
          <cell r="B12">
            <v>1764.9199999999996</v>
          </cell>
          <cell r="C12">
            <v>1544.9999999999991</v>
          </cell>
          <cell r="D12">
            <v>687.87999999999965</v>
          </cell>
          <cell r="E12">
            <v>3997.7999999999984</v>
          </cell>
          <cell r="F12">
            <v>612.88000000000011</v>
          </cell>
          <cell r="G12">
            <v>74.999999999999545</v>
          </cell>
        </row>
        <row r="13">
          <cell r="A13" t="str">
            <v>芦颖慧</v>
          </cell>
          <cell r="B13">
            <v>1643.0199999999991</v>
          </cell>
          <cell r="C13">
            <v>1538.7600000000002</v>
          </cell>
          <cell r="D13">
            <v>687.76000000000022</v>
          </cell>
          <cell r="E13">
            <v>3869.5399999999995</v>
          </cell>
          <cell r="F13">
            <v>612.76000000000022</v>
          </cell>
          <cell r="G13">
            <v>75</v>
          </cell>
        </row>
        <row r="14">
          <cell r="A14" t="str">
            <v>赵婧婧</v>
          </cell>
          <cell r="B14">
            <v>1769.0199999999991</v>
          </cell>
          <cell r="C14">
            <v>1538.7600000000002</v>
          </cell>
          <cell r="D14">
            <v>687.76000000000022</v>
          </cell>
          <cell r="E14">
            <v>3995.5399999999995</v>
          </cell>
          <cell r="F14">
            <v>612.76000000000022</v>
          </cell>
          <cell r="G14">
            <v>75</v>
          </cell>
        </row>
        <row r="15">
          <cell r="A15" t="str">
            <v>韩晓宾</v>
          </cell>
          <cell r="B15">
            <v>1527.5200000000004</v>
          </cell>
          <cell r="C15">
            <v>1572.96</v>
          </cell>
          <cell r="D15">
            <v>678.76000000000022</v>
          </cell>
          <cell r="E15">
            <v>3779.2400000000007</v>
          </cell>
          <cell r="F15">
            <v>603.76000000000022</v>
          </cell>
          <cell r="G15">
            <v>75</v>
          </cell>
        </row>
        <row r="16">
          <cell r="A16" t="str">
            <v>常振兴</v>
          </cell>
          <cell r="B16">
            <v>2293.42</v>
          </cell>
          <cell r="C16">
            <v>1922.9999999999991</v>
          </cell>
          <cell r="D16">
            <v>670.87999999999965</v>
          </cell>
          <cell r="E16">
            <v>4887.2999999999993</v>
          </cell>
          <cell r="F16">
            <v>595.88000000000011</v>
          </cell>
          <cell r="G16">
            <v>74.999999999999545</v>
          </cell>
        </row>
        <row r="17">
          <cell r="A17" t="str">
            <v>李楠楠</v>
          </cell>
          <cell r="B17">
            <v>2524.42</v>
          </cell>
          <cell r="C17">
            <v>2005.5599999999995</v>
          </cell>
          <cell r="D17">
            <v>862.87999999999965</v>
          </cell>
          <cell r="E17">
            <v>5392.8599999999988</v>
          </cell>
          <cell r="F17">
            <v>787.88000000000011</v>
          </cell>
          <cell r="G17">
            <v>74.999999999999545</v>
          </cell>
        </row>
        <row r="18">
          <cell r="A18" t="str">
            <v>刘新阳</v>
          </cell>
          <cell r="B18">
            <v>2254.92</v>
          </cell>
          <cell r="C18">
            <v>1605.7200000000003</v>
          </cell>
          <cell r="D18">
            <v>671.87999999999965</v>
          </cell>
          <cell r="E18">
            <v>4532.5200000000004</v>
          </cell>
          <cell r="F18">
            <v>596.88000000000011</v>
          </cell>
          <cell r="G18">
            <v>74.999999999999545</v>
          </cell>
        </row>
        <row r="19">
          <cell r="A19" t="str">
            <v>董磊</v>
          </cell>
          <cell r="B19">
            <v>2066.5200000000004</v>
          </cell>
          <cell r="C19">
            <v>2313.12</v>
          </cell>
          <cell r="D19">
            <v>862.76000000000022</v>
          </cell>
          <cell r="E19">
            <v>5242.4000000000005</v>
          </cell>
          <cell r="F19">
            <v>787.76000000000022</v>
          </cell>
          <cell r="G19">
            <v>75</v>
          </cell>
        </row>
        <row r="20">
          <cell r="A20" t="str">
            <v>麻华颖</v>
          </cell>
          <cell r="B20">
            <v>2066.5200000000004</v>
          </cell>
          <cell r="C20">
            <v>1999.3199999999988</v>
          </cell>
          <cell r="D20">
            <v>862.76000000000022</v>
          </cell>
          <cell r="E20">
            <v>4928.5999999999995</v>
          </cell>
          <cell r="F20">
            <v>787.76000000000022</v>
          </cell>
          <cell r="G20">
            <v>75</v>
          </cell>
        </row>
        <row r="21">
          <cell r="A21" t="str">
            <v>黄海涛</v>
          </cell>
          <cell r="B21">
            <v>1523.42</v>
          </cell>
          <cell r="C21">
            <v>1579.1999999999998</v>
          </cell>
          <cell r="D21">
            <v>678.87999999999965</v>
          </cell>
          <cell r="E21">
            <v>3781.4999999999995</v>
          </cell>
          <cell r="F21">
            <v>603.88000000000011</v>
          </cell>
          <cell r="G21">
            <v>74.999999999999545</v>
          </cell>
        </row>
        <row r="22">
          <cell r="A22" t="str">
            <v>赵凤洋</v>
          </cell>
          <cell r="B22">
            <v>1764.9199999999996</v>
          </cell>
          <cell r="C22">
            <v>1544.9999999999991</v>
          </cell>
          <cell r="D22">
            <v>687.87999999999965</v>
          </cell>
          <cell r="E22">
            <v>3997.7999999999984</v>
          </cell>
          <cell r="F22">
            <v>612.88000000000011</v>
          </cell>
          <cell r="G22">
            <v>74.999999999999545</v>
          </cell>
        </row>
        <row r="23">
          <cell r="A23" t="str">
            <v>孙永志</v>
          </cell>
          <cell r="B23">
            <v>2216.42</v>
          </cell>
          <cell r="C23">
            <v>1733.88</v>
          </cell>
          <cell r="D23">
            <v>672.87999999999965</v>
          </cell>
          <cell r="E23">
            <v>4623.18</v>
          </cell>
          <cell r="F23">
            <v>597.88000000000011</v>
          </cell>
          <cell r="G23">
            <v>74.999999999999545</v>
          </cell>
        </row>
        <row r="24">
          <cell r="A24" t="str">
            <v>齐永生</v>
          </cell>
          <cell r="B24">
            <v>2370.42</v>
          </cell>
          <cell r="C24">
            <v>1749.12</v>
          </cell>
          <cell r="D24">
            <v>668.87999999999965</v>
          </cell>
          <cell r="E24">
            <v>4788.42</v>
          </cell>
          <cell r="F24">
            <v>593.88000000000011</v>
          </cell>
          <cell r="G24">
            <v>74.999999999999545</v>
          </cell>
        </row>
        <row r="25">
          <cell r="A25" t="str">
            <v>丁涛</v>
          </cell>
          <cell r="B25">
            <v>1831.42</v>
          </cell>
          <cell r="C25">
            <v>1563.96</v>
          </cell>
          <cell r="D25">
            <v>682.87999999999965</v>
          </cell>
          <cell r="E25">
            <v>4078.2599999999998</v>
          </cell>
          <cell r="F25">
            <v>607.88000000000011</v>
          </cell>
          <cell r="G25">
            <v>74.999999999999545</v>
          </cell>
        </row>
        <row r="26">
          <cell r="A26" t="str">
            <v>黄振光</v>
          </cell>
          <cell r="B26">
            <v>1553.4000000000015</v>
          </cell>
          <cell r="C26">
            <v>1584.3600000000006</v>
          </cell>
          <cell r="D26">
            <v>675.76000000000022</v>
          </cell>
          <cell r="E26">
            <v>3813.5200000000023</v>
          </cell>
          <cell r="F26">
            <v>600.76000000000022</v>
          </cell>
          <cell r="G26">
            <v>75</v>
          </cell>
        </row>
        <row r="27">
          <cell r="A27" t="str">
            <v>张升升</v>
          </cell>
          <cell r="B27">
            <v>1215.42</v>
          </cell>
          <cell r="C27">
            <v>1548.8399999999992</v>
          </cell>
          <cell r="D27">
            <v>576.87999999999965</v>
          </cell>
          <cell r="E27">
            <v>3341.139999999999</v>
          </cell>
          <cell r="F27">
            <v>479.88000000000011</v>
          </cell>
          <cell r="G27">
            <v>96.999999999999545</v>
          </cell>
        </row>
        <row r="28">
          <cell r="A28" t="str">
            <v>高延文</v>
          </cell>
          <cell r="B28">
            <v>75</v>
          </cell>
          <cell r="C28">
            <v>1556.4000000000005</v>
          </cell>
          <cell r="D28">
            <v>684.87999999999965</v>
          </cell>
          <cell r="E28">
            <v>2316.2800000000002</v>
          </cell>
          <cell r="F28">
            <v>609.88000000000011</v>
          </cell>
          <cell r="G28">
            <v>74.999999999999545</v>
          </cell>
        </row>
        <row r="29">
          <cell r="A29" t="str">
            <v>刘宏超</v>
          </cell>
          <cell r="B29">
            <v>75</v>
          </cell>
          <cell r="C29">
            <v>1786.4399999999996</v>
          </cell>
          <cell r="D29">
            <v>688.87999999999965</v>
          </cell>
          <cell r="E29">
            <v>2550.3199999999993</v>
          </cell>
          <cell r="F29">
            <v>613.88000000000011</v>
          </cell>
          <cell r="G29">
            <v>74.999999999999545</v>
          </cell>
        </row>
        <row r="30">
          <cell r="A30" t="str">
            <v>张亚娟</v>
          </cell>
          <cell r="B30">
            <v>75</v>
          </cell>
          <cell r="C30">
            <v>1323.8400000000001</v>
          </cell>
          <cell r="D30">
            <v>688.76000000000022</v>
          </cell>
          <cell r="E30">
            <v>2087.6000000000004</v>
          </cell>
          <cell r="F30">
            <v>613.76000000000022</v>
          </cell>
          <cell r="G30">
            <v>75</v>
          </cell>
        </row>
        <row r="31">
          <cell r="A31" t="str">
            <v>郭建波</v>
          </cell>
          <cell r="B31">
            <v>75</v>
          </cell>
          <cell r="C31">
            <v>1466.6400000000003</v>
          </cell>
          <cell r="D31">
            <v>684.87999999999965</v>
          </cell>
          <cell r="E31">
            <v>2226.52</v>
          </cell>
          <cell r="F31">
            <v>609.88000000000011</v>
          </cell>
          <cell r="G31">
            <v>74.999999999999545</v>
          </cell>
        </row>
        <row r="32">
          <cell r="A32" t="str">
            <v>李庆春</v>
          </cell>
          <cell r="B32">
            <v>75</v>
          </cell>
          <cell r="C32">
            <v>1730.6400000000003</v>
          </cell>
          <cell r="D32">
            <v>812.87999999999965</v>
          </cell>
          <cell r="E32">
            <v>2618.52</v>
          </cell>
          <cell r="F32">
            <v>737.88000000000011</v>
          </cell>
          <cell r="G32">
            <v>74.999999999999545</v>
          </cell>
        </row>
        <row r="33">
          <cell r="A33" t="str">
            <v>韩叙</v>
          </cell>
          <cell r="B33">
            <v>75</v>
          </cell>
          <cell r="C33">
            <v>1323.8400000000001</v>
          </cell>
          <cell r="D33">
            <v>688.76000000000022</v>
          </cell>
          <cell r="E33">
            <v>2087.6000000000004</v>
          </cell>
          <cell r="F33">
            <v>613.76000000000022</v>
          </cell>
          <cell r="G33">
            <v>75</v>
          </cell>
        </row>
        <row r="34">
          <cell r="A34" t="str">
            <v>李任喆</v>
          </cell>
          <cell r="B34"/>
          <cell r="C34">
            <v>75</v>
          </cell>
          <cell r="D34">
            <v>281.16000000000003</v>
          </cell>
          <cell r="E34">
            <v>356.16</v>
          </cell>
          <cell r="F34">
            <v>87.899999999999977</v>
          </cell>
          <cell r="G34">
            <v>193.26000000000005</v>
          </cell>
        </row>
        <row r="35">
          <cell r="A35" t="str">
            <v>侯云成</v>
          </cell>
          <cell r="B35"/>
          <cell r="C35">
            <v>75</v>
          </cell>
          <cell r="D35">
            <v>2045.6999999999998</v>
          </cell>
          <cell r="E35">
            <v>2120.6999999999998</v>
          </cell>
          <cell r="F35">
            <v>1970.6999999999998</v>
          </cell>
          <cell r="G35">
            <v>75</v>
          </cell>
        </row>
        <row r="36">
          <cell r="A36" t="str">
            <v>万思奇</v>
          </cell>
          <cell r="B36"/>
          <cell r="C36">
            <v>75</v>
          </cell>
          <cell r="D36">
            <v>1309.6999999999998</v>
          </cell>
          <cell r="E36">
            <v>1384.6999999999998</v>
          </cell>
          <cell r="F36">
            <v>1234.6999999999998</v>
          </cell>
          <cell r="G36">
            <v>75</v>
          </cell>
        </row>
        <row r="37">
          <cell r="A37" t="str">
            <v>邰岩</v>
          </cell>
          <cell r="B37">
            <v>75</v>
          </cell>
          <cell r="C37">
            <v>-69</v>
          </cell>
          <cell r="D37">
            <v>1187.6399999999999</v>
          </cell>
          <cell r="E37">
            <v>1193.6399999999999</v>
          </cell>
          <cell r="F37">
            <v>1298.6999999999998</v>
          </cell>
          <cell r="G37">
            <v>-111.05999999999995</v>
          </cell>
        </row>
        <row r="38">
          <cell r="A38" t="str">
            <v>王月然</v>
          </cell>
          <cell r="B38">
            <v>75</v>
          </cell>
          <cell r="C38">
            <v>-69</v>
          </cell>
          <cell r="D38">
            <v>1637.6399999999999</v>
          </cell>
          <cell r="E38">
            <v>1643.6399999999999</v>
          </cell>
          <cell r="F38">
            <v>1778.6999999999998</v>
          </cell>
          <cell r="G38">
            <v>-141.05999999999995</v>
          </cell>
        </row>
        <row r="39">
          <cell r="A39" t="str">
            <v>蔡双燕</v>
          </cell>
          <cell r="B39">
            <v>75</v>
          </cell>
          <cell r="C39">
            <v>-69</v>
          </cell>
          <cell r="D39">
            <v>1520.6399999999999</v>
          </cell>
          <cell r="E39">
            <v>1526.6399999999999</v>
          </cell>
          <cell r="F39">
            <v>1653.88</v>
          </cell>
          <cell r="G39">
            <v>-133.24000000000024</v>
          </cell>
        </row>
        <row r="40">
          <cell r="A40" t="str">
            <v>许亚萍</v>
          </cell>
          <cell r="B40">
            <v>75</v>
          </cell>
          <cell r="C40">
            <v>-69</v>
          </cell>
          <cell r="D40">
            <v>1550.6399999999999</v>
          </cell>
          <cell r="E40">
            <v>1556.6399999999999</v>
          </cell>
          <cell r="F40">
            <v>1685.88</v>
          </cell>
          <cell r="G40">
            <v>-135.24000000000024</v>
          </cell>
        </row>
        <row r="41">
          <cell r="A41" t="str">
            <v>关建伟</v>
          </cell>
          <cell r="B41"/>
          <cell r="C41">
            <v>75</v>
          </cell>
          <cell r="D41">
            <v>1501.6999999999998</v>
          </cell>
          <cell r="E41">
            <v>1576.6999999999998</v>
          </cell>
          <cell r="F41">
            <v>1426.6999999999998</v>
          </cell>
          <cell r="G41">
            <v>75</v>
          </cell>
        </row>
        <row r="42">
          <cell r="A42" t="str">
            <v>王贺</v>
          </cell>
          <cell r="B42"/>
          <cell r="C42">
            <v>75</v>
          </cell>
          <cell r="D42">
            <v>1408.88</v>
          </cell>
          <cell r="E42">
            <v>1483.88</v>
          </cell>
          <cell r="F42">
            <v>1333.88</v>
          </cell>
          <cell r="G42">
            <v>75</v>
          </cell>
        </row>
        <row r="43">
          <cell r="A43" t="str">
            <v>盖志超</v>
          </cell>
          <cell r="B43"/>
          <cell r="C43">
            <v>75</v>
          </cell>
          <cell r="D43">
            <v>1405.6999999999998</v>
          </cell>
          <cell r="E43">
            <v>1480.6999999999998</v>
          </cell>
          <cell r="F43">
            <v>1330.6999999999998</v>
          </cell>
          <cell r="G43">
            <v>75</v>
          </cell>
        </row>
        <row r="44">
          <cell r="A44" t="str">
            <v>于跃</v>
          </cell>
          <cell r="B44"/>
          <cell r="C44">
            <v>75</v>
          </cell>
          <cell r="D44">
            <v>1533.6999999999998</v>
          </cell>
          <cell r="E44">
            <v>1608.6999999999998</v>
          </cell>
          <cell r="F44">
            <v>1458.6999999999998</v>
          </cell>
          <cell r="G44">
            <v>75</v>
          </cell>
        </row>
        <row r="45">
          <cell r="A45" t="str">
            <v>关迪皓</v>
          </cell>
          <cell r="B45"/>
          <cell r="C45">
            <v>75</v>
          </cell>
          <cell r="D45">
            <v>1405.6999999999998</v>
          </cell>
          <cell r="E45">
            <v>1480.6999999999998</v>
          </cell>
          <cell r="F45">
            <v>1330.6999999999998</v>
          </cell>
          <cell r="G45">
            <v>75</v>
          </cell>
        </row>
        <row r="46">
          <cell r="A46" t="str">
            <v>罗梦迪</v>
          </cell>
          <cell r="B46"/>
          <cell r="C46">
            <v>75</v>
          </cell>
          <cell r="D46">
            <v>1280.8800000000001</v>
          </cell>
          <cell r="E46">
            <v>1355.88</v>
          </cell>
          <cell r="F46">
            <v>1205.8800000000001</v>
          </cell>
          <cell r="G46">
            <v>75</v>
          </cell>
        </row>
        <row r="47">
          <cell r="A47" t="str">
            <v>李泽宇</v>
          </cell>
          <cell r="B47"/>
          <cell r="C47">
            <v>75</v>
          </cell>
          <cell r="D47">
            <v>1533.6999999999998</v>
          </cell>
          <cell r="E47">
            <v>1608.6999999999998</v>
          </cell>
          <cell r="F47">
            <v>1458.6999999999998</v>
          </cell>
          <cell r="G47">
            <v>75</v>
          </cell>
        </row>
        <row r="48">
          <cell r="A48" t="str">
            <v>潘慧</v>
          </cell>
          <cell r="B48"/>
          <cell r="C48">
            <v>75</v>
          </cell>
          <cell r="D48">
            <v>1405.6999999999998</v>
          </cell>
          <cell r="E48">
            <v>1480.6999999999998</v>
          </cell>
          <cell r="F48">
            <v>1330.6999999999998</v>
          </cell>
          <cell r="G48">
            <v>75</v>
          </cell>
        </row>
        <row r="49">
          <cell r="A49" t="str">
            <v>齐博</v>
          </cell>
          <cell r="B49"/>
          <cell r="C49">
            <v>0</v>
          </cell>
          <cell r="D49">
            <v>1533.6999999999998</v>
          </cell>
          <cell r="E49">
            <v>1533.6999999999998</v>
          </cell>
          <cell r="F49">
            <v>1458.6999999999998</v>
          </cell>
          <cell r="G49">
            <v>75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8"/>
  <sheetViews>
    <sheetView tabSelected="1" topLeftCell="E1" workbookViewId="0">
      <selection activeCell="I10" sqref="I10"/>
    </sheetView>
  </sheetViews>
  <sheetFormatPr defaultRowHeight="14.25"/>
  <cols>
    <col min="1" max="1" width="4.75" style="2" customWidth="1"/>
    <col min="2" max="2" width="8" style="2" customWidth="1"/>
    <col min="3" max="3" width="14" style="2" customWidth="1"/>
    <col min="4" max="4" width="9.875" style="2" customWidth="1"/>
    <col min="5" max="5" width="9.75" style="2" customWidth="1"/>
    <col min="6" max="7" width="11.75" style="2" customWidth="1"/>
    <col min="8" max="8" width="10.75" style="30" customWidth="1"/>
    <col min="9" max="9" width="10.75" style="2" customWidth="1"/>
    <col min="10" max="10" width="5.875" style="2" customWidth="1"/>
    <col min="11" max="11" width="10.125" style="2" customWidth="1"/>
    <col min="12" max="12" width="11.875" style="2" customWidth="1"/>
    <col min="13" max="13" width="9.375" style="2" customWidth="1"/>
    <col min="14" max="14" width="8.125" style="2" customWidth="1"/>
    <col min="15" max="16" width="11.75" style="2" customWidth="1"/>
    <col min="17" max="17" width="12.875" style="30" customWidth="1"/>
    <col min="18" max="18" width="10.75" style="2" customWidth="1"/>
    <col min="19" max="16384" width="9" style="2"/>
  </cols>
  <sheetData>
    <row r="1" spans="1:18" ht="33.7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 t="s">
        <v>1</v>
      </c>
      <c r="K1" s="1"/>
      <c r="L1" s="1"/>
      <c r="M1" s="1"/>
      <c r="N1" s="1"/>
      <c r="O1" s="1"/>
      <c r="P1" s="1"/>
      <c r="Q1" s="1"/>
      <c r="R1" s="1"/>
    </row>
    <row r="2" spans="1:18" s="8" customFormat="1">
      <c r="A2" s="3"/>
      <c r="B2" s="4"/>
      <c r="C2" s="5"/>
      <c r="D2" s="5"/>
      <c r="E2" s="5"/>
      <c r="F2" s="5"/>
      <c r="G2" s="5"/>
      <c r="H2" s="6" t="s">
        <v>2</v>
      </c>
      <c r="I2" s="7"/>
      <c r="J2" s="3"/>
      <c r="K2" s="4"/>
      <c r="L2" s="5"/>
      <c r="M2" s="5"/>
      <c r="N2" s="5"/>
      <c r="O2" s="5"/>
      <c r="P2" s="5"/>
      <c r="Q2" s="6" t="s">
        <v>2</v>
      </c>
      <c r="R2" s="7"/>
    </row>
    <row r="3" spans="1:18" ht="34.5" customHeight="1">
      <c r="A3" s="9" t="s">
        <v>3</v>
      </c>
      <c r="B3" s="10" t="s">
        <v>4</v>
      </c>
      <c r="C3" s="11" t="s">
        <v>5</v>
      </c>
      <c r="D3" s="12" t="s">
        <v>6</v>
      </c>
      <c r="E3" s="12" t="s">
        <v>7</v>
      </c>
      <c r="F3" s="12" t="s">
        <v>8</v>
      </c>
      <c r="G3" s="12" t="s">
        <v>9</v>
      </c>
      <c r="H3" s="11" t="s">
        <v>10</v>
      </c>
      <c r="I3" s="11" t="s">
        <v>11</v>
      </c>
      <c r="J3" s="9" t="s">
        <v>3</v>
      </c>
      <c r="K3" s="10" t="s">
        <v>4</v>
      </c>
      <c r="L3" s="11" t="s">
        <v>5</v>
      </c>
      <c r="M3" s="12" t="s">
        <v>6</v>
      </c>
      <c r="N3" s="12" t="s">
        <v>7</v>
      </c>
      <c r="O3" s="12" t="s">
        <v>8</v>
      </c>
      <c r="P3" s="12" t="s">
        <v>9</v>
      </c>
      <c r="Q3" s="11" t="s">
        <v>10</v>
      </c>
      <c r="R3" s="11" t="s">
        <v>11</v>
      </c>
    </row>
    <row r="4" spans="1:18" ht="19.5" customHeight="1">
      <c r="A4" s="13">
        <v>1</v>
      </c>
      <c r="B4" s="10" t="s">
        <v>12</v>
      </c>
      <c r="C4" s="11">
        <f>ROUND(1808/8*8,0)</f>
        <v>1808</v>
      </c>
      <c r="D4" s="12"/>
      <c r="E4" s="14"/>
      <c r="F4" s="14">
        <v>111.26999999999907</v>
      </c>
      <c r="G4" s="14">
        <f>VLOOKUP(B4,[1]Sheet1!$A$3:$G$49,7,0)</f>
        <v>74.999999999999659</v>
      </c>
      <c r="H4" s="11">
        <f>C4-D4-E4-F4-G4</f>
        <v>1621.7300000000014</v>
      </c>
      <c r="I4" s="11"/>
      <c r="J4" s="13">
        <v>30</v>
      </c>
      <c r="K4" s="10" t="s">
        <v>13</v>
      </c>
      <c r="L4" s="11">
        <f t="shared" ref="L4:L26" si="0">ROUND(1808/8*8,0)</f>
        <v>1808</v>
      </c>
      <c r="M4" s="12">
        <f>10+25+50+25+10</f>
        <v>120</v>
      </c>
      <c r="N4" s="14"/>
      <c r="O4" s="14">
        <v>0</v>
      </c>
      <c r="P4" s="14"/>
      <c r="Q4" s="11">
        <f>L4-M4-N4-O4-P4</f>
        <v>1688</v>
      </c>
      <c r="R4" s="15"/>
    </row>
    <row r="5" spans="1:18" ht="19.5" customHeight="1">
      <c r="A5" s="13">
        <v>2</v>
      </c>
      <c r="B5" s="10" t="s">
        <v>14</v>
      </c>
      <c r="C5" s="11">
        <f t="shared" ref="C5:C31" si="1">ROUND(1808/8*8,0)</f>
        <v>1808</v>
      </c>
      <c r="D5" s="12">
        <v>10</v>
      </c>
      <c r="E5" s="14"/>
      <c r="F5" s="14">
        <v>55.630000000000109</v>
      </c>
      <c r="G5" s="14">
        <f>VLOOKUP(B5,[1]Sheet1!$A$3:$G$49,7,0)</f>
        <v>75</v>
      </c>
      <c r="H5" s="11">
        <f t="shared" ref="H5:H32" si="2">C5-D5-E5-F5-G5</f>
        <v>1667.37</v>
      </c>
      <c r="I5" s="11"/>
      <c r="J5" s="13">
        <v>31</v>
      </c>
      <c r="K5" s="10" t="s">
        <v>15</v>
      </c>
      <c r="L5" s="11">
        <f t="shared" si="0"/>
        <v>1808</v>
      </c>
      <c r="M5" s="12">
        <f>25</f>
        <v>25</v>
      </c>
      <c r="N5" s="14"/>
      <c r="O5" s="14">
        <v>0</v>
      </c>
      <c r="P5" s="14">
        <f>VLOOKUP(K5,[1]Sheet1!$A$3:$G$49,7,0)</f>
        <v>75</v>
      </c>
      <c r="Q5" s="11">
        <f t="shared" ref="Q5:Q26" si="3">L5-M5-N5-O5-P5</f>
        <v>1708</v>
      </c>
      <c r="R5" s="15"/>
    </row>
    <row r="6" spans="1:18" ht="19.5" customHeight="1">
      <c r="A6" s="13">
        <v>3</v>
      </c>
      <c r="B6" s="10" t="s">
        <v>16</v>
      </c>
      <c r="C6" s="11">
        <f t="shared" si="1"/>
        <v>1808</v>
      </c>
      <c r="D6" s="12">
        <v>100</v>
      </c>
      <c r="E6" s="14"/>
      <c r="F6" s="14">
        <v>0</v>
      </c>
      <c r="G6" s="14">
        <f>VLOOKUP(B6,[1]Sheet1!$A$3:$G$49,7,0)</f>
        <v>75</v>
      </c>
      <c r="H6" s="11">
        <f t="shared" si="2"/>
        <v>1633</v>
      </c>
      <c r="I6" s="11"/>
      <c r="J6" s="13">
        <v>32</v>
      </c>
      <c r="K6" s="10" t="s">
        <v>17</v>
      </c>
      <c r="L6" s="11">
        <f t="shared" si="0"/>
        <v>1808</v>
      </c>
      <c r="M6" s="12">
        <f>50+10</f>
        <v>60</v>
      </c>
      <c r="N6" s="14"/>
      <c r="O6" s="14">
        <v>120.50000000000045</v>
      </c>
      <c r="P6" s="14">
        <f>VLOOKUP(K6,[1]Sheet1!$A$3:$G$49,7,0)</f>
        <v>74.999999999999545</v>
      </c>
      <c r="Q6" s="11">
        <f t="shared" si="3"/>
        <v>1552.5</v>
      </c>
      <c r="R6" s="15"/>
    </row>
    <row r="7" spans="1:18" ht="19.5" customHeight="1">
      <c r="A7" s="13">
        <v>4</v>
      </c>
      <c r="B7" s="10" t="s">
        <v>18</v>
      </c>
      <c r="C7" s="11">
        <f t="shared" si="1"/>
        <v>1808</v>
      </c>
      <c r="D7" s="12">
        <v>50</v>
      </c>
      <c r="E7" s="14"/>
      <c r="F7" s="14">
        <v>0</v>
      </c>
      <c r="G7" s="14"/>
      <c r="H7" s="11">
        <f t="shared" si="2"/>
        <v>1758</v>
      </c>
      <c r="I7" s="11"/>
      <c r="J7" s="13">
        <v>33</v>
      </c>
      <c r="K7" s="10" t="s">
        <v>19</v>
      </c>
      <c r="L7" s="11">
        <f>ROUND(1808/8*4.5,0)</f>
        <v>1017</v>
      </c>
      <c r="M7" s="12">
        <v>25</v>
      </c>
      <c r="N7" s="14"/>
      <c r="O7" s="14">
        <v>0</v>
      </c>
      <c r="P7" s="14">
        <f>VLOOKUP(K7,[1]Sheet1!$A$3:$G$49,7,0)</f>
        <v>75</v>
      </c>
      <c r="Q7" s="11">
        <f t="shared" si="3"/>
        <v>917</v>
      </c>
      <c r="R7" s="15"/>
    </row>
    <row r="8" spans="1:18" ht="19.5" customHeight="1">
      <c r="A8" s="13">
        <v>5</v>
      </c>
      <c r="B8" s="10" t="s">
        <v>20</v>
      </c>
      <c r="C8" s="11">
        <f t="shared" si="1"/>
        <v>1808</v>
      </c>
      <c r="D8" s="12">
        <f>30+50+50</f>
        <v>130</v>
      </c>
      <c r="E8" s="14"/>
      <c r="F8" s="14">
        <v>0</v>
      </c>
      <c r="G8" s="14">
        <f>VLOOKUP(B8,[1]Sheet1!$A$3:$G$49,7,0)</f>
        <v>74.999999999999545</v>
      </c>
      <c r="H8" s="11">
        <f t="shared" si="2"/>
        <v>1603.0000000000005</v>
      </c>
      <c r="I8" s="11"/>
      <c r="J8" s="13">
        <v>34</v>
      </c>
      <c r="K8" s="10" t="s">
        <v>21</v>
      </c>
      <c r="L8" s="11">
        <f t="shared" si="0"/>
        <v>1808</v>
      </c>
      <c r="M8" s="12">
        <f>25+10</f>
        <v>35</v>
      </c>
      <c r="N8" s="14"/>
      <c r="O8" s="14">
        <v>0</v>
      </c>
      <c r="P8" s="14">
        <f>VLOOKUP(K8,[1]Sheet1!$A$3:$G$49,7,0)</f>
        <v>75</v>
      </c>
      <c r="Q8" s="11">
        <f t="shared" si="3"/>
        <v>1698</v>
      </c>
      <c r="R8" s="15"/>
    </row>
    <row r="9" spans="1:18" ht="19.5" customHeight="1">
      <c r="A9" s="13">
        <v>6</v>
      </c>
      <c r="B9" s="10" t="s">
        <v>22</v>
      </c>
      <c r="C9" s="11">
        <f t="shared" si="1"/>
        <v>1808</v>
      </c>
      <c r="D9" s="12">
        <f>30+20+50+25+25+10</f>
        <v>160</v>
      </c>
      <c r="E9" s="14"/>
      <c r="F9" s="14">
        <v>0</v>
      </c>
      <c r="G9" s="14">
        <f>VLOOKUP(B9,[1]Sheet1!$A$3:$G$49,7,0)</f>
        <v>75</v>
      </c>
      <c r="H9" s="11">
        <f t="shared" si="2"/>
        <v>1573</v>
      </c>
      <c r="I9" s="11"/>
      <c r="J9" s="13">
        <v>35</v>
      </c>
      <c r="K9" s="10" t="s">
        <v>23</v>
      </c>
      <c r="L9" s="11">
        <f>ROUND(1808/8*7.5,0)</f>
        <v>1695</v>
      </c>
      <c r="M9" s="12">
        <f>25+10</f>
        <v>35</v>
      </c>
      <c r="N9" s="14"/>
      <c r="O9" s="14">
        <v>0</v>
      </c>
      <c r="P9" s="14"/>
      <c r="Q9" s="11">
        <f t="shared" si="3"/>
        <v>1660</v>
      </c>
      <c r="R9" s="15"/>
    </row>
    <row r="10" spans="1:18" ht="19.5" customHeight="1">
      <c r="A10" s="13">
        <v>7</v>
      </c>
      <c r="B10" s="10" t="s">
        <v>24</v>
      </c>
      <c r="C10" s="11">
        <f t="shared" si="1"/>
        <v>1808</v>
      </c>
      <c r="D10" s="12">
        <f>10+25+25+25</f>
        <v>85</v>
      </c>
      <c r="E10" s="14"/>
      <c r="F10" s="14">
        <v>5.4800000000004729</v>
      </c>
      <c r="G10" s="14">
        <f>VLOOKUP(B10,[1]Sheet1!$A$3:$G$49,7,0)</f>
        <v>75</v>
      </c>
      <c r="H10" s="11">
        <f t="shared" si="2"/>
        <v>1642.5199999999995</v>
      </c>
      <c r="I10" s="11"/>
      <c r="J10" s="13">
        <v>36</v>
      </c>
      <c r="K10" s="10" t="s">
        <v>25</v>
      </c>
      <c r="L10" s="11">
        <f>ROUND(1808/8*7.5,0)</f>
        <v>1695</v>
      </c>
      <c r="M10" s="12">
        <f>50+50+50+10</f>
        <v>160</v>
      </c>
      <c r="N10" s="14"/>
      <c r="O10" s="14">
        <v>0</v>
      </c>
      <c r="P10" s="14">
        <f>VLOOKUP(K10,[1]Sheet1!$A$3:$G$49,7,0)</f>
        <v>74.999999999999545</v>
      </c>
      <c r="Q10" s="11">
        <f t="shared" si="3"/>
        <v>1460.0000000000005</v>
      </c>
      <c r="R10" s="11"/>
    </row>
    <row r="11" spans="1:18" ht="19.5" customHeight="1">
      <c r="A11" s="13">
        <v>8</v>
      </c>
      <c r="B11" s="10" t="s">
        <v>26</v>
      </c>
      <c r="C11" s="11">
        <f t="shared" si="1"/>
        <v>1808</v>
      </c>
      <c r="D11" s="12">
        <f>25+25+25</f>
        <v>75</v>
      </c>
      <c r="E11" s="14"/>
      <c r="F11" s="14">
        <v>195.39000000000033</v>
      </c>
      <c r="G11" s="14">
        <f>VLOOKUP(B11,[1]Sheet1!$A$3:$G$49,7,0)</f>
        <v>75</v>
      </c>
      <c r="H11" s="11">
        <f t="shared" si="2"/>
        <v>1462.6099999999997</v>
      </c>
      <c r="I11" s="11"/>
      <c r="J11" s="13">
        <v>37</v>
      </c>
      <c r="K11" s="10" t="s">
        <v>27</v>
      </c>
      <c r="L11" s="11">
        <f>ROUND(1808/8*7,0)</f>
        <v>1582</v>
      </c>
      <c r="M11" s="12"/>
      <c r="N11" s="14"/>
      <c r="O11" s="14">
        <v>0</v>
      </c>
      <c r="P11" s="14">
        <f>VLOOKUP(K11,[1]Sheet1!$A$3:$G$49,7,0)</f>
        <v>75.000000000000227</v>
      </c>
      <c r="Q11" s="11">
        <f t="shared" si="3"/>
        <v>1506.9999999999998</v>
      </c>
      <c r="R11" s="11"/>
    </row>
    <row r="12" spans="1:18" ht="19.5" customHeight="1">
      <c r="A12" s="13">
        <v>9</v>
      </c>
      <c r="B12" s="10" t="s">
        <v>28</v>
      </c>
      <c r="C12" s="11">
        <f>ROUND(1808/8*7.5,0)</f>
        <v>1695</v>
      </c>
      <c r="D12" s="12">
        <f>40+25+10</f>
        <v>75</v>
      </c>
      <c r="E12" s="14"/>
      <c r="F12" s="14">
        <v>0</v>
      </c>
      <c r="G12" s="14">
        <f>VLOOKUP(B12,[1]Sheet1!$A$3:$G$49,7,0)</f>
        <v>74.999999999999545</v>
      </c>
      <c r="H12" s="11">
        <f t="shared" si="2"/>
        <v>1545.0000000000005</v>
      </c>
      <c r="I12" s="11"/>
      <c r="J12" s="13">
        <v>38</v>
      </c>
      <c r="K12" s="10" t="s">
        <v>29</v>
      </c>
      <c r="L12" s="11">
        <f t="shared" si="0"/>
        <v>1808</v>
      </c>
      <c r="M12" s="12">
        <f>10+10+50+50</f>
        <v>120</v>
      </c>
      <c r="N12" s="14"/>
      <c r="O12" s="14">
        <v>0</v>
      </c>
      <c r="P12" s="14">
        <f>VLOOKUP(K12,[1]Sheet1!$A$3:$G$49,7,0)</f>
        <v>74.999999999999545</v>
      </c>
      <c r="Q12" s="11">
        <f>L12-M12-N12-O12-P12</f>
        <v>1613.0000000000005</v>
      </c>
      <c r="R12" s="11"/>
    </row>
    <row r="13" spans="1:18" ht="19.5" customHeight="1">
      <c r="A13" s="13">
        <v>10</v>
      </c>
      <c r="B13" s="10" t="s">
        <v>30</v>
      </c>
      <c r="C13" s="11">
        <f>ROUND(1808/8*7,0)</f>
        <v>1582</v>
      </c>
      <c r="D13" s="12">
        <f>20+25+25+25+25+25+25</f>
        <v>170</v>
      </c>
      <c r="E13" s="14"/>
      <c r="F13" s="14">
        <v>206.10999999999922</v>
      </c>
      <c r="G13" s="14">
        <f>VLOOKUP(B13,[1]Sheet1!$A$3:$G$49,7,0)</f>
        <v>74.999999999999545</v>
      </c>
      <c r="H13" s="11">
        <f t="shared" si="2"/>
        <v>1130.8900000000012</v>
      </c>
      <c r="I13" s="11"/>
      <c r="J13" s="13">
        <v>39</v>
      </c>
      <c r="K13" s="10" t="s">
        <v>31</v>
      </c>
      <c r="L13" s="11">
        <f t="shared" si="0"/>
        <v>1808</v>
      </c>
      <c r="M13" s="12">
        <f>25+25+50</f>
        <v>100</v>
      </c>
      <c r="N13" s="14"/>
      <c r="O13" s="14">
        <v>0</v>
      </c>
      <c r="P13" s="14">
        <f>VLOOKUP(K13,[1]Sheet1!$A$3:$G$49,7,0)</f>
        <v>75</v>
      </c>
      <c r="Q13" s="11">
        <f t="shared" si="3"/>
        <v>1633</v>
      </c>
      <c r="R13" s="11"/>
    </row>
    <row r="14" spans="1:18" ht="19.5" customHeight="1">
      <c r="A14" s="13">
        <v>11</v>
      </c>
      <c r="B14" s="10" t="s">
        <v>32</v>
      </c>
      <c r="C14" s="11">
        <f t="shared" si="1"/>
        <v>1808</v>
      </c>
      <c r="D14" s="12">
        <f>25</f>
        <v>25</v>
      </c>
      <c r="E14" s="14"/>
      <c r="F14" s="14">
        <v>195.39000000000033</v>
      </c>
      <c r="G14" s="14">
        <f>VLOOKUP(B14,[1]Sheet1!$A$3:$G$49,7,0)</f>
        <v>75</v>
      </c>
      <c r="H14" s="11">
        <f t="shared" si="2"/>
        <v>1512.6099999999997</v>
      </c>
      <c r="I14" s="11"/>
      <c r="J14" s="13">
        <v>40</v>
      </c>
      <c r="K14" s="10" t="s">
        <v>33</v>
      </c>
      <c r="L14" s="11">
        <f>ROUND(1808/8*7,0)</f>
        <v>1582</v>
      </c>
      <c r="M14" s="12">
        <f>10+25+25+25+50+25</f>
        <v>160</v>
      </c>
      <c r="N14" s="14"/>
      <c r="O14" s="14">
        <v>0</v>
      </c>
      <c r="P14" s="14">
        <f>VLOOKUP(K14,[1]Sheet1!$A$3:$G$49,7,0)</f>
        <v>75</v>
      </c>
      <c r="Q14" s="11">
        <f t="shared" si="3"/>
        <v>1347</v>
      </c>
      <c r="R14" s="11"/>
    </row>
    <row r="15" spans="1:18" ht="19.5" customHeight="1">
      <c r="A15" s="13">
        <v>12</v>
      </c>
      <c r="B15" s="10" t="s">
        <v>34</v>
      </c>
      <c r="C15" s="11">
        <f t="shared" si="1"/>
        <v>1808</v>
      </c>
      <c r="D15" s="12">
        <f>10+25+25</f>
        <v>60</v>
      </c>
      <c r="E15" s="14"/>
      <c r="F15" s="14">
        <v>195.39000000000033</v>
      </c>
      <c r="G15" s="14">
        <f>VLOOKUP(B15,[1]Sheet1!$A$3:$G$49,7,0)</f>
        <v>75</v>
      </c>
      <c r="H15" s="11">
        <f t="shared" si="2"/>
        <v>1477.6099999999997</v>
      </c>
      <c r="I15" s="11"/>
      <c r="J15" s="13">
        <v>41</v>
      </c>
      <c r="K15" s="10" t="s">
        <v>35</v>
      </c>
      <c r="L15" s="11">
        <f>ROUND(1808/8*6,0)</f>
        <v>1356</v>
      </c>
      <c r="M15" s="12">
        <f>10+25+25+25+50</f>
        <v>135</v>
      </c>
      <c r="N15" s="14"/>
      <c r="O15" s="14">
        <v>0</v>
      </c>
      <c r="P15" s="14">
        <f>VLOOKUP(K15,[1]Sheet1!$A$3:$G$49,7,0)</f>
        <v>75</v>
      </c>
      <c r="Q15" s="11">
        <f t="shared" si="3"/>
        <v>1146</v>
      </c>
      <c r="R15" s="11"/>
    </row>
    <row r="16" spans="1:18" ht="19.5" customHeight="1">
      <c r="A16" s="13">
        <v>13</v>
      </c>
      <c r="B16" s="10" t="s">
        <v>36</v>
      </c>
      <c r="C16" s="11">
        <f t="shared" si="1"/>
        <v>1808</v>
      </c>
      <c r="D16" s="12">
        <f>10+25+25</f>
        <v>60</v>
      </c>
      <c r="E16" s="14"/>
      <c r="F16" s="14">
        <v>0</v>
      </c>
      <c r="G16" s="14">
        <f>VLOOKUP(B16,[1]Sheet1!$A$3:$G$49,7,0)</f>
        <v>-135.24000000000024</v>
      </c>
      <c r="H16" s="11">
        <f t="shared" si="2"/>
        <v>1883.2400000000002</v>
      </c>
      <c r="I16" s="11"/>
      <c r="J16" s="13">
        <v>42</v>
      </c>
      <c r="K16" s="10" t="s">
        <v>37</v>
      </c>
      <c r="L16" s="11">
        <f>ROUND(1808/8*7.5,0)</f>
        <v>1695</v>
      </c>
      <c r="M16" s="12">
        <f>20+25+25+50</f>
        <v>120</v>
      </c>
      <c r="N16" s="14"/>
      <c r="O16" s="14">
        <v>0</v>
      </c>
      <c r="P16" s="14">
        <f>VLOOKUP(K16,[1]Sheet1!$A$3:$G$49,7,0)</f>
        <v>74.999999999999545</v>
      </c>
      <c r="Q16" s="11">
        <f>L16-M16-N16-O16-P16</f>
        <v>1500.0000000000005</v>
      </c>
      <c r="R16" s="11"/>
    </row>
    <row r="17" spans="1:18" ht="19.5" customHeight="1">
      <c r="A17" s="13">
        <v>14</v>
      </c>
      <c r="B17" s="10" t="s">
        <v>38</v>
      </c>
      <c r="C17" s="11">
        <f>ROUND(1808/8*4,0)</f>
        <v>904</v>
      </c>
      <c r="D17" s="12"/>
      <c r="E17" s="14"/>
      <c r="F17" s="14">
        <v>0</v>
      </c>
      <c r="G17" s="14">
        <f>VLOOKUP(B17,[1]Sheet1!$A$3:$G$49,7,0)</f>
        <v>-133.24000000000024</v>
      </c>
      <c r="H17" s="11">
        <f t="shared" si="2"/>
        <v>1037.2400000000002</v>
      </c>
      <c r="I17" s="11"/>
      <c r="J17" s="13">
        <v>43</v>
      </c>
      <c r="K17" s="10" t="s">
        <v>39</v>
      </c>
      <c r="L17" s="11">
        <f t="shared" si="0"/>
        <v>1808</v>
      </c>
      <c r="M17" s="12"/>
      <c r="N17" s="14"/>
      <c r="O17" s="14">
        <v>0</v>
      </c>
      <c r="P17" s="14">
        <f>VLOOKUP(K17,[1]Sheet1!$A$3:$G$49,7,0)</f>
        <v>74.999999999999545</v>
      </c>
      <c r="Q17" s="11">
        <f t="shared" si="3"/>
        <v>1733.0000000000005</v>
      </c>
      <c r="R17" s="11"/>
    </row>
    <row r="18" spans="1:18" ht="19.5" customHeight="1">
      <c r="A18" s="13">
        <v>15</v>
      </c>
      <c r="B18" s="10" t="s">
        <v>40</v>
      </c>
      <c r="C18" s="11">
        <f t="shared" si="1"/>
        <v>1808</v>
      </c>
      <c r="D18" s="12">
        <f>10+30+25+50+25+25+25+10</f>
        <v>200</v>
      </c>
      <c r="E18" s="14"/>
      <c r="F18" s="14">
        <v>0</v>
      </c>
      <c r="G18" s="14">
        <f>VLOOKUP(B18,[1]Sheet1!$A$3:$G$49,7,0)</f>
        <v>75</v>
      </c>
      <c r="H18" s="11">
        <f t="shared" si="2"/>
        <v>1533</v>
      </c>
      <c r="I18" s="11"/>
      <c r="J18" s="13">
        <v>44</v>
      </c>
      <c r="K18" s="10" t="s">
        <v>41</v>
      </c>
      <c r="L18" s="11">
        <f t="shared" si="0"/>
        <v>1808</v>
      </c>
      <c r="M18" s="12"/>
      <c r="N18" s="14"/>
      <c r="O18" s="14">
        <v>31.320000000000164</v>
      </c>
      <c r="P18" s="14">
        <f>VLOOKUP(K18,[1]Sheet1!$A$3:$G$49,7,0)</f>
        <v>74.999999999999545</v>
      </c>
      <c r="Q18" s="11">
        <f>L18-M18-N18-O18-P18</f>
        <v>1701.6800000000003</v>
      </c>
      <c r="R18" s="11"/>
    </row>
    <row r="19" spans="1:18" ht="19.5" customHeight="1">
      <c r="A19" s="13">
        <v>16</v>
      </c>
      <c r="B19" s="10" t="s">
        <v>42</v>
      </c>
      <c r="C19" s="11">
        <f t="shared" si="1"/>
        <v>1808</v>
      </c>
      <c r="D19" s="12"/>
      <c r="E19" s="14"/>
      <c r="F19" s="14">
        <v>19.220000000000255</v>
      </c>
      <c r="G19" s="14">
        <f>VLOOKUP(B19,[1]Sheet1!$A$3:$G$49,7,0)</f>
        <v>75</v>
      </c>
      <c r="H19" s="11">
        <f t="shared" si="2"/>
        <v>1713.7799999999997</v>
      </c>
      <c r="I19" s="11"/>
      <c r="J19" s="13">
        <v>45</v>
      </c>
      <c r="K19" s="10" t="s">
        <v>43</v>
      </c>
      <c r="L19" s="11">
        <f>ROUND(1808/8*7.5,0)</f>
        <v>1695</v>
      </c>
      <c r="M19" s="12">
        <f>20</f>
        <v>20</v>
      </c>
      <c r="N19" s="14"/>
      <c r="O19" s="14">
        <v>0</v>
      </c>
      <c r="P19" s="14">
        <f>VLOOKUP(K19,[1]Sheet1!$A$3:$G$49,7,0)</f>
        <v>75</v>
      </c>
      <c r="Q19" s="11">
        <f t="shared" si="3"/>
        <v>1600</v>
      </c>
      <c r="R19" s="11"/>
    </row>
    <row r="20" spans="1:18" ht="19.5" customHeight="1">
      <c r="A20" s="13">
        <v>17</v>
      </c>
      <c r="B20" s="10" t="s">
        <v>44</v>
      </c>
      <c r="C20" s="11">
        <f t="shared" si="1"/>
        <v>1808</v>
      </c>
      <c r="D20" s="12">
        <f>50+25</f>
        <v>75</v>
      </c>
      <c r="E20" s="14"/>
      <c r="F20" s="14">
        <v>0</v>
      </c>
      <c r="G20" s="14"/>
      <c r="H20" s="11">
        <f t="shared" si="2"/>
        <v>1733</v>
      </c>
      <c r="I20" s="11"/>
      <c r="J20" s="13">
        <v>46</v>
      </c>
      <c r="K20" s="10" t="s">
        <v>45</v>
      </c>
      <c r="L20" s="11">
        <f t="shared" si="0"/>
        <v>1808</v>
      </c>
      <c r="M20" s="12">
        <v>10</v>
      </c>
      <c r="N20" s="14"/>
      <c r="O20" s="14">
        <v>0</v>
      </c>
      <c r="P20" s="14">
        <f>VLOOKUP(K20,[1]Sheet1!$A$3:$G$49,7,0)</f>
        <v>96.999999999999545</v>
      </c>
      <c r="Q20" s="11">
        <f t="shared" si="3"/>
        <v>1701.0000000000005</v>
      </c>
      <c r="R20" s="11"/>
    </row>
    <row r="21" spans="1:18" ht="19.5" customHeight="1">
      <c r="A21" s="13">
        <v>18</v>
      </c>
      <c r="B21" s="10" t="s">
        <v>46</v>
      </c>
      <c r="C21" s="11">
        <f t="shared" si="1"/>
        <v>1808</v>
      </c>
      <c r="D21" s="12">
        <v>10</v>
      </c>
      <c r="E21" s="14"/>
      <c r="F21" s="14">
        <v>0</v>
      </c>
      <c r="G21" s="14">
        <f>VLOOKUP(B21,[1]Sheet1!$A$3:$G$49,7,0)</f>
        <v>74.999999999999545</v>
      </c>
      <c r="H21" s="11">
        <f t="shared" si="2"/>
        <v>1723.0000000000005</v>
      </c>
      <c r="I21" s="11"/>
      <c r="J21" s="13">
        <v>47</v>
      </c>
      <c r="K21" s="10" t="s">
        <v>47</v>
      </c>
      <c r="L21" s="11">
        <f t="shared" si="0"/>
        <v>1808</v>
      </c>
      <c r="M21" s="12"/>
      <c r="N21" s="14"/>
      <c r="O21" s="14">
        <v>0</v>
      </c>
      <c r="P21" s="14">
        <f>VLOOKUP(K21,[1]Sheet1!$A$3:$G$49,7,0)</f>
        <v>193.26000000000005</v>
      </c>
      <c r="Q21" s="11">
        <f>L21-M21-N21-O21-P21</f>
        <v>1614.74</v>
      </c>
      <c r="R21" s="11"/>
    </row>
    <row r="22" spans="1:18" ht="19.5" customHeight="1">
      <c r="A22" s="13">
        <v>19</v>
      </c>
      <c r="B22" s="10" t="s">
        <v>48</v>
      </c>
      <c r="C22" s="11">
        <f t="shared" si="1"/>
        <v>1808</v>
      </c>
      <c r="D22" s="12"/>
      <c r="E22" s="14"/>
      <c r="F22" s="14">
        <v>101.26000000000067</v>
      </c>
      <c r="G22" s="14">
        <f>VLOOKUP(B22,[1]Sheet1!$A$3:$G$49,7,0)</f>
        <v>74.999999999999545</v>
      </c>
      <c r="H22" s="11">
        <f t="shared" si="2"/>
        <v>1631.7399999999998</v>
      </c>
      <c r="I22" s="11"/>
      <c r="J22" s="13">
        <v>48</v>
      </c>
      <c r="K22" s="10" t="s">
        <v>49</v>
      </c>
      <c r="L22" s="11">
        <f t="shared" si="0"/>
        <v>1808</v>
      </c>
      <c r="M22" s="12"/>
      <c r="N22" s="14"/>
      <c r="O22" s="14">
        <v>0</v>
      </c>
      <c r="P22" s="14">
        <f>VLOOKUP(K22,[1]Sheet1!$A$3:$G$49,7,0)</f>
        <v>-111.05999999999995</v>
      </c>
      <c r="Q22" s="11">
        <f>L22-M22-N22-O22-P22</f>
        <v>1919.06</v>
      </c>
      <c r="R22" s="11"/>
    </row>
    <row r="23" spans="1:18" ht="19.5" customHeight="1">
      <c r="A23" s="13">
        <v>20</v>
      </c>
      <c r="B23" s="10" t="s">
        <v>50</v>
      </c>
      <c r="C23" s="11">
        <f t="shared" si="1"/>
        <v>1808</v>
      </c>
      <c r="D23" s="12">
        <f>25+25</f>
        <v>50</v>
      </c>
      <c r="E23" s="14"/>
      <c r="F23" s="14">
        <v>0</v>
      </c>
      <c r="G23" s="14">
        <f>VLOOKUP(B23,[1]Sheet1!$A$3:$G$49,7,0)</f>
        <v>75</v>
      </c>
      <c r="H23" s="11">
        <f t="shared" si="2"/>
        <v>1683</v>
      </c>
      <c r="I23" s="11"/>
      <c r="J23" s="13">
        <v>49</v>
      </c>
      <c r="K23" s="10" t="s">
        <v>51</v>
      </c>
      <c r="L23" s="11">
        <f t="shared" si="0"/>
        <v>1808</v>
      </c>
      <c r="M23" s="12"/>
      <c r="N23" s="14"/>
      <c r="O23" s="14">
        <v>0</v>
      </c>
      <c r="P23" s="14">
        <f>VLOOKUP(K23,[1]Sheet1!$A$3:$G$49,7,0)</f>
        <v>75</v>
      </c>
      <c r="Q23" s="11">
        <f t="shared" si="3"/>
        <v>1733</v>
      </c>
      <c r="R23" s="11"/>
    </row>
    <row r="24" spans="1:18" ht="19.5" customHeight="1">
      <c r="A24" s="13">
        <v>21</v>
      </c>
      <c r="B24" s="10" t="s">
        <v>52</v>
      </c>
      <c r="C24" s="11">
        <f t="shared" si="1"/>
        <v>1808</v>
      </c>
      <c r="D24" s="12">
        <f>100+10+25+10+10</f>
        <v>155</v>
      </c>
      <c r="E24" s="14"/>
      <c r="F24" s="14">
        <v>0</v>
      </c>
      <c r="G24" s="14">
        <f>VLOOKUP(B24,[1]Sheet1!$A$3:$G$49,7,0)</f>
        <v>75</v>
      </c>
      <c r="H24" s="11">
        <f t="shared" si="2"/>
        <v>1578</v>
      </c>
      <c r="I24" s="11"/>
      <c r="J24" s="13">
        <v>50</v>
      </c>
      <c r="K24" s="10" t="s">
        <v>53</v>
      </c>
      <c r="L24" s="11">
        <f t="shared" si="0"/>
        <v>1808</v>
      </c>
      <c r="M24" s="12"/>
      <c r="N24" s="14"/>
      <c r="O24" s="14">
        <v>0</v>
      </c>
      <c r="P24" s="14"/>
      <c r="Q24" s="11">
        <f t="shared" si="3"/>
        <v>1808</v>
      </c>
      <c r="R24" s="11"/>
    </row>
    <row r="25" spans="1:18" s="21" customFormat="1" ht="19.5" customHeight="1">
      <c r="A25" s="16">
        <v>22</v>
      </c>
      <c r="B25" s="17" t="s">
        <v>54</v>
      </c>
      <c r="C25" s="11">
        <f>ROUND(1808/8*7,0)</f>
        <v>1582</v>
      </c>
      <c r="D25" s="18">
        <f>25+25+50+50+50+10</f>
        <v>210</v>
      </c>
      <c r="E25" s="19"/>
      <c r="F25" s="14">
        <v>0</v>
      </c>
      <c r="G25" s="14">
        <f>VLOOKUP(B25,[1]Sheet1!$A$3:$G$49,7,0)</f>
        <v>74.999999999999545</v>
      </c>
      <c r="H25" s="11">
        <f t="shared" si="2"/>
        <v>1297.0000000000005</v>
      </c>
      <c r="I25" s="20"/>
      <c r="J25" s="16">
        <v>51</v>
      </c>
      <c r="K25" s="17" t="s">
        <v>55</v>
      </c>
      <c r="L25" s="11">
        <f t="shared" si="0"/>
        <v>1808</v>
      </c>
      <c r="M25" s="18"/>
      <c r="N25" s="19"/>
      <c r="O25" s="14">
        <v>486.29999999999973</v>
      </c>
      <c r="P25" s="14">
        <f>VLOOKUP(K25,[1]Sheet1!$A$3:$G$49,7,0)</f>
        <v>74.999999999999545</v>
      </c>
      <c r="Q25" s="11">
        <f>L25-M25-N25-O25-P25</f>
        <v>1246.7000000000007</v>
      </c>
      <c r="R25" s="20"/>
    </row>
    <row r="26" spans="1:18" ht="19.5" customHeight="1">
      <c r="A26" s="13">
        <v>23</v>
      </c>
      <c r="B26" s="10" t="s">
        <v>56</v>
      </c>
      <c r="C26" s="11">
        <f t="shared" si="1"/>
        <v>1808</v>
      </c>
      <c r="D26" s="12">
        <f>20+25+25+10</f>
        <v>80</v>
      </c>
      <c r="E26" s="14"/>
      <c r="F26" s="14">
        <v>42.5</v>
      </c>
      <c r="G26" s="14">
        <f>VLOOKUP(B26,[1]Sheet1!$A$3:$G$49,7,0)</f>
        <v>75</v>
      </c>
      <c r="H26" s="11">
        <f t="shared" si="2"/>
        <v>1610.5</v>
      </c>
      <c r="I26" s="11"/>
      <c r="J26" s="13">
        <v>52</v>
      </c>
      <c r="K26" s="10" t="s">
        <v>57</v>
      </c>
      <c r="L26" s="11">
        <f t="shared" si="0"/>
        <v>1808</v>
      </c>
      <c r="M26" s="12">
        <f>30+25+50</f>
        <v>105</v>
      </c>
      <c r="N26" s="14"/>
      <c r="O26" s="14">
        <v>0</v>
      </c>
      <c r="P26" s="14"/>
      <c r="Q26" s="11">
        <f t="shared" si="3"/>
        <v>1703</v>
      </c>
      <c r="R26" s="11"/>
    </row>
    <row r="27" spans="1:18" ht="19.5" customHeight="1">
      <c r="A27" s="13">
        <v>24</v>
      </c>
      <c r="B27" s="10" t="s">
        <v>58</v>
      </c>
      <c r="C27" s="11">
        <f t="shared" si="1"/>
        <v>1808</v>
      </c>
      <c r="D27" s="12"/>
      <c r="E27" s="14"/>
      <c r="F27" s="14">
        <v>0</v>
      </c>
      <c r="G27" s="14">
        <f>VLOOKUP(B27,[1]Sheet1!$A$3:$G$49,7,0)</f>
        <v>74.999999999999545</v>
      </c>
      <c r="H27" s="11">
        <f t="shared" si="2"/>
        <v>1733.0000000000005</v>
      </c>
      <c r="I27" s="11"/>
      <c r="J27" s="22" t="s">
        <v>59</v>
      </c>
      <c r="K27" s="22"/>
      <c r="L27" s="11">
        <f>SUM(L4:L26)</f>
        <v>39437</v>
      </c>
      <c r="M27" s="11">
        <f>SUM(M4:M26)</f>
        <v>1230</v>
      </c>
      <c r="N27" s="11">
        <f>SUM(N4:N26)</f>
        <v>0</v>
      </c>
      <c r="O27" s="11">
        <f>SUM(O4:O26)</f>
        <v>638.12000000000035</v>
      </c>
      <c r="P27" s="11">
        <f t="shared" ref="P27" si="4">SUM(P4:P26)</f>
        <v>1379.1999999999966</v>
      </c>
      <c r="Q27" s="11">
        <f>SUM(Q4:Q26)</f>
        <v>36189.680000000008</v>
      </c>
      <c r="R27" s="11"/>
    </row>
    <row r="28" spans="1:18" ht="19.5" customHeight="1">
      <c r="A28" s="13">
        <v>25</v>
      </c>
      <c r="B28" s="10" t="s">
        <v>60</v>
      </c>
      <c r="C28" s="11">
        <f t="shared" si="1"/>
        <v>1808</v>
      </c>
      <c r="D28" s="12">
        <f>30+10+10+10+10+10</f>
        <v>80</v>
      </c>
      <c r="E28" s="14"/>
      <c r="F28" s="14">
        <v>206.10999999999922</v>
      </c>
      <c r="G28" s="14">
        <f>VLOOKUP(B28,[1]Sheet1!$A$3:$G$49,7,0)</f>
        <v>74.999999999999545</v>
      </c>
      <c r="H28" s="11">
        <f t="shared" si="2"/>
        <v>1446.8900000000012</v>
      </c>
      <c r="I28" s="11"/>
      <c r="J28" s="22" t="s">
        <v>61</v>
      </c>
      <c r="K28" s="22"/>
      <c r="L28" s="23">
        <f>C33+L27</f>
        <v>88592</v>
      </c>
      <c r="M28" s="23">
        <f>D33+M27</f>
        <v>3205</v>
      </c>
      <c r="N28" s="11">
        <f>E33+N27</f>
        <v>0</v>
      </c>
      <c r="O28" s="11">
        <f t="shared" ref="O28:P28" si="5">F33+O27</f>
        <v>1971.8700000000003</v>
      </c>
      <c r="P28" s="11">
        <f t="shared" si="5"/>
        <v>2694.6599999999921</v>
      </c>
      <c r="Q28" s="11">
        <f>H33+Q27</f>
        <v>80720.47</v>
      </c>
      <c r="R28" s="24"/>
    </row>
    <row r="29" spans="1:18" ht="19.5" customHeight="1">
      <c r="A29" s="13">
        <v>26</v>
      </c>
      <c r="B29" s="10" t="s">
        <v>62</v>
      </c>
      <c r="C29" s="11">
        <f t="shared" si="1"/>
        <v>1808</v>
      </c>
      <c r="D29" s="12">
        <f>10+10</f>
        <v>20</v>
      </c>
      <c r="E29" s="14"/>
      <c r="F29" s="14">
        <v>0</v>
      </c>
      <c r="G29" s="14">
        <f>VLOOKUP(B29,[1]Sheet1!$A$3:$G$49,7,0)</f>
        <v>-141.05999999999995</v>
      </c>
      <c r="H29" s="11">
        <f t="shared" si="2"/>
        <v>1929.06</v>
      </c>
      <c r="I29" s="11"/>
      <c r="J29" s="25" t="s">
        <v>63</v>
      </c>
      <c r="K29" s="25"/>
      <c r="L29" s="26" t="s">
        <v>64</v>
      </c>
      <c r="M29" s="27"/>
      <c r="N29" s="27"/>
      <c r="O29" s="27"/>
      <c r="P29" s="27"/>
      <c r="Q29" s="28" t="s">
        <v>65</v>
      </c>
      <c r="R29" s="29"/>
    </row>
    <row r="30" spans="1:18" ht="19.5" customHeight="1">
      <c r="A30" s="13">
        <v>27</v>
      </c>
      <c r="B30" s="10" t="s">
        <v>66</v>
      </c>
      <c r="C30" s="11">
        <f t="shared" si="1"/>
        <v>1808</v>
      </c>
      <c r="D30" s="12">
        <f>10+25+25+25</f>
        <v>85</v>
      </c>
      <c r="E30" s="14"/>
      <c r="F30" s="14">
        <v>0</v>
      </c>
      <c r="G30" s="14">
        <f>VLOOKUP(B30,[1]Sheet1!$A$3:$G$49,7,0)</f>
        <v>75</v>
      </c>
      <c r="H30" s="11">
        <f t="shared" si="2"/>
        <v>1648</v>
      </c>
      <c r="I30" s="11"/>
      <c r="N30" s="30"/>
      <c r="O30" s="30"/>
      <c r="P30" s="30"/>
      <c r="Q30" s="2"/>
    </row>
    <row r="31" spans="1:18" ht="19.5" customHeight="1">
      <c r="A31" s="13">
        <v>28</v>
      </c>
      <c r="B31" s="10" t="s">
        <v>67</v>
      </c>
      <c r="C31" s="11">
        <f t="shared" si="1"/>
        <v>1808</v>
      </c>
      <c r="D31" s="12">
        <v>10</v>
      </c>
      <c r="E31" s="14"/>
      <c r="F31" s="14">
        <v>0</v>
      </c>
      <c r="G31" s="14">
        <f>VLOOKUP(B31,[1]Sheet1!$A$3:$G$49,7,0)</f>
        <v>75</v>
      </c>
      <c r="H31" s="11">
        <f t="shared" si="2"/>
        <v>1723</v>
      </c>
      <c r="I31" s="11"/>
    </row>
    <row r="32" spans="1:18" ht="19.5" customHeight="1">
      <c r="A32" s="13">
        <v>29</v>
      </c>
      <c r="B32" s="10" t="s">
        <v>68</v>
      </c>
      <c r="C32" s="11">
        <f>ROUND(1808/8*0,0)</f>
        <v>0</v>
      </c>
      <c r="D32" s="12"/>
      <c r="E32" s="14"/>
      <c r="F32" s="14">
        <v>0</v>
      </c>
      <c r="G32" s="14"/>
      <c r="H32" s="11">
        <f t="shared" si="2"/>
        <v>0</v>
      </c>
      <c r="I32" s="11"/>
    </row>
    <row r="33" spans="1:18" ht="19.5" customHeight="1">
      <c r="A33" s="22" t="s">
        <v>59</v>
      </c>
      <c r="B33" s="22"/>
      <c r="C33" s="23">
        <f>SUM(C4:C32)</f>
        <v>49155</v>
      </c>
      <c r="D33" s="23">
        <f>SUM(D4:D32)</f>
        <v>1975</v>
      </c>
      <c r="E33" s="11">
        <f>SUM(E4:E32)</f>
        <v>0</v>
      </c>
      <c r="F33" s="11">
        <f>SUM(F4:F32)</f>
        <v>1333.75</v>
      </c>
      <c r="G33" s="11">
        <f t="shared" ref="G33" si="6">SUM(G4:G32)</f>
        <v>1315.4599999999955</v>
      </c>
      <c r="H33" s="11">
        <f>SUM(H4:H32)</f>
        <v>44530.79</v>
      </c>
      <c r="I33" s="11"/>
    </row>
    <row r="34" spans="1:18" s="29" customFormat="1" ht="19.5" customHeight="1">
      <c r="A34" s="25" t="s">
        <v>63</v>
      </c>
      <c r="B34" s="25"/>
      <c r="C34" s="26" t="s">
        <v>64</v>
      </c>
      <c r="D34" s="27"/>
      <c r="E34" s="27"/>
      <c r="F34" s="27"/>
      <c r="G34" s="27"/>
      <c r="H34" s="28" t="s">
        <v>65</v>
      </c>
      <c r="I34" s="31"/>
      <c r="J34" s="2"/>
      <c r="K34" s="2"/>
      <c r="L34" s="2"/>
      <c r="M34" s="2"/>
      <c r="N34" s="2"/>
      <c r="O34" s="2"/>
      <c r="P34" s="2"/>
      <c r="Q34" s="30"/>
      <c r="R34" s="2"/>
    </row>
    <row r="35" spans="1:18" ht="19.5" customHeight="1">
      <c r="K35" s="32">
        <f>SUM(L4:L26)</f>
        <v>39437</v>
      </c>
      <c r="L35" s="32">
        <f>SUM(M4:M26)</f>
        <v>1230</v>
      </c>
      <c r="M35" s="32">
        <f>SUM(N4:N26)</f>
        <v>0</v>
      </c>
      <c r="N35" s="32"/>
      <c r="O35" s="32"/>
      <c r="P35" s="32">
        <f>K35-L35-M35</f>
        <v>38207</v>
      </c>
    </row>
    <row r="36" spans="1:18" ht="19.5" customHeight="1">
      <c r="C36" s="30">
        <f>SUM(C4:C32)</f>
        <v>49155</v>
      </c>
      <c r="D36" s="30">
        <f t="shared" ref="D36:E36" si="7">SUM(D4:D32)</f>
        <v>1975</v>
      </c>
      <c r="E36" s="30">
        <f t="shared" si="7"/>
        <v>0</v>
      </c>
      <c r="F36" s="30"/>
      <c r="G36" s="30"/>
      <c r="H36" s="30">
        <f>C36-D36-E36</f>
        <v>47180</v>
      </c>
      <c r="M36" s="30"/>
      <c r="N36" s="30"/>
      <c r="O36" s="30"/>
    </row>
    <row r="37" spans="1:18" ht="19.5" customHeight="1"/>
    <row r="38" spans="1:18" s="33" customFormat="1" ht="26.25" customHeight="1">
      <c r="A38" s="2"/>
      <c r="I38" s="2"/>
      <c r="J38" s="2"/>
      <c r="K38" s="2"/>
      <c r="L38" s="2"/>
      <c r="M38" s="2"/>
      <c r="N38" s="2"/>
      <c r="O38" s="2"/>
      <c r="P38" s="2"/>
      <c r="Q38" s="30"/>
      <c r="R38" s="2"/>
    </row>
  </sheetData>
  <mergeCells count="7">
    <mergeCell ref="A34:B34"/>
    <mergeCell ref="A1:I1"/>
    <mergeCell ref="J1:R1"/>
    <mergeCell ref="J27:K27"/>
    <mergeCell ref="J28:K28"/>
    <mergeCell ref="J29:K29"/>
    <mergeCell ref="A33:B33"/>
  </mergeCells>
  <phoneticPr fontId="2" type="noConversion"/>
  <pageMargins left="0.49" right="0.56999999999999995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王丹丹</dc:creator>
  <cp:lastModifiedBy>王丹丹</cp:lastModifiedBy>
  <cp:lastPrinted>2015-08-12T00:57:35Z</cp:lastPrinted>
  <dcterms:created xsi:type="dcterms:W3CDTF">2015-08-12T00:55:35Z</dcterms:created>
  <dcterms:modified xsi:type="dcterms:W3CDTF">2015-08-12T00:57:59Z</dcterms:modified>
</cp:coreProperties>
</file>