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514fdf0779ae481e/Reference/test/"/>
    </mc:Choice>
  </mc:AlternateContent>
  <xr:revisionPtr revIDLastSave="59" documentId="11_BB4658F39419CE40D112BB0D18147F18665C9DD8" xr6:coauthVersionLast="45" xr6:coauthVersionMax="45" xr10:uidLastSave="{81B79390-44C0-44F5-921D-9A09AFA492B9}"/>
  <bookViews>
    <workbookView xWindow="-110" yWindow="-110" windowWidth="38620" windowHeight="21220" tabRatio="800" activeTab="1" xr2:uid="{00000000-000D-0000-FFFF-FFFF00000000}"/>
  </bookViews>
  <sheets>
    <sheet name="Fig_Rate_comparison_N2" sheetId="24" r:id="rId1"/>
    <sheet name="Fig_Rate_comparison_AR_Updated" sheetId="17" r:id="rId2"/>
    <sheet name="Fig_Rate_comparison_AR" sheetId="5" r:id="rId3"/>
    <sheet name="Rate_Comparison_N2" sheetId="23" r:id="rId4"/>
    <sheet name="Rate_Comparison_AR" sheetId="10" r:id="rId5"/>
    <sheet name="Other Data used H+O2+AR fitting" sheetId="26" r:id="rId6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6" i="10" l="1"/>
  <c r="P46" i="10"/>
  <c r="P3" i="10"/>
  <c r="K3" i="10"/>
  <c r="C47" i="26" l="1"/>
  <c r="C46" i="26"/>
  <c r="C45" i="26"/>
  <c r="C44" i="26"/>
  <c r="C43" i="26"/>
  <c r="C42" i="26"/>
  <c r="C41" i="26"/>
  <c r="B38" i="26"/>
  <c r="B36" i="26"/>
  <c r="B35" i="26"/>
  <c r="C38" i="26"/>
  <c r="C37" i="26"/>
  <c r="C36" i="26"/>
  <c r="C35" i="26"/>
  <c r="C32" i="26"/>
  <c r="C31" i="26"/>
  <c r="C30" i="26"/>
  <c r="C29" i="26"/>
  <c r="C28" i="26"/>
  <c r="C27" i="26"/>
  <c r="C26" i="26"/>
  <c r="C25" i="26"/>
  <c r="C21" i="26"/>
  <c r="C18" i="26"/>
  <c r="C17" i="26"/>
  <c r="C16" i="26"/>
  <c r="C15" i="26"/>
  <c r="C14" i="26"/>
  <c r="C13" i="26"/>
  <c r="C12" i="26"/>
  <c r="C11" i="26"/>
  <c r="C10" i="26"/>
  <c r="C9" i="26"/>
  <c r="C8" i="26"/>
  <c r="C3" i="26"/>
  <c r="C4" i="26"/>
  <c r="K48" i="23" l="1"/>
  <c r="K49" i="23"/>
  <c r="K50" i="23"/>
  <c r="K51" i="23"/>
  <c r="K52" i="23"/>
  <c r="K53" i="23"/>
  <c r="K54" i="23"/>
  <c r="K55" i="23"/>
  <c r="K56" i="23"/>
  <c r="K47" i="23"/>
  <c r="C48" i="23"/>
  <c r="C49" i="23"/>
  <c r="C50" i="23"/>
  <c r="C51" i="23"/>
  <c r="C52" i="23"/>
  <c r="C53" i="23"/>
  <c r="C54" i="23"/>
  <c r="C55" i="23"/>
  <c r="C56" i="23"/>
  <c r="C47" i="23"/>
  <c r="C37" i="23"/>
  <c r="C38" i="23"/>
  <c r="C39" i="23"/>
  <c r="C40" i="23"/>
  <c r="C41" i="23"/>
  <c r="C42" i="23"/>
  <c r="C43" i="23"/>
  <c r="C36" i="23"/>
  <c r="K37" i="23"/>
  <c r="K38" i="23"/>
  <c r="K39" i="23"/>
  <c r="K40" i="23"/>
  <c r="K41" i="23"/>
  <c r="K42" i="23"/>
  <c r="K43" i="23"/>
  <c r="K36" i="23"/>
  <c r="K25" i="23"/>
  <c r="K26" i="23"/>
  <c r="K27" i="23"/>
  <c r="K28" i="23"/>
  <c r="K29" i="23"/>
  <c r="K30" i="23"/>
  <c r="K31" i="23"/>
  <c r="K32" i="23"/>
  <c r="K24" i="23"/>
  <c r="J13" i="23"/>
  <c r="J14" i="23"/>
  <c r="J15" i="23"/>
  <c r="J16" i="23"/>
  <c r="J17" i="23"/>
  <c r="J18" i="23"/>
  <c r="J19" i="23"/>
  <c r="J20" i="23"/>
  <c r="J12" i="23"/>
  <c r="J4" i="23"/>
  <c r="J5" i="23"/>
  <c r="J6" i="23"/>
  <c r="J7" i="23"/>
  <c r="J3" i="23"/>
  <c r="C25" i="23"/>
  <c r="C26" i="23"/>
  <c r="C27" i="23"/>
  <c r="C28" i="23"/>
  <c r="C29" i="23"/>
  <c r="C30" i="23"/>
  <c r="C31" i="23"/>
  <c r="C32" i="23"/>
  <c r="C24" i="23"/>
  <c r="C3" i="23" l="1"/>
  <c r="G3" i="23" s="1"/>
  <c r="C4" i="23"/>
  <c r="G4" i="23" s="1"/>
  <c r="C5" i="23"/>
  <c r="G5" i="23" s="1"/>
  <c r="C6" i="23"/>
  <c r="G6" i="23" s="1"/>
  <c r="C7" i="23"/>
  <c r="G7" i="23" s="1"/>
  <c r="C13" i="23"/>
  <c r="G13" i="23" s="1"/>
  <c r="C14" i="23"/>
  <c r="G14" i="23" s="1"/>
  <c r="C15" i="23"/>
  <c r="G15" i="23" s="1"/>
  <c r="C16" i="23"/>
  <c r="G16" i="23" s="1"/>
  <c r="C17" i="23"/>
  <c r="G17" i="23" s="1"/>
  <c r="C18" i="23"/>
  <c r="G18" i="23" s="1"/>
  <c r="C19" i="23"/>
  <c r="G19" i="23" s="1"/>
  <c r="C20" i="23"/>
  <c r="G20" i="23" s="1"/>
  <c r="C12" i="23"/>
  <c r="G12" i="23" s="1"/>
  <c r="P47" i="10" l="1"/>
  <c r="P48" i="10"/>
  <c r="P49" i="10"/>
  <c r="P50" i="10"/>
  <c r="P51" i="10"/>
  <c r="P52" i="10"/>
  <c r="P53" i="10"/>
  <c r="P54" i="10"/>
  <c r="P55" i="10"/>
  <c r="P56" i="10"/>
  <c r="P57" i="10"/>
  <c r="P58" i="10"/>
  <c r="P59" i="10"/>
  <c r="P60" i="10"/>
  <c r="P61" i="10"/>
  <c r="P62" i="10"/>
  <c r="P63" i="10"/>
  <c r="P64" i="10"/>
  <c r="P65" i="10"/>
  <c r="P66" i="10"/>
  <c r="P67" i="10"/>
  <c r="P68" i="10"/>
  <c r="P69" i="10"/>
  <c r="P70" i="10"/>
  <c r="P71" i="10"/>
  <c r="P72" i="10"/>
  <c r="P73" i="10"/>
  <c r="P74" i="10"/>
  <c r="P75" i="10"/>
  <c r="P76" i="10"/>
  <c r="P77" i="10"/>
  <c r="P78" i="10"/>
  <c r="P79" i="10"/>
  <c r="P32" i="10"/>
  <c r="P33" i="10"/>
  <c r="P34" i="10"/>
  <c r="P35" i="10"/>
  <c r="P36" i="10"/>
  <c r="P37" i="10"/>
  <c r="P38" i="10"/>
  <c r="P39" i="10"/>
  <c r="P40" i="10"/>
  <c r="P41" i="10"/>
  <c r="P42" i="10"/>
  <c r="P43" i="10"/>
  <c r="P31" i="10"/>
  <c r="P17" i="10"/>
  <c r="P18" i="10"/>
  <c r="P19" i="10"/>
  <c r="P20" i="10"/>
  <c r="P21" i="10"/>
  <c r="P22" i="10"/>
  <c r="P23" i="10"/>
  <c r="P24" i="10"/>
  <c r="P25" i="10"/>
  <c r="P26" i="10"/>
  <c r="P27" i="10"/>
  <c r="P28" i="10"/>
  <c r="P16" i="10"/>
  <c r="P4" i="10"/>
  <c r="P5" i="10"/>
  <c r="P6" i="10"/>
  <c r="P7" i="10"/>
  <c r="P8" i="10"/>
  <c r="P9" i="10"/>
  <c r="P10" i="10"/>
  <c r="P11" i="10"/>
  <c r="P12" i="10"/>
  <c r="P13" i="10"/>
  <c r="N17" i="10" l="1"/>
  <c r="N18" i="10"/>
  <c r="N19" i="10"/>
  <c r="N20" i="10"/>
  <c r="N21" i="10"/>
  <c r="N22" i="10"/>
  <c r="N23" i="10"/>
  <c r="N24" i="10"/>
  <c r="N25" i="10"/>
  <c r="N26" i="10"/>
  <c r="N27" i="10"/>
  <c r="N28" i="10"/>
  <c r="N16" i="10"/>
  <c r="N47" i="10"/>
  <c r="N48" i="10"/>
  <c r="N49" i="10"/>
  <c r="N50" i="10"/>
  <c r="N51" i="10"/>
  <c r="N52" i="10"/>
  <c r="N53" i="10"/>
  <c r="N54" i="10"/>
  <c r="N55" i="10"/>
  <c r="N56" i="10"/>
  <c r="N57" i="10"/>
  <c r="N58" i="10"/>
  <c r="N59" i="10"/>
  <c r="N60" i="10"/>
  <c r="N61" i="10"/>
  <c r="N62" i="10"/>
  <c r="N63" i="10"/>
  <c r="N64" i="10"/>
  <c r="N65" i="10"/>
  <c r="N66" i="10"/>
  <c r="N67" i="10"/>
  <c r="N68" i="10"/>
  <c r="N69" i="10"/>
  <c r="N70" i="10"/>
  <c r="N71" i="10"/>
  <c r="N72" i="10"/>
  <c r="N73" i="10"/>
  <c r="N74" i="10"/>
  <c r="N75" i="10"/>
  <c r="N76" i="10"/>
  <c r="N77" i="10"/>
  <c r="N78" i="10"/>
  <c r="N79" i="10"/>
  <c r="N46" i="10"/>
  <c r="J32" i="10" l="1"/>
  <c r="J33" i="10"/>
  <c r="J34" i="10"/>
  <c r="J35" i="10"/>
  <c r="J36" i="10"/>
  <c r="J37" i="10"/>
  <c r="J38" i="10"/>
  <c r="J39" i="10"/>
  <c r="J40" i="10"/>
  <c r="J41" i="10"/>
  <c r="J42" i="10"/>
  <c r="J43" i="10"/>
  <c r="J31" i="10"/>
  <c r="J4" i="10"/>
  <c r="J5" i="10"/>
  <c r="J6" i="10"/>
  <c r="J7" i="10"/>
  <c r="J8" i="10"/>
  <c r="J9" i="10"/>
  <c r="J10" i="10"/>
  <c r="J11" i="10"/>
  <c r="J12" i="10"/>
  <c r="J13" i="10"/>
  <c r="J3" i="10"/>
  <c r="L32" i="10"/>
  <c r="L33" i="10"/>
  <c r="L34" i="10"/>
  <c r="L35" i="10"/>
  <c r="L36" i="10"/>
  <c r="L37" i="10"/>
  <c r="L38" i="10"/>
  <c r="L39" i="10"/>
  <c r="L40" i="10"/>
  <c r="L41" i="10"/>
  <c r="L42" i="10"/>
  <c r="L43" i="10"/>
  <c r="L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31" i="10"/>
  <c r="L4" i="10"/>
  <c r="L5" i="10"/>
  <c r="L6" i="10"/>
  <c r="L7" i="10"/>
  <c r="L8" i="10"/>
  <c r="L9" i="10"/>
  <c r="L10" i="10"/>
  <c r="L11" i="10"/>
  <c r="L12" i="10"/>
  <c r="L13" i="10"/>
  <c r="L3" i="10"/>
  <c r="K4" i="10"/>
  <c r="K5" i="10"/>
  <c r="K6" i="10"/>
  <c r="K7" i="10"/>
  <c r="K8" i="10"/>
  <c r="K9" i="10"/>
  <c r="K10" i="10"/>
  <c r="K11" i="10"/>
  <c r="K12" i="10"/>
  <c r="K13" i="10"/>
  <c r="D79" i="10" l="1"/>
  <c r="E79" i="10" s="1"/>
  <c r="F79" i="10" s="1"/>
  <c r="Q79" i="10" s="1"/>
  <c r="D78" i="10"/>
  <c r="E78" i="10" s="1"/>
  <c r="F78" i="10" s="1"/>
  <c r="Q78" i="10" s="1"/>
  <c r="D77" i="10"/>
  <c r="E77" i="10" s="1"/>
  <c r="F77" i="10" s="1"/>
  <c r="Q77" i="10" s="1"/>
  <c r="D76" i="10"/>
  <c r="E76" i="10" s="1"/>
  <c r="F76" i="10" s="1"/>
  <c r="Q76" i="10" s="1"/>
  <c r="D75" i="10"/>
  <c r="E75" i="10" s="1"/>
  <c r="F75" i="10" s="1"/>
  <c r="Q75" i="10" s="1"/>
  <c r="D74" i="10"/>
  <c r="E74" i="10" s="1"/>
  <c r="F74" i="10" s="1"/>
  <c r="Q74" i="10" s="1"/>
  <c r="D73" i="10"/>
  <c r="E73" i="10" s="1"/>
  <c r="F73" i="10" s="1"/>
  <c r="Q73" i="10" s="1"/>
  <c r="D72" i="10"/>
  <c r="E72" i="10" s="1"/>
  <c r="F72" i="10" s="1"/>
  <c r="Q72" i="10" s="1"/>
  <c r="D71" i="10"/>
  <c r="E71" i="10" s="1"/>
  <c r="F71" i="10" s="1"/>
  <c r="Q71" i="10" s="1"/>
  <c r="D70" i="10"/>
  <c r="E70" i="10" s="1"/>
  <c r="F70" i="10" s="1"/>
  <c r="Q70" i="10" s="1"/>
  <c r="D69" i="10"/>
  <c r="E69" i="10" s="1"/>
  <c r="F69" i="10" s="1"/>
  <c r="Q69" i="10" s="1"/>
  <c r="D68" i="10"/>
  <c r="E68" i="10" s="1"/>
  <c r="F68" i="10" s="1"/>
  <c r="Q68" i="10" s="1"/>
  <c r="D67" i="10"/>
  <c r="E67" i="10" s="1"/>
  <c r="F67" i="10" s="1"/>
  <c r="Q67" i="10" s="1"/>
  <c r="D66" i="10"/>
  <c r="E66" i="10" s="1"/>
  <c r="F66" i="10" s="1"/>
  <c r="Q66" i="10" s="1"/>
  <c r="D65" i="10"/>
  <c r="E65" i="10" s="1"/>
  <c r="F65" i="10" s="1"/>
  <c r="Q65" i="10" s="1"/>
  <c r="D64" i="10"/>
  <c r="E64" i="10" s="1"/>
  <c r="F64" i="10" s="1"/>
  <c r="Q64" i="10" s="1"/>
  <c r="D63" i="10"/>
  <c r="E63" i="10" s="1"/>
  <c r="F63" i="10" s="1"/>
  <c r="Q63" i="10" s="1"/>
  <c r="D62" i="10"/>
  <c r="E62" i="10" s="1"/>
  <c r="F62" i="10" s="1"/>
  <c r="Q62" i="10" s="1"/>
  <c r="D61" i="10"/>
  <c r="E61" i="10" s="1"/>
  <c r="F61" i="10" s="1"/>
  <c r="Q61" i="10" s="1"/>
  <c r="D60" i="10"/>
  <c r="E60" i="10" s="1"/>
  <c r="F60" i="10" s="1"/>
  <c r="Q60" i="10" s="1"/>
  <c r="D59" i="10"/>
  <c r="E59" i="10" s="1"/>
  <c r="F59" i="10" s="1"/>
  <c r="Q59" i="10" s="1"/>
  <c r="D58" i="10"/>
  <c r="E58" i="10" s="1"/>
  <c r="F58" i="10" s="1"/>
  <c r="Q58" i="10" s="1"/>
  <c r="D57" i="10"/>
  <c r="E57" i="10" s="1"/>
  <c r="F57" i="10" s="1"/>
  <c r="Q57" i="10" s="1"/>
  <c r="D56" i="10"/>
  <c r="E56" i="10" s="1"/>
  <c r="F56" i="10" s="1"/>
  <c r="Q56" i="10" s="1"/>
  <c r="D55" i="10"/>
  <c r="E55" i="10" s="1"/>
  <c r="F55" i="10" s="1"/>
  <c r="Q55" i="10" s="1"/>
  <c r="D54" i="10"/>
  <c r="E54" i="10" s="1"/>
  <c r="F54" i="10" s="1"/>
  <c r="Q54" i="10" s="1"/>
  <c r="D53" i="10"/>
  <c r="E53" i="10" s="1"/>
  <c r="F53" i="10" s="1"/>
  <c r="Q53" i="10" s="1"/>
  <c r="D52" i="10"/>
  <c r="E52" i="10" s="1"/>
  <c r="F52" i="10" s="1"/>
  <c r="Q52" i="10" s="1"/>
  <c r="D51" i="10"/>
  <c r="E51" i="10" s="1"/>
  <c r="F51" i="10" s="1"/>
  <c r="Q51" i="10" s="1"/>
  <c r="D50" i="10"/>
  <c r="E50" i="10" s="1"/>
  <c r="F50" i="10" s="1"/>
  <c r="Q50" i="10" s="1"/>
  <c r="D49" i="10"/>
  <c r="E49" i="10" s="1"/>
  <c r="F49" i="10" s="1"/>
  <c r="Q49" i="10" s="1"/>
  <c r="D48" i="10"/>
  <c r="E48" i="10" s="1"/>
  <c r="F48" i="10" s="1"/>
  <c r="Q48" i="10" s="1"/>
  <c r="D47" i="10"/>
  <c r="E47" i="10" s="1"/>
  <c r="F47" i="10" s="1"/>
  <c r="Q47" i="10" s="1"/>
  <c r="D46" i="10"/>
  <c r="E46" i="10" s="1"/>
  <c r="F46" i="10" s="1"/>
  <c r="Q46" i="10" s="1"/>
  <c r="K52" i="10" l="1"/>
  <c r="L52" i="10"/>
  <c r="J52" i="10"/>
  <c r="K66" i="10"/>
  <c r="J66" i="10"/>
  <c r="L66" i="10"/>
  <c r="K74" i="10"/>
  <c r="J74" i="10"/>
  <c r="L74" i="10"/>
  <c r="K50" i="10"/>
  <c r="J50" i="10"/>
  <c r="L50" i="10"/>
  <c r="K61" i="10"/>
  <c r="L61" i="10"/>
  <c r="J61" i="10"/>
  <c r="J49" i="10"/>
  <c r="K49" i="10"/>
  <c r="L49" i="10"/>
  <c r="L75" i="10"/>
  <c r="K75" i="10"/>
  <c r="J75" i="10"/>
  <c r="J55" i="10"/>
  <c r="L55" i="10"/>
  <c r="K55" i="10"/>
  <c r="J57" i="10"/>
  <c r="K57" i="10"/>
  <c r="L57" i="10"/>
  <c r="J63" i="10"/>
  <c r="L63" i="10"/>
  <c r="K63" i="10"/>
  <c r="L69" i="10"/>
  <c r="K69" i="10"/>
  <c r="J69" i="10"/>
  <c r="J60" i="10"/>
  <c r="K60" i="10"/>
  <c r="L60" i="10"/>
  <c r="K56" i="10"/>
  <c r="L56" i="10"/>
  <c r="J56" i="10"/>
  <c r="L51" i="10"/>
  <c r="J51" i="10"/>
  <c r="K51" i="10"/>
  <c r="K64" i="10"/>
  <c r="J64" i="10"/>
  <c r="L64" i="10"/>
  <c r="K70" i="10"/>
  <c r="L70" i="10"/>
  <c r="J70" i="10"/>
  <c r="K76" i="10"/>
  <c r="J76" i="10"/>
  <c r="L76" i="10"/>
  <c r="J48" i="10"/>
  <c r="K48" i="10"/>
  <c r="L48" i="10"/>
  <c r="K58" i="10"/>
  <c r="J58" i="10"/>
  <c r="L58" i="10"/>
  <c r="J65" i="10"/>
  <c r="K65" i="10"/>
  <c r="L65" i="10"/>
  <c r="J71" i="10"/>
  <c r="L71" i="10"/>
  <c r="K71" i="10"/>
  <c r="L77" i="10"/>
  <c r="K77" i="10"/>
  <c r="J77" i="10"/>
  <c r="K54" i="10"/>
  <c r="L54" i="10"/>
  <c r="J54" i="10"/>
  <c r="K62" i="10"/>
  <c r="L62" i="10"/>
  <c r="J62" i="10"/>
  <c r="L59" i="10"/>
  <c r="K59" i="10"/>
  <c r="J59" i="10"/>
  <c r="K72" i="10"/>
  <c r="J72" i="10"/>
  <c r="L72" i="10"/>
  <c r="K78" i="10"/>
  <c r="L78" i="10"/>
  <c r="J78" i="10"/>
  <c r="L67" i="10"/>
  <c r="J67" i="10"/>
  <c r="K67" i="10"/>
  <c r="K68" i="10"/>
  <c r="L68" i="10"/>
  <c r="J68" i="10"/>
  <c r="L46" i="10"/>
  <c r="K46" i="10"/>
  <c r="J46" i="10"/>
  <c r="J47" i="10"/>
  <c r="L47" i="10"/>
  <c r="K47" i="10"/>
  <c r="K53" i="10"/>
  <c r="L53" i="10"/>
  <c r="J53" i="10"/>
  <c r="J73" i="10"/>
  <c r="K73" i="10"/>
  <c r="L73" i="10"/>
  <c r="J79" i="10"/>
  <c r="L79" i="10"/>
  <c r="K79" i="10"/>
  <c r="D43" i="10"/>
  <c r="E43" i="10" s="1"/>
  <c r="D42" i="10"/>
  <c r="E42" i="10" s="1"/>
  <c r="D41" i="10"/>
  <c r="E41" i="10" s="1"/>
  <c r="D40" i="10"/>
  <c r="E40" i="10" s="1"/>
  <c r="D39" i="10"/>
  <c r="E39" i="10" s="1"/>
  <c r="D38" i="10"/>
  <c r="E38" i="10" s="1"/>
  <c r="D37" i="10"/>
  <c r="E37" i="10" s="1"/>
  <c r="D36" i="10"/>
  <c r="E36" i="10" s="1"/>
  <c r="D35" i="10"/>
  <c r="E35" i="10" s="1"/>
  <c r="D34" i="10"/>
  <c r="E34" i="10" s="1"/>
  <c r="D33" i="10"/>
  <c r="E33" i="10" s="1"/>
  <c r="D32" i="10"/>
  <c r="E32" i="10" s="1"/>
  <c r="D31" i="10"/>
  <c r="E31" i="10" s="1"/>
  <c r="D28" i="10"/>
  <c r="F28" i="10" s="1"/>
  <c r="Q28" i="10" s="1"/>
  <c r="D27" i="10"/>
  <c r="F27" i="10" s="1"/>
  <c r="Q27" i="10" s="1"/>
  <c r="D26" i="10"/>
  <c r="F26" i="10" s="1"/>
  <c r="Q26" i="10" s="1"/>
  <c r="D25" i="10"/>
  <c r="F25" i="10" s="1"/>
  <c r="Q25" i="10" s="1"/>
  <c r="D24" i="10"/>
  <c r="F24" i="10" s="1"/>
  <c r="Q24" i="10" s="1"/>
  <c r="D23" i="10"/>
  <c r="F23" i="10" s="1"/>
  <c r="Q23" i="10" s="1"/>
  <c r="D22" i="10"/>
  <c r="F22" i="10" s="1"/>
  <c r="Q22" i="10" s="1"/>
  <c r="D21" i="10"/>
  <c r="F21" i="10" s="1"/>
  <c r="Q21" i="10" s="1"/>
  <c r="D20" i="10"/>
  <c r="F20" i="10" s="1"/>
  <c r="Q20" i="10" s="1"/>
  <c r="D19" i="10"/>
  <c r="F19" i="10" s="1"/>
  <c r="Q19" i="10" s="1"/>
  <c r="D18" i="10"/>
  <c r="F18" i="10" s="1"/>
  <c r="Q18" i="10" s="1"/>
  <c r="D17" i="10"/>
  <c r="F17" i="10" s="1"/>
  <c r="Q17" i="10" s="1"/>
  <c r="D16" i="10"/>
  <c r="F16" i="10" s="1"/>
  <c r="D13" i="10"/>
  <c r="E13" i="10" s="1"/>
  <c r="D12" i="10"/>
  <c r="E12" i="10" s="1"/>
  <c r="D11" i="10"/>
  <c r="E11" i="10" s="1"/>
  <c r="D10" i="10"/>
  <c r="E10" i="10" s="1"/>
  <c r="D9" i="10"/>
  <c r="E9" i="10" s="1"/>
  <c r="D8" i="10"/>
  <c r="E8" i="10" s="1"/>
  <c r="D7" i="10"/>
  <c r="E7" i="10" s="1"/>
  <c r="D6" i="10"/>
  <c r="E6" i="10" s="1"/>
  <c r="D5" i="10"/>
  <c r="E5" i="10" s="1"/>
  <c r="D4" i="10"/>
  <c r="E4" i="10" s="1"/>
  <c r="D3" i="10"/>
  <c r="E3" i="10" s="1"/>
  <c r="E27" i="10" l="1"/>
  <c r="L28" i="10"/>
  <c r="J28" i="10"/>
  <c r="K28" i="10"/>
  <c r="L21" i="10"/>
  <c r="K21" i="10"/>
  <c r="J21" i="10"/>
  <c r="L24" i="10"/>
  <c r="J24" i="10"/>
  <c r="K24" i="10"/>
  <c r="K22" i="10"/>
  <c r="L22" i="10"/>
  <c r="J22" i="10"/>
  <c r="K25" i="10"/>
  <c r="L25" i="10"/>
  <c r="J25" i="10"/>
  <c r="L20" i="10"/>
  <c r="K20" i="10"/>
  <c r="J20" i="10"/>
  <c r="J23" i="10"/>
  <c r="K23" i="10"/>
  <c r="L23" i="10"/>
  <c r="L16" i="10"/>
  <c r="J16" i="10"/>
  <c r="K16" i="10"/>
  <c r="L17" i="10"/>
  <c r="K17" i="10"/>
  <c r="J17" i="10"/>
  <c r="J18" i="10"/>
  <c r="K18" i="10"/>
  <c r="L18" i="10"/>
  <c r="J26" i="10"/>
  <c r="K26" i="10"/>
  <c r="L26" i="10"/>
  <c r="J19" i="10"/>
  <c r="K19" i="10"/>
  <c r="L19" i="10"/>
  <c r="J27" i="10"/>
  <c r="K27" i="10"/>
  <c r="L27" i="10"/>
  <c r="E28" i="10"/>
  <c r="E24" i="10"/>
  <c r="E20" i="10"/>
  <c r="E23" i="10"/>
  <c r="E19" i="10"/>
  <c r="E26" i="10"/>
  <c r="E22" i="10"/>
  <c r="E18" i="10"/>
  <c r="E16" i="10"/>
  <c r="E25" i="10"/>
  <c r="E21" i="10"/>
  <c r="E17" i="10"/>
</calcChain>
</file>

<file path=xl/sharedStrings.xml><?xml version="1.0" encoding="utf-8"?>
<sst xmlns="http://schemas.openxmlformats.org/spreadsheetml/2006/main" count="135" uniqueCount="49">
  <si>
    <t>Davidson 1996</t>
  </si>
  <si>
    <t>Bates 2001</t>
  </si>
  <si>
    <t>[M]</t>
  </si>
  <si>
    <t>Temperature</t>
  </si>
  <si>
    <t>Pressure(atm)</t>
  </si>
  <si>
    <t>k1</t>
  </si>
  <si>
    <t>Shao 2018</t>
  </si>
  <si>
    <t>+u</t>
  </si>
  <si>
    <t>-u</t>
  </si>
  <si>
    <t>Choudhary 2019</t>
  </si>
  <si>
    <t>Kurylo 1972</t>
  </si>
  <si>
    <t>Wong and Davis</t>
  </si>
  <si>
    <t>T(K)</t>
  </si>
  <si>
    <t>T</t>
  </si>
  <si>
    <t>P(atm)</t>
  </si>
  <si>
    <t>k0</t>
  </si>
  <si>
    <t>uncertainty</t>
  </si>
  <si>
    <t>-</t>
  </si>
  <si>
    <t>k0[M]</t>
  </si>
  <si>
    <r>
      <t>Davidson_</t>
    </r>
    <r>
      <rPr>
        <b/>
        <i/>
        <sz val="11"/>
        <color rgb="FF000000"/>
        <rFont val="Calibri"/>
        <family val="2"/>
        <scheme val="minor"/>
      </rPr>
      <t>k</t>
    </r>
    <r>
      <rPr>
        <b/>
        <vertAlign val="subscript"/>
        <sz val="11"/>
        <color rgb="FF000000"/>
        <rFont val="Calibri"/>
        <family val="2"/>
        <scheme val="minor"/>
      </rPr>
      <t>1</t>
    </r>
  </si>
  <si>
    <r>
      <t>Bates_</t>
    </r>
    <r>
      <rPr>
        <b/>
        <i/>
        <sz val="11"/>
        <color rgb="FF000000"/>
        <rFont val="Calibri"/>
        <family val="2"/>
        <scheme val="minor"/>
      </rPr>
      <t>k</t>
    </r>
    <r>
      <rPr>
        <b/>
        <vertAlign val="subscript"/>
        <sz val="11"/>
        <color rgb="FF000000"/>
        <rFont val="Calibri"/>
        <family val="2"/>
        <scheme val="minor"/>
      </rPr>
      <t>1</t>
    </r>
  </si>
  <si>
    <r>
      <t>Hong_</t>
    </r>
    <r>
      <rPr>
        <b/>
        <i/>
        <sz val="11"/>
        <color rgb="FF000000"/>
        <rFont val="Calibri"/>
        <family val="2"/>
        <scheme val="minor"/>
      </rPr>
      <t>k</t>
    </r>
    <r>
      <rPr>
        <b/>
        <vertAlign val="subscript"/>
        <sz val="11"/>
        <color rgb="FF000000"/>
        <rFont val="Calibri"/>
        <family val="2"/>
        <scheme val="minor"/>
      </rPr>
      <t>1</t>
    </r>
  </si>
  <si>
    <t>k_troe</t>
  </si>
  <si>
    <t>Getzinger 1969</t>
  </si>
  <si>
    <t>rate(cm3/mol/s)</t>
  </si>
  <si>
    <t>P(Torr)</t>
  </si>
  <si>
    <t>Michael 2002</t>
  </si>
  <si>
    <t>Ashman and heyes</t>
  </si>
  <si>
    <t>Fernandes 2008</t>
  </si>
  <si>
    <t>Mueller 1998</t>
  </si>
  <si>
    <t>Cobos 1985</t>
  </si>
  <si>
    <t>Hidaka 1971</t>
  </si>
  <si>
    <t>Getzinger et al</t>
  </si>
  <si>
    <t>assume 2 atm</t>
  </si>
  <si>
    <t>assume 250 Torr</t>
  </si>
  <si>
    <r>
      <rPr>
        <i/>
        <sz val="11"/>
        <color theme="1"/>
        <rFont val="Times New Roman"/>
        <family val="1"/>
      </rPr>
      <t>k</t>
    </r>
    <r>
      <rPr>
        <vertAlign val="subscript"/>
        <sz val="11"/>
        <color theme="1"/>
        <rFont val="Times New Roman"/>
        <family val="1"/>
      </rPr>
      <t>1</t>
    </r>
  </si>
  <si>
    <r>
      <rPr>
        <i/>
        <sz val="11"/>
        <color theme="1"/>
        <rFont val="Times New Roman"/>
        <family val="1"/>
      </rPr>
      <t>k</t>
    </r>
    <r>
      <rPr>
        <vertAlign val="subscript"/>
        <sz val="11"/>
        <color theme="1"/>
        <rFont val="Times New Roman"/>
        <family val="1"/>
      </rPr>
      <t>troe</t>
    </r>
  </si>
  <si>
    <r>
      <t xml:space="preserve">updated </t>
    </r>
    <r>
      <rPr>
        <i/>
        <sz val="11"/>
        <color theme="1"/>
        <rFont val="Times New Roman"/>
        <family val="1"/>
      </rPr>
      <t>k</t>
    </r>
    <r>
      <rPr>
        <vertAlign val="subscript"/>
        <sz val="11"/>
        <color theme="1"/>
        <rFont val="Times New Roman"/>
        <family val="1"/>
      </rPr>
      <t>troe</t>
    </r>
  </si>
  <si>
    <r>
      <t>k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[M]</t>
    </r>
  </si>
  <si>
    <r>
      <t>k</t>
    </r>
    <r>
      <rPr>
        <vertAlign val="subscript"/>
        <sz val="11"/>
        <color theme="1"/>
        <rFont val="Times New Roman"/>
        <family val="1"/>
      </rPr>
      <t>0</t>
    </r>
    <r>
      <rPr>
        <sz val="11"/>
        <color theme="1"/>
        <rFont val="Times New Roman"/>
        <family val="1"/>
      </rPr>
      <t>_in paper</t>
    </r>
  </si>
  <si>
    <r>
      <rPr>
        <i/>
        <sz val="11"/>
        <color theme="1"/>
        <rFont val="Times New Roman"/>
        <family val="1"/>
      </rPr>
      <t>k</t>
    </r>
    <r>
      <rPr>
        <vertAlign val="subscript"/>
        <sz val="11"/>
        <color theme="1"/>
        <rFont val="Times New Roman"/>
        <family val="1"/>
      </rPr>
      <t>troe</t>
    </r>
    <r>
      <rPr>
        <sz val="11"/>
        <color theme="1"/>
        <rFont val="Times New Roman"/>
        <family val="1"/>
      </rPr>
      <t xml:space="preserve"> uncertainty + </t>
    </r>
  </si>
  <si>
    <r>
      <rPr>
        <i/>
        <sz val="11"/>
        <color theme="1"/>
        <rFont val="Times New Roman"/>
        <family val="1"/>
      </rPr>
      <t>k</t>
    </r>
    <r>
      <rPr>
        <vertAlign val="subscript"/>
        <sz val="11"/>
        <color theme="1"/>
        <rFont val="Times New Roman"/>
        <family val="1"/>
      </rPr>
      <t>troe</t>
    </r>
    <r>
      <rPr>
        <sz val="11"/>
        <color theme="1"/>
        <rFont val="Times New Roman"/>
        <family val="1"/>
      </rPr>
      <t xml:space="preserve"> uncertainty - </t>
    </r>
  </si>
  <si>
    <r>
      <t xml:space="preserve">updated </t>
    </r>
    <r>
      <rPr>
        <i/>
        <sz val="11"/>
        <color theme="1"/>
        <rFont val="Times New Roman"/>
        <family val="1"/>
      </rPr>
      <t>k</t>
    </r>
    <r>
      <rPr>
        <vertAlign val="subscript"/>
        <sz val="11"/>
        <color theme="1"/>
        <rFont val="Times New Roman"/>
        <family val="1"/>
      </rPr>
      <t xml:space="preserve">troe </t>
    </r>
    <r>
      <rPr>
        <sz val="11"/>
        <color theme="1"/>
        <rFont val="Times New Roman"/>
        <family val="1"/>
      </rPr>
      <t>deviation</t>
    </r>
  </si>
  <si>
    <r>
      <rPr>
        <i/>
        <sz val="11"/>
        <color theme="1"/>
        <rFont val="Times New Roman"/>
        <family val="1"/>
      </rPr>
      <t>k</t>
    </r>
    <r>
      <rPr>
        <vertAlign val="subscript"/>
        <sz val="11"/>
        <color theme="1"/>
        <rFont val="Times New Roman"/>
        <family val="1"/>
      </rPr>
      <t>troe</t>
    </r>
    <r>
      <rPr>
        <sz val="11"/>
        <color theme="1"/>
        <rFont val="Times New Roman"/>
        <family val="1"/>
      </rPr>
      <t xml:space="preserve"> deviation for Hong Mech of Davidson</t>
    </r>
  </si>
  <si>
    <t>Hong rate of Davidson</t>
  </si>
  <si>
    <t>Hong rate of Bates</t>
  </si>
  <si>
    <r>
      <rPr>
        <i/>
        <sz val="11"/>
        <color theme="1"/>
        <rFont val="Times New Roman"/>
        <family val="1"/>
      </rPr>
      <t>k</t>
    </r>
    <r>
      <rPr>
        <vertAlign val="subscript"/>
        <sz val="11"/>
        <color theme="1"/>
        <rFont val="Times New Roman"/>
        <family val="1"/>
      </rPr>
      <t>troe</t>
    </r>
    <r>
      <rPr>
        <sz val="11"/>
        <color theme="1"/>
        <rFont val="Times New Roman"/>
        <family val="1"/>
      </rPr>
      <t xml:space="preserve"> deviation for Hong Mech of Bates</t>
    </r>
  </si>
  <si>
    <r>
      <t xml:space="preserve">updated </t>
    </r>
    <r>
      <rPr>
        <i/>
        <sz val="11"/>
        <color theme="1"/>
        <rFont val="Times New Roman"/>
        <family val="1"/>
      </rPr>
      <t>Davidson 1996</t>
    </r>
  </si>
  <si>
    <t>updated Bates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</si>
</sst>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FF0000"/>
      <name val="Arial"/>
      <family val="2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theme="9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sz val="12"/>
      <name val="Times New Roman"/>
      <family val="1"/>
    </font>
    <font>
      <sz val="11"/>
      <color theme="1"/>
      <name val="Times New Roman"/>
      <family val="1"/>
    </font>
    <font>
      <i/>
      <sz val="11"/>
      <color theme="1"/>
      <name val="Times New Roman"/>
      <family val="1"/>
    </font>
    <font>
      <vertAlign val="subscript"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FF0000"/>
      <name val="Times New Roman"/>
      <family val="1"/>
    </font>
    <font>
      <b/>
      <sz val="11"/>
      <name val="Times New Roman"/>
      <family val="1"/>
    </font>
    <font>
      <b/>
      <sz val="11"/>
      <color rgb="FF00B050"/>
      <name val="Times New Roman"/>
      <family val="1"/>
    </font>
    <font>
      <sz val="11"/>
      <name val="Times New Roman"/>
      <family val="1"/>
    </font>
    <font>
      <b/>
      <sz val="11"/>
      <color rgb="FFFFC000"/>
      <name val="Times New Roman"/>
      <family val="1"/>
    </font>
    <font>
      <b/>
      <sz val="11"/>
      <color rgb="FF7030A0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center" vertical="center"/>
    </xf>
    <xf numFmtId="11" fontId="2" fillId="0" borderId="0" xfId="0" applyNumberFormat="1" applyFont="1"/>
    <xf numFmtId="0" fontId="0" fillId="0" borderId="0" xfId="0" applyFont="1" applyFill="1"/>
    <xf numFmtId="0" fontId="0" fillId="0" borderId="0" xfId="0" applyFont="1"/>
    <xf numFmtId="11" fontId="4" fillId="0" borderId="0" xfId="0" applyNumberFormat="1" applyFont="1" applyAlignment="1">
      <alignment horizontal="center" vertical="center"/>
    </xf>
    <xf numFmtId="11" fontId="0" fillId="0" borderId="0" xfId="0" applyNumberFormat="1" applyFont="1"/>
    <xf numFmtId="0" fontId="4" fillId="0" borderId="0" xfId="0" applyFont="1"/>
    <xf numFmtId="11" fontId="6" fillId="0" borderId="0" xfId="0" applyNumberFormat="1" applyFont="1"/>
    <xf numFmtId="0" fontId="5" fillId="0" borderId="3" xfId="0" applyFont="1" applyBorder="1" applyAlignment="1">
      <alignment vertical="center"/>
    </xf>
    <xf numFmtId="0" fontId="4" fillId="0" borderId="0" xfId="0" applyFont="1" applyAlignment="1">
      <alignment horizontal="right" vertical="center"/>
    </xf>
    <xf numFmtId="11" fontId="4" fillId="0" borderId="0" xfId="0" applyNumberFormat="1" applyFont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11" fontId="4" fillId="0" borderId="4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1" fontId="4" fillId="0" borderId="0" xfId="0" applyNumberFormat="1" applyFont="1" applyAlignment="1">
      <alignment vertical="center"/>
    </xf>
    <xf numFmtId="0" fontId="4" fillId="0" borderId="4" xfId="0" applyFont="1" applyBorder="1" applyAlignment="1">
      <alignment vertical="center"/>
    </xf>
    <xf numFmtId="11" fontId="4" fillId="0" borderId="4" xfId="0" applyNumberFormat="1" applyFont="1" applyBorder="1" applyAlignment="1">
      <alignment vertical="center"/>
    </xf>
    <xf numFmtId="11" fontId="0" fillId="0" borderId="0" xfId="0" applyNumberFormat="1" applyFont="1" applyFill="1"/>
    <xf numFmtId="0" fontId="0" fillId="0" borderId="2" xfId="0" applyFont="1" applyBorder="1"/>
    <xf numFmtId="0" fontId="9" fillId="0" borderId="0" xfId="0" applyNumberFormat="1" applyFont="1" applyAlignment="1">
      <alignment vertical="center"/>
    </xf>
    <xf numFmtId="0" fontId="0" fillId="0" borderId="0" xfId="0" applyNumberFormat="1" applyFont="1"/>
    <xf numFmtId="1" fontId="0" fillId="0" borderId="0" xfId="0" applyNumberFormat="1" applyFont="1"/>
    <xf numFmtId="0" fontId="10" fillId="0" borderId="0" xfId="0" applyFont="1"/>
    <xf numFmtId="11" fontId="10" fillId="0" borderId="0" xfId="0" applyNumberFormat="1" applyFont="1"/>
    <xf numFmtId="0" fontId="10" fillId="0" borderId="0" xfId="0" quotePrefix="1" applyFont="1"/>
    <xf numFmtId="0" fontId="13" fillId="0" borderId="0" xfId="0" applyFont="1" applyFill="1" applyBorder="1" applyAlignment="1">
      <alignment horizontal="center" vertical="center"/>
    </xf>
    <xf numFmtId="0" fontId="13" fillId="0" borderId="0" xfId="0" applyFont="1"/>
    <xf numFmtId="11" fontId="14" fillId="0" borderId="0" xfId="0" applyNumberFormat="1" applyFont="1"/>
    <xf numFmtId="164" fontId="10" fillId="0" borderId="0" xfId="0" applyNumberFormat="1" applyFont="1"/>
    <xf numFmtId="164" fontId="13" fillId="0" borderId="0" xfId="0" applyNumberFormat="1" applyFont="1" applyAlignment="1">
      <alignment horizontal="center" vertical="center"/>
    </xf>
    <xf numFmtId="164" fontId="13" fillId="0" borderId="1" xfId="0" applyNumberFormat="1" applyFont="1" applyBorder="1" applyAlignment="1">
      <alignment horizontal="center" vertical="center"/>
    </xf>
    <xf numFmtId="0" fontId="15" fillId="0" borderId="0" xfId="0" applyFont="1"/>
    <xf numFmtId="11" fontId="16" fillId="0" borderId="0" xfId="0" applyNumberFormat="1" applyFont="1"/>
    <xf numFmtId="11" fontId="17" fillId="0" borderId="0" xfId="0" applyNumberFormat="1" applyFont="1"/>
    <xf numFmtId="11" fontId="18" fillId="0" borderId="0" xfId="0" applyNumberFormat="1" applyFont="1"/>
    <xf numFmtId="11" fontId="19" fillId="0" borderId="0" xfId="0" applyNumberFormat="1" applyFont="1"/>
    <xf numFmtId="0" fontId="17" fillId="0" borderId="0" xfId="0" applyFont="1"/>
    <xf numFmtId="0" fontId="17" fillId="0" borderId="0" xfId="0" applyNumberFormat="1" applyFont="1"/>
    <xf numFmtId="11" fontId="19" fillId="0" borderId="0" xfId="0" quotePrefix="1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11955693230616"/>
          <c:y val="4.6967967294051075E-2"/>
          <c:w val="0.81297496362177513"/>
          <c:h val="0.777138034325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Rate_Comparison_N2!$E$1</c:f>
              <c:strCache>
                <c:ptCount val="1"/>
                <c:pt idx="0">
                  <c:v>Shao 2018</c:v>
                </c:pt>
              </c:strCache>
            </c:strRef>
          </c:tx>
          <c:spPr>
            <a:ln w="28575">
              <a:noFill/>
            </a:ln>
          </c:spPr>
          <c:xVal>
            <c:numRef>
              <c:f>Rate_Comparison_N2!$B$3:$B$7</c:f>
              <c:numCache>
                <c:formatCode>General</c:formatCode>
                <c:ptCount val="5"/>
                <c:pt idx="0">
                  <c:v>13.1</c:v>
                </c:pt>
                <c:pt idx="1">
                  <c:v>12.6</c:v>
                </c:pt>
                <c:pt idx="2">
                  <c:v>12.7</c:v>
                </c:pt>
                <c:pt idx="3">
                  <c:v>13</c:v>
                </c:pt>
                <c:pt idx="4">
                  <c:v>12.6</c:v>
                </c:pt>
              </c:numCache>
            </c:numRef>
          </c:xVal>
          <c:yVal>
            <c:numRef>
              <c:f>Rate_Comparison_N2!$J$3:$J$7</c:f>
              <c:numCache>
                <c:formatCode>General</c:formatCode>
                <c:ptCount val="5"/>
                <c:pt idx="0">
                  <c:v>-7.6611590289978743E-2</c:v>
                </c:pt>
                <c:pt idx="1">
                  <c:v>3.2211846582127814E-2</c:v>
                </c:pt>
                <c:pt idx="2">
                  <c:v>-4.2539142892072612E-2</c:v>
                </c:pt>
                <c:pt idx="3">
                  <c:v>-4.749827303937474E-2</c:v>
                </c:pt>
                <c:pt idx="4">
                  <c:v>-3.6323749689526293E-2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5-4919-B7FC-44A79133651B}"/>
            </c:ext>
          </c:extLst>
        </c:ser>
        <c:ser>
          <c:idx val="1"/>
          <c:order val="1"/>
          <c:tx>
            <c:strRef>
              <c:f>Rate_Comparison_N2!$E$22</c:f>
              <c:strCache>
                <c:ptCount val="1"/>
                <c:pt idx="0">
                  <c:v>Davidson 1996</c:v>
                </c:pt>
              </c:strCache>
            </c:strRef>
          </c:tx>
          <c:spPr>
            <a:ln w="28575">
              <a:noFill/>
            </a:ln>
          </c:spPr>
          <c:xVal>
            <c:numRef>
              <c:f>Rate_Comparison_N2!$B$24:$B$32</c:f>
              <c:numCache>
                <c:formatCode>General</c:formatCode>
                <c:ptCount val="9"/>
                <c:pt idx="0">
                  <c:v>48.6</c:v>
                </c:pt>
                <c:pt idx="1">
                  <c:v>54.5</c:v>
                </c:pt>
                <c:pt idx="2">
                  <c:v>55.6</c:v>
                </c:pt>
                <c:pt idx="3">
                  <c:v>48.8</c:v>
                </c:pt>
                <c:pt idx="4">
                  <c:v>50.8</c:v>
                </c:pt>
                <c:pt idx="5">
                  <c:v>52.7</c:v>
                </c:pt>
                <c:pt idx="6">
                  <c:v>55.7</c:v>
                </c:pt>
                <c:pt idx="7">
                  <c:v>57.2</c:v>
                </c:pt>
                <c:pt idx="8">
                  <c:v>52.7</c:v>
                </c:pt>
              </c:numCache>
            </c:numRef>
          </c:xVal>
          <c:yVal>
            <c:numRef>
              <c:f>Rate_Comparison_N2!$K$24:$K$32</c:f>
              <c:numCache>
                <c:formatCode>General</c:formatCode>
                <c:ptCount val="9"/>
                <c:pt idx="0">
                  <c:v>8.9404967313268538E-2</c:v>
                </c:pt>
                <c:pt idx="1">
                  <c:v>5.5353375402342177E-2</c:v>
                </c:pt>
                <c:pt idx="2">
                  <c:v>7.9768245789764158E-2</c:v>
                </c:pt>
                <c:pt idx="3">
                  <c:v>0.19682600986220636</c:v>
                </c:pt>
                <c:pt idx="4">
                  <c:v>0.22073690945967961</c:v>
                </c:pt>
                <c:pt idx="5">
                  <c:v>0.27346217664651046</c:v>
                </c:pt>
                <c:pt idx="6">
                  <c:v>0.24612184223178118</c:v>
                </c:pt>
                <c:pt idx="7">
                  <c:v>0.31240239550088095</c:v>
                </c:pt>
                <c:pt idx="8">
                  <c:v>0.15897791909615028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5-4919-B7FC-44A79133651B}"/>
            </c:ext>
          </c:extLst>
        </c:ser>
        <c:ser>
          <c:idx val="3"/>
          <c:order val="2"/>
          <c:tx>
            <c:strRef>
              <c:f>Rate_Comparison_N2!$E$34</c:f>
              <c:strCache>
                <c:ptCount val="1"/>
                <c:pt idx="0">
                  <c:v>Bates 2001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Rate_Comparison_N2!$B$36:$B$43</c:f>
              <c:numCache>
                <c:formatCode>General</c:formatCode>
                <c:ptCount val="8"/>
                <c:pt idx="0">
                  <c:v>8.1</c:v>
                </c:pt>
                <c:pt idx="1">
                  <c:v>7.3</c:v>
                </c:pt>
                <c:pt idx="2">
                  <c:v>21.7</c:v>
                </c:pt>
                <c:pt idx="3">
                  <c:v>20.9</c:v>
                </c:pt>
                <c:pt idx="4">
                  <c:v>22.6</c:v>
                </c:pt>
                <c:pt idx="5">
                  <c:v>31.3</c:v>
                </c:pt>
                <c:pt idx="6">
                  <c:v>33</c:v>
                </c:pt>
                <c:pt idx="7">
                  <c:v>32.700000000000003</c:v>
                </c:pt>
              </c:numCache>
            </c:numRef>
          </c:xVal>
          <c:yVal>
            <c:numRef>
              <c:f>Rate_Comparison_N2!$K$36:$K$43</c:f>
              <c:numCache>
                <c:formatCode>General</c:formatCode>
                <c:ptCount val="8"/>
                <c:pt idx="0">
                  <c:v>-6.7264209817734899E-2</c:v>
                </c:pt>
                <c:pt idx="1">
                  <c:v>-7.1851991830701747E-2</c:v>
                </c:pt>
                <c:pt idx="2">
                  <c:v>1.2010020098947966E-2</c:v>
                </c:pt>
                <c:pt idx="3">
                  <c:v>1.0591244323746904E-2</c:v>
                </c:pt>
                <c:pt idx="4">
                  <c:v>2.4860828971664597E-2</c:v>
                </c:pt>
                <c:pt idx="5">
                  <c:v>4.6321055691974457E-2</c:v>
                </c:pt>
                <c:pt idx="6">
                  <c:v>4.7010505501922061E-2</c:v>
                </c:pt>
                <c:pt idx="7">
                  <c:v>6.6596395988123655E-2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A55-4919-B7FC-44A79133651B}"/>
            </c:ext>
          </c:extLst>
        </c:ser>
        <c:ser>
          <c:idx val="2"/>
          <c:order val="3"/>
          <c:tx>
            <c:strRef>
              <c:f>Rate_Comparison_N2!$E$45</c:f>
              <c:strCache>
                <c:ptCount val="1"/>
                <c:pt idx="0">
                  <c:v>Getzinger 1969</c:v>
                </c:pt>
              </c:strCache>
            </c:strRef>
          </c:tx>
          <c:spPr>
            <a:ln w="28575">
              <a:noFill/>
            </a:ln>
          </c:spPr>
          <c:xVal>
            <c:numRef>
              <c:f>Rate_Comparison_N2!$B$47:$B$56</c:f>
              <c:numCache>
                <c:formatCode>General</c:formatCode>
                <c:ptCount val="10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  <c:pt idx="4">
                  <c:v>2.5</c:v>
                </c:pt>
                <c:pt idx="5">
                  <c:v>2.5</c:v>
                </c:pt>
                <c:pt idx="6">
                  <c:v>2.5</c:v>
                </c:pt>
                <c:pt idx="7">
                  <c:v>2.5</c:v>
                </c:pt>
                <c:pt idx="8">
                  <c:v>2.5</c:v>
                </c:pt>
                <c:pt idx="9">
                  <c:v>2.5</c:v>
                </c:pt>
              </c:numCache>
            </c:numRef>
          </c:xVal>
          <c:yVal>
            <c:numRef>
              <c:f>Rate_Comparison_N2!$K$47:$K$56</c:f>
              <c:numCache>
                <c:formatCode>General</c:formatCode>
                <c:ptCount val="10"/>
                <c:pt idx="0">
                  <c:v>8.9493688406452318E-2</c:v>
                </c:pt>
                <c:pt idx="1">
                  <c:v>-0.13960571088968399</c:v>
                </c:pt>
                <c:pt idx="2">
                  <c:v>3.0810576435101589E-2</c:v>
                </c:pt>
                <c:pt idx="3">
                  <c:v>-7.4375038196590831E-2</c:v>
                </c:pt>
                <c:pt idx="4">
                  <c:v>1.3980333270785003E-2</c:v>
                </c:pt>
                <c:pt idx="5">
                  <c:v>1.9717223645379301E-2</c:v>
                </c:pt>
                <c:pt idx="6">
                  <c:v>-4.8144975756394405E-2</c:v>
                </c:pt>
                <c:pt idx="7">
                  <c:v>3.3271525220239143E-2</c:v>
                </c:pt>
                <c:pt idx="8">
                  <c:v>-1.5525558192426774E-2</c:v>
                </c:pt>
                <c:pt idx="9">
                  <c:v>7.0088006935183675E-2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A55-4919-B7FC-44A7913365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323520"/>
        <c:axId val="275329792"/>
      </c:scatterChart>
      <c:valAx>
        <c:axId val="275323520"/>
        <c:scaling>
          <c:orientation val="minMax"/>
          <c:max val="60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Pressure(atm)</a:t>
                </a:r>
              </a:p>
            </c:rich>
          </c:tx>
          <c:layout>
            <c:manualLayout>
              <c:xMode val="edge"/>
              <c:yMode val="edge"/>
              <c:x val="0.44167062504566351"/>
              <c:y val="0.90157841207349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5329792"/>
        <c:crossesAt val="-0.8"/>
        <c:crossBetween val="midCat"/>
        <c:majorUnit val="10"/>
      </c:valAx>
      <c:valAx>
        <c:axId val="275329792"/>
        <c:scaling>
          <c:orientation val="minMax"/>
          <c:max val="0.8"/>
          <c:min val="-0.8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sz="20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</a:t>
                </a: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sz="20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000" b="1" i="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en-US" sz="20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000" b="1" i="0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</a:t>
                </a:r>
                <a:endParaRPr lang="en-US" sz="2000" b="1" baseline="-25000">
                  <a:solidFill>
                    <a:sysClr val="windowText" lastClr="000000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3.2735576927724934E-2"/>
              <c:y val="0.32622780107141408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5323520"/>
        <c:crosses val="autoZero"/>
        <c:crossBetween val="midCat"/>
      </c:valAx>
      <c:spPr>
        <a:solidFill>
          <a:schemeClr val="bg1"/>
        </a:solid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071994915996531"/>
          <c:y val="0.69113263325772012"/>
          <c:w val="0.65439754805972028"/>
          <c:h val="4.917931669843669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11955693230616"/>
          <c:y val="4.6967967294051075E-2"/>
          <c:w val="0.81297496362177513"/>
          <c:h val="0.777138034325635"/>
        </c:manualLayout>
      </c:layout>
      <c:scatterChart>
        <c:scatterStyle val="lineMarker"/>
        <c:varyColors val="0"/>
        <c:ser>
          <c:idx val="5"/>
          <c:order val="0"/>
          <c:tx>
            <c:strRef>
              <c:f>Rate_Comparison_AR!$Q$45</c:f>
              <c:strCache>
                <c:ptCount val="1"/>
                <c:pt idx="0">
                  <c:v>updated Bates 2001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accent4"/>
              </a:solidFill>
              <a:ln>
                <a:noFill/>
              </a:ln>
            </c:spPr>
          </c:marker>
          <c:xVal>
            <c:numRef>
              <c:f>Rate_Comparison_AR!$B$46:$B$79</c:f>
              <c:numCache>
                <c:formatCode>General</c:formatCode>
                <c:ptCount val="34"/>
                <c:pt idx="0">
                  <c:v>10.1</c:v>
                </c:pt>
                <c:pt idx="1">
                  <c:v>26.4</c:v>
                </c:pt>
                <c:pt idx="2">
                  <c:v>11.3</c:v>
                </c:pt>
                <c:pt idx="3">
                  <c:v>24.1</c:v>
                </c:pt>
                <c:pt idx="4">
                  <c:v>31.7</c:v>
                </c:pt>
                <c:pt idx="5">
                  <c:v>67.5</c:v>
                </c:pt>
                <c:pt idx="6">
                  <c:v>32.700000000000003</c:v>
                </c:pt>
                <c:pt idx="7">
                  <c:v>66</c:v>
                </c:pt>
                <c:pt idx="8">
                  <c:v>127</c:v>
                </c:pt>
                <c:pt idx="9">
                  <c:v>33.200000000000003</c:v>
                </c:pt>
                <c:pt idx="10">
                  <c:v>23.4</c:v>
                </c:pt>
                <c:pt idx="11">
                  <c:v>91.4</c:v>
                </c:pt>
                <c:pt idx="12">
                  <c:v>24.6</c:v>
                </c:pt>
                <c:pt idx="13">
                  <c:v>99</c:v>
                </c:pt>
                <c:pt idx="14">
                  <c:v>92.2</c:v>
                </c:pt>
                <c:pt idx="15">
                  <c:v>92.6</c:v>
                </c:pt>
                <c:pt idx="16">
                  <c:v>130</c:v>
                </c:pt>
                <c:pt idx="17">
                  <c:v>11.2</c:v>
                </c:pt>
                <c:pt idx="18">
                  <c:v>151</c:v>
                </c:pt>
                <c:pt idx="19">
                  <c:v>26.8</c:v>
                </c:pt>
                <c:pt idx="20">
                  <c:v>25.3</c:v>
                </c:pt>
                <c:pt idx="21">
                  <c:v>152</c:v>
                </c:pt>
                <c:pt idx="22">
                  <c:v>93.5</c:v>
                </c:pt>
                <c:pt idx="23">
                  <c:v>67</c:v>
                </c:pt>
                <c:pt idx="24">
                  <c:v>92.6</c:v>
                </c:pt>
                <c:pt idx="25">
                  <c:v>150</c:v>
                </c:pt>
                <c:pt idx="26">
                  <c:v>35.700000000000003</c:v>
                </c:pt>
                <c:pt idx="27">
                  <c:v>34.200000000000003</c:v>
                </c:pt>
                <c:pt idx="28">
                  <c:v>73.7</c:v>
                </c:pt>
                <c:pt idx="29">
                  <c:v>40.4</c:v>
                </c:pt>
                <c:pt idx="30">
                  <c:v>148</c:v>
                </c:pt>
                <c:pt idx="31">
                  <c:v>38.5</c:v>
                </c:pt>
                <c:pt idx="32">
                  <c:v>147</c:v>
                </c:pt>
                <c:pt idx="33">
                  <c:v>38.700000000000003</c:v>
                </c:pt>
              </c:numCache>
            </c:numRef>
          </c:xVal>
          <c:yVal>
            <c:numRef>
              <c:f>Rate_Comparison_AR!$Q$46:$Q$79</c:f>
              <c:numCache>
                <c:formatCode>0.00E+00</c:formatCode>
                <c:ptCount val="34"/>
                <c:pt idx="0">
                  <c:v>-8.5794175379475784E-2</c:v>
                </c:pt>
                <c:pt idx="1">
                  <c:v>-0.13626267548171703</c:v>
                </c:pt>
                <c:pt idx="2">
                  <c:v>-4.5192910630969294E-2</c:v>
                </c:pt>
                <c:pt idx="3">
                  <c:v>-0.10001905923035818</c:v>
                </c:pt>
                <c:pt idx="4">
                  <c:v>-0.10612535710480522</c:v>
                </c:pt>
                <c:pt idx="5">
                  <c:v>-0.22491888835128146</c:v>
                </c:pt>
                <c:pt idx="6">
                  <c:v>-0.13560906699894865</c:v>
                </c:pt>
                <c:pt idx="7">
                  <c:v>-0.1575152246388096</c:v>
                </c:pt>
                <c:pt idx="8">
                  <c:v>-0.34596261221731006</c:v>
                </c:pt>
                <c:pt idx="9">
                  <c:v>-0.11921133149686626</c:v>
                </c:pt>
                <c:pt idx="10">
                  <c:v>-9.6171102304065365E-2</c:v>
                </c:pt>
                <c:pt idx="11">
                  <c:v>-0.28067415175947469</c:v>
                </c:pt>
                <c:pt idx="12">
                  <c:v>-4.6318455036021437E-2</c:v>
                </c:pt>
                <c:pt idx="13">
                  <c:v>-0.29244089716441352</c:v>
                </c:pt>
                <c:pt idx="14">
                  <c:v>-0.30848211607240555</c:v>
                </c:pt>
                <c:pt idx="15">
                  <c:v>-0.36145620098782916</c:v>
                </c:pt>
                <c:pt idx="16">
                  <c:v>-0.34079997225178443</c:v>
                </c:pt>
                <c:pt idx="17">
                  <c:v>-2.869041487634379E-2</c:v>
                </c:pt>
                <c:pt idx="18">
                  <c:v>-0.43679700368268864</c:v>
                </c:pt>
                <c:pt idx="19">
                  <c:v>-5.3972066458360834E-2</c:v>
                </c:pt>
                <c:pt idx="20">
                  <c:v>-7.717457787832617E-2</c:v>
                </c:pt>
                <c:pt idx="21">
                  <c:v>-0.43791660635608048</c:v>
                </c:pt>
                <c:pt idx="22">
                  <c:v>-0.30428583309619756</c:v>
                </c:pt>
                <c:pt idx="23">
                  <c:v>-0.16675358183137459</c:v>
                </c:pt>
                <c:pt idx="24">
                  <c:v>-0.22980543555204105</c:v>
                </c:pt>
                <c:pt idx="25">
                  <c:v>-0.45442247458334606</c:v>
                </c:pt>
                <c:pt idx="26">
                  <c:v>-7.9969065104650391E-2</c:v>
                </c:pt>
                <c:pt idx="27">
                  <c:v>-0.10927824676391577</c:v>
                </c:pt>
                <c:pt idx="28">
                  <c:v>-9.8278857183770607E-2</c:v>
                </c:pt>
                <c:pt idx="29">
                  <c:v>-0.11304121283876402</c:v>
                </c:pt>
                <c:pt idx="30">
                  <c:v>-0.38703374075879488</c:v>
                </c:pt>
                <c:pt idx="31">
                  <c:v>-4.5267266145829523E-2</c:v>
                </c:pt>
                <c:pt idx="32">
                  <c:v>-0.38552630175916724</c:v>
                </c:pt>
                <c:pt idx="33">
                  <c:v>-5.3744543400383801E-2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DF-4D3E-B69D-C569A042CA0F}"/>
            </c:ext>
          </c:extLst>
        </c:ser>
        <c:ser>
          <c:idx val="3"/>
          <c:order val="1"/>
          <c:tx>
            <c:strRef>
              <c:f>Rate_Comparison_AR!$P$45</c:f>
              <c:strCache>
                <c:ptCount val="1"/>
                <c:pt idx="0">
                  <c:v>updated Davidson 1996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noFill/>
              <a:ln>
                <a:solidFill>
                  <a:schemeClr val="accent4"/>
                </a:solidFill>
              </a:ln>
            </c:spPr>
          </c:marker>
          <c:xVal>
            <c:numRef>
              <c:f>Rate_Comparison_AR!$B$46:$B$79</c:f>
              <c:numCache>
                <c:formatCode>General</c:formatCode>
                <c:ptCount val="34"/>
                <c:pt idx="0">
                  <c:v>10.1</c:v>
                </c:pt>
                <c:pt idx="1">
                  <c:v>26.4</c:v>
                </c:pt>
                <c:pt idx="2">
                  <c:v>11.3</c:v>
                </c:pt>
                <c:pt idx="3">
                  <c:v>24.1</c:v>
                </c:pt>
                <c:pt idx="4">
                  <c:v>31.7</c:v>
                </c:pt>
                <c:pt idx="5">
                  <c:v>67.5</c:v>
                </c:pt>
                <c:pt idx="6">
                  <c:v>32.700000000000003</c:v>
                </c:pt>
                <c:pt idx="7">
                  <c:v>66</c:v>
                </c:pt>
                <c:pt idx="8">
                  <c:v>127</c:v>
                </c:pt>
                <c:pt idx="9">
                  <c:v>33.200000000000003</c:v>
                </c:pt>
                <c:pt idx="10">
                  <c:v>23.4</c:v>
                </c:pt>
                <c:pt idx="11">
                  <c:v>91.4</c:v>
                </c:pt>
                <c:pt idx="12">
                  <c:v>24.6</c:v>
                </c:pt>
                <c:pt idx="13">
                  <c:v>99</c:v>
                </c:pt>
                <c:pt idx="14">
                  <c:v>92.2</c:v>
                </c:pt>
                <c:pt idx="15">
                  <c:v>92.6</c:v>
                </c:pt>
                <c:pt idx="16">
                  <c:v>130</c:v>
                </c:pt>
                <c:pt idx="17">
                  <c:v>11.2</c:v>
                </c:pt>
                <c:pt idx="18">
                  <c:v>151</c:v>
                </c:pt>
                <c:pt idx="19">
                  <c:v>26.8</c:v>
                </c:pt>
                <c:pt idx="20">
                  <c:v>25.3</c:v>
                </c:pt>
                <c:pt idx="21">
                  <c:v>152</c:v>
                </c:pt>
                <c:pt idx="22">
                  <c:v>93.5</c:v>
                </c:pt>
                <c:pt idx="23">
                  <c:v>67</c:v>
                </c:pt>
                <c:pt idx="24">
                  <c:v>92.6</c:v>
                </c:pt>
                <c:pt idx="25">
                  <c:v>150</c:v>
                </c:pt>
                <c:pt idx="26">
                  <c:v>35.700000000000003</c:v>
                </c:pt>
                <c:pt idx="27">
                  <c:v>34.200000000000003</c:v>
                </c:pt>
                <c:pt idx="28">
                  <c:v>73.7</c:v>
                </c:pt>
                <c:pt idx="29">
                  <c:v>40.4</c:v>
                </c:pt>
                <c:pt idx="30">
                  <c:v>148</c:v>
                </c:pt>
                <c:pt idx="31">
                  <c:v>38.5</c:v>
                </c:pt>
                <c:pt idx="32">
                  <c:v>147</c:v>
                </c:pt>
                <c:pt idx="33">
                  <c:v>38.700000000000003</c:v>
                </c:pt>
              </c:numCache>
            </c:numRef>
          </c:xVal>
          <c:yVal>
            <c:numRef>
              <c:f>Rate_Comparison_AR!$P$46:$P$79</c:f>
              <c:numCache>
                <c:formatCode>0.00E+00</c:formatCode>
                <c:ptCount val="34"/>
                <c:pt idx="0">
                  <c:v>-0.15781860353071581</c:v>
                </c:pt>
                <c:pt idx="1">
                  <c:v>-0.17311385701388368</c:v>
                </c:pt>
                <c:pt idx="2">
                  <c:v>-6.5438742488408058E-2</c:v>
                </c:pt>
                <c:pt idx="3">
                  <c:v>-5.9606240220339828E-2</c:v>
                </c:pt>
                <c:pt idx="4">
                  <c:v>-5.6853860061866206E-2</c:v>
                </c:pt>
                <c:pt idx="5">
                  <c:v>-0.17899181387958316</c:v>
                </c:pt>
                <c:pt idx="6">
                  <c:v>-0.10962271981765816</c:v>
                </c:pt>
                <c:pt idx="7">
                  <c:v>-1.2134326330439113E-2</c:v>
                </c:pt>
                <c:pt idx="8">
                  <c:v>0.21516606191616322</c:v>
                </c:pt>
                <c:pt idx="9">
                  <c:v>-9.1618803859148987E-2</c:v>
                </c:pt>
                <c:pt idx="10">
                  <c:v>-7.3940630798157686E-2</c:v>
                </c:pt>
                <c:pt idx="11">
                  <c:v>-2.6913130277205051E-2</c:v>
                </c:pt>
                <c:pt idx="12">
                  <c:v>-6.5109031217964283E-2</c:v>
                </c:pt>
                <c:pt idx="13">
                  <c:v>8.3945987633416586E-3</c:v>
                </c:pt>
                <c:pt idx="14">
                  <c:v>-3.6803673776590953E-2</c:v>
                </c:pt>
                <c:pt idx="15">
                  <c:v>-0.11726648222358133</c:v>
                </c:pt>
                <c:pt idx="16">
                  <c:v>-6.9550200068308726E-2</c:v>
                </c:pt>
                <c:pt idx="17">
                  <c:v>-3.4443381084236944E-3</c:v>
                </c:pt>
                <c:pt idx="18">
                  <c:v>0.1342976015892694</c:v>
                </c:pt>
                <c:pt idx="19">
                  <c:v>-1.6623023243103659E-2</c:v>
                </c:pt>
                <c:pt idx="20">
                  <c:v>-3.6807352879648141E-2</c:v>
                </c:pt>
                <c:pt idx="21">
                  <c:v>4.612762206083363E-2</c:v>
                </c:pt>
                <c:pt idx="22">
                  <c:v>-9.8576328596402113E-2</c:v>
                </c:pt>
                <c:pt idx="23">
                  <c:v>-5.4177653795303538E-2</c:v>
                </c:pt>
                <c:pt idx="24">
                  <c:v>4.6766835429829555E-3</c:v>
                </c:pt>
                <c:pt idx="25">
                  <c:v>-0.15516741094892822</c:v>
                </c:pt>
                <c:pt idx="26">
                  <c:v>-3.3240422533956357E-2</c:v>
                </c:pt>
                <c:pt idx="27">
                  <c:v>-5.9897713378870003E-2</c:v>
                </c:pt>
                <c:pt idx="28">
                  <c:v>-1.9390739484454855E-2</c:v>
                </c:pt>
                <c:pt idx="29">
                  <c:v>-0.1195381690910358</c:v>
                </c:pt>
                <c:pt idx="30">
                  <c:v>-0.16146886560710652</c:v>
                </c:pt>
                <c:pt idx="31">
                  <c:v>-2.4587171889458928E-3</c:v>
                </c:pt>
                <c:pt idx="32">
                  <c:v>-0.15973843139916594</c:v>
                </c:pt>
                <c:pt idx="33">
                  <c:v>1.0627580796040538E-2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EDF-4D3E-B69D-C569A042CA0F}"/>
            </c:ext>
          </c:extLst>
        </c:ser>
        <c:ser>
          <c:idx val="4"/>
          <c:order val="2"/>
          <c:tx>
            <c:strRef>
              <c:f>Rate_Comparison_AR!$Q$15</c:f>
              <c:strCache>
                <c:ptCount val="1"/>
                <c:pt idx="0">
                  <c:v>updated Davidson 1996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solidFill>
                <a:srgbClr val="C00000"/>
              </a:solidFill>
              <a:ln>
                <a:solidFill>
                  <a:srgbClr val="C00000"/>
                </a:solidFill>
              </a:ln>
            </c:spPr>
          </c:marker>
          <c:xVal>
            <c:numRef>
              <c:f>Rate_Comparison_AR!$B$16:$B$28</c:f>
              <c:numCache>
                <c:formatCode>General</c:formatCode>
                <c:ptCount val="13"/>
                <c:pt idx="0">
                  <c:v>64.3</c:v>
                </c:pt>
                <c:pt idx="1">
                  <c:v>69.3</c:v>
                </c:pt>
                <c:pt idx="2">
                  <c:v>57.2</c:v>
                </c:pt>
                <c:pt idx="3">
                  <c:v>54.8</c:v>
                </c:pt>
                <c:pt idx="4">
                  <c:v>67.400000000000006</c:v>
                </c:pt>
                <c:pt idx="5">
                  <c:v>70.099999999999994</c:v>
                </c:pt>
                <c:pt idx="6">
                  <c:v>68.3</c:v>
                </c:pt>
                <c:pt idx="7">
                  <c:v>70.099999999999994</c:v>
                </c:pt>
                <c:pt idx="8">
                  <c:v>68.2</c:v>
                </c:pt>
                <c:pt idx="9">
                  <c:v>65.8</c:v>
                </c:pt>
                <c:pt idx="10">
                  <c:v>118.9</c:v>
                </c:pt>
                <c:pt idx="11">
                  <c:v>113.9</c:v>
                </c:pt>
                <c:pt idx="12">
                  <c:v>112</c:v>
                </c:pt>
              </c:numCache>
            </c:numRef>
          </c:xVal>
          <c:yVal>
            <c:numRef>
              <c:f>Rate_Comparison_AR!$Q$16:$Q$28</c:f>
              <c:numCache>
                <c:formatCode>0.00E+00</c:formatCode>
                <c:ptCount val="13"/>
                <c:pt idx="0">
                  <c:v>0.17492414920972307</c:v>
                </c:pt>
                <c:pt idx="1">
                  <c:v>0.21727742941387179</c:v>
                </c:pt>
                <c:pt idx="2">
                  <c:v>0.47547140650265235</c:v>
                </c:pt>
                <c:pt idx="3">
                  <c:v>0.3264778885434762</c:v>
                </c:pt>
                <c:pt idx="4">
                  <c:v>0.28730578462039152</c:v>
                </c:pt>
                <c:pt idx="5">
                  <c:v>0.30202508306285175</c:v>
                </c:pt>
                <c:pt idx="6">
                  <c:v>0.30074498433173086</c:v>
                </c:pt>
                <c:pt idx="7">
                  <c:v>0.40580038452532846</c:v>
                </c:pt>
                <c:pt idx="8">
                  <c:v>0.57372884058850349</c:v>
                </c:pt>
                <c:pt idx="9">
                  <c:v>0.5908246365316191</c:v>
                </c:pt>
                <c:pt idx="10">
                  <c:v>0.22062122356213479</c:v>
                </c:pt>
                <c:pt idx="11">
                  <c:v>0.23051441409803575</c:v>
                </c:pt>
                <c:pt idx="12">
                  <c:v>0.26873800834698097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EDF-4D3E-B69D-C569A042CA0F}"/>
            </c:ext>
          </c:extLst>
        </c:ser>
        <c:ser>
          <c:idx val="1"/>
          <c:order val="3"/>
          <c:tx>
            <c:strRef>
              <c:f>Rate_Comparison_AR!$P$15</c:f>
              <c:strCache>
                <c:ptCount val="1"/>
                <c:pt idx="0">
                  <c:v>updated Davidson 1996</c:v>
                </c:pt>
              </c:strCache>
            </c:strRef>
          </c:tx>
          <c:spPr>
            <a:ln w="28575">
              <a:noFill/>
            </a:ln>
          </c:spPr>
          <c:marker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Rate_Comparison_AR!$B$16:$B$28</c:f>
              <c:numCache>
                <c:formatCode>General</c:formatCode>
                <c:ptCount val="13"/>
                <c:pt idx="0">
                  <c:v>64.3</c:v>
                </c:pt>
                <c:pt idx="1">
                  <c:v>69.3</c:v>
                </c:pt>
                <c:pt idx="2">
                  <c:v>57.2</c:v>
                </c:pt>
                <c:pt idx="3">
                  <c:v>54.8</c:v>
                </c:pt>
                <c:pt idx="4">
                  <c:v>67.400000000000006</c:v>
                </c:pt>
                <c:pt idx="5">
                  <c:v>70.099999999999994</c:v>
                </c:pt>
                <c:pt idx="6">
                  <c:v>68.3</c:v>
                </c:pt>
                <c:pt idx="7">
                  <c:v>70.099999999999994</c:v>
                </c:pt>
                <c:pt idx="8">
                  <c:v>68.2</c:v>
                </c:pt>
                <c:pt idx="9">
                  <c:v>65.8</c:v>
                </c:pt>
                <c:pt idx="10">
                  <c:v>118.9</c:v>
                </c:pt>
                <c:pt idx="11">
                  <c:v>113.9</c:v>
                </c:pt>
                <c:pt idx="12">
                  <c:v>112</c:v>
                </c:pt>
              </c:numCache>
            </c:numRef>
          </c:xVal>
          <c:yVal>
            <c:numRef>
              <c:f>Rate_Comparison_AR!$P$16:$P$28</c:f>
              <c:numCache>
                <c:formatCode>0.00E+00</c:formatCode>
                <c:ptCount val="13"/>
                <c:pt idx="0">
                  <c:v>0.22068655276726074</c:v>
                </c:pt>
                <c:pt idx="1">
                  <c:v>0.3650310246263897</c:v>
                </c:pt>
                <c:pt idx="2">
                  <c:v>0.2734212641416226</c:v>
                </c:pt>
                <c:pt idx="3">
                  <c:v>0.21845015375534582</c:v>
                </c:pt>
                <c:pt idx="4">
                  <c:v>0.13425819874767944</c:v>
                </c:pt>
                <c:pt idx="5">
                  <c:v>0.14953424601001952</c:v>
                </c:pt>
                <c:pt idx="6">
                  <c:v>0.16178262389475173</c:v>
                </c:pt>
                <c:pt idx="7">
                  <c:v>0.26223899914184701</c:v>
                </c:pt>
                <c:pt idx="8">
                  <c:v>0.40701227680661178</c:v>
                </c:pt>
                <c:pt idx="9">
                  <c:v>0.49305950973419183</c:v>
                </c:pt>
                <c:pt idx="10">
                  <c:v>6.4191026269589752E-2</c:v>
                </c:pt>
                <c:pt idx="11">
                  <c:v>3.9066363188263196E-2</c:v>
                </c:pt>
                <c:pt idx="12">
                  <c:v>0.10845447928862779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EDF-4D3E-B69D-C569A042CA0F}"/>
            </c:ext>
          </c:extLst>
        </c:ser>
        <c:ser>
          <c:idx val="0"/>
          <c:order val="4"/>
          <c:tx>
            <c:strRef>
              <c:f>Rate_Comparison_AR!$F$1</c:f>
              <c:strCache>
                <c:ptCount val="1"/>
                <c:pt idx="0">
                  <c:v>Shao 2018</c:v>
                </c:pt>
              </c:strCache>
            </c:strRef>
          </c:tx>
          <c:spPr>
            <a:ln w="28575">
              <a:noFill/>
            </a:ln>
          </c:spPr>
          <c:xVal>
            <c:numRef>
              <c:f>Rate_Comparison_AR!$B$3:$B$13</c:f>
              <c:numCache>
                <c:formatCode>General</c:formatCode>
                <c:ptCount val="11"/>
                <c:pt idx="0">
                  <c:v>32.5</c:v>
                </c:pt>
                <c:pt idx="1">
                  <c:v>32.4</c:v>
                </c:pt>
                <c:pt idx="2">
                  <c:v>31</c:v>
                </c:pt>
                <c:pt idx="3">
                  <c:v>31.5</c:v>
                </c:pt>
                <c:pt idx="4">
                  <c:v>16.8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17.399999999999999</c:v>
                </c:pt>
                <c:pt idx="8">
                  <c:v>16.8</c:v>
                </c:pt>
                <c:pt idx="9">
                  <c:v>17.100000000000001</c:v>
                </c:pt>
                <c:pt idx="10">
                  <c:v>28.7</c:v>
                </c:pt>
              </c:numCache>
            </c:numRef>
          </c:xVal>
          <c:yVal>
            <c:numRef>
              <c:f>Rate_Comparison_AR!$P$3:$P$13</c:f>
              <c:numCache>
                <c:formatCode>0.00E+00</c:formatCode>
                <c:ptCount val="11"/>
                <c:pt idx="0">
                  <c:v>9.0162953610799429E-2</c:v>
                </c:pt>
                <c:pt idx="1">
                  <c:v>8.7557533637822094E-2</c:v>
                </c:pt>
                <c:pt idx="2">
                  <c:v>8.2789340067469352E-2</c:v>
                </c:pt>
                <c:pt idx="3">
                  <c:v>5.8557051992443959E-2</c:v>
                </c:pt>
                <c:pt idx="4">
                  <c:v>5.7457483688287604E-2</c:v>
                </c:pt>
                <c:pt idx="5">
                  <c:v>5.7765810606666176E-2</c:v>
                </c:pt>
                <c:pt idx="6">
                  <c:v>1.3980751461764441E-2</c:v>
                </c:pt>
                <c:pt idx="7">
                  <c:v>2.3049664637511773E-2</c:v>
                </c:pt>
                <c:pt idx="8">
                  <c:v>1.9063385121775106E-2</c:v>
                </c:pt>
                <c:pt idx="9">
                  <c:v>2.2010921769858315E-2</c:v>
                </c:pt>
                <c:pt idx="10">
                  <c:v>5.1670624246062377E-2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EDF-4D3E-B69D-C569A042CA0F}"/>
            </c:ext>
          </c:extLst>
        </c:ser>
        <c:ser>
          <c:idx val="2"/>
          <c:order val="5"/>
          <c:tx>
            <c:strRef>
              <c:f>Rate_Comparison_AR!$F$29</c:f>
              <c:strCache>
                <c:ptCount val="1"/>
                <c:pt idx="0">
                  <c:v>Choudhary 2019</c:v>
                </c:pt>
              </c:strCache>
            </c:strRef>
          </c:tx>
          <c:spPr>
            <a:ln w="28575">
              <a:noFill/>
            </a:ln>
          </c:spPr>
          <c:xVal>
            <c:numRef>
              <c:f>Rate_Comparison_AR!$B$31:$B$43</c:f>
              <c:numCache>
                <c:formatCode>General</c:formatCode>
                <c:ptCount val="13"/>
                <c:pt idx="0">
                  <c:v>16.18</c:v>
                </c:pt>
                <c:pt idx="1">
                  <c:v>15.84</c:v>
                </c:pt>
                <c:pt idx="2">
                  <c:v>14.75</c:v>
                </c:pt>
                <c:pt idx="3">
                  <c:v>16.2</c:v>
                </c:pt>
                <c:pt idx="4">
                  <c:v>11.78</c:v>
                </c:pt>
                <c:pt idx="5">
                  <c:v>12.8</c:v>
                </c:pt>
                <c:pt idx="6">
                  <c:v>12.4</c:v>
                </c:pt>
                <c:pt idx="7">
                  <c:v>12.97</c:v>
                </c:pt>
                <c:pt idx="8">
                  <c:v>13.71</c:v>
                </c:pt>
                <c:pt idx="9">
                  <c:v>13.66</c:v>
                </c:pt>
                <c:pt idx="10">
                  <c:v>14.01</c:v>
                </c:pt>
                <c:pt idx="11">
                  <c:v>14.41</c:v>
                </c:pt>
                <c:pt idx="12">
                  <c:v>14.68</c:v>
                </c:pt>
              </c:numCache>
            </c:numRef>
          </c:xVal>
          <c:yVal>
            <c:numRef>
              <c:f>Rate_Comparison_AR!$P$31:$P$43</c:f>
              <c:numCache>
                <c:formatCode>0.00E+00</c:formatCode>
                <c:ptCount val="13"/>
                <c:pt idx="0">
                  <c:v>-0.10627413065846465</c:v>
                </c:pt>
                <c:pt idx="1">
                  <c:v>-8.6696547990167919E-2</c:v>
                </c:pt>
                <c:pt idx="2">
                  <c:v>-7.4453483797687153E-2</c:v>
                </c:pt>
                <c:pt idx="3">
                  <c:v>-8.1167224479398586E-2</c:v>
                </c:pt>
                <c:pt idx="4">
                  <c:v>-9.1334935681035859E-2</c:v>
                </c:pt>
                <c:pt idx="5">
                  <c:v>-6.9994531414652908E-2</c:v>
                </c:pt>
                <c:pt idx="6">
                  <c:v>-6.7677999860658172E-2</c:v>
                </c:pt>
                <c:pt idx="7">
                  <c:v>-5.9576139562185729E-2</c:v>
                </c:pt>
                <c:pt idx="8">
                  <c:v>-0.1483798355131235</c:v>
                </c:pt>
                <c:pt idx="9">
                  <c:v>-9.9926491180631044E-2</c:v>
                </c:pt>
                <c:pt idx="10">
                  <c:v>-0.12808201570276556</c:v>
                </c:pt>
                <c:pt idx="11">
                  <c:v>-6.0144806746552704E-2</c:v>
                </c:pt>
                <c:pt idx="12">
                  <c:v>-9.1453019591327386E-2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EDF-4D3E-B69D-C569A042CA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444864"/>
        <c:axId val="275446784"/>
      </c:scatterChart>
      <c:valAx>
        <c:axId val="275444864"/>
        <c:scaling>
          <c:orientation val="minMax"/>
          <c:max val="160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Pressure(atm)</a:t>
                </a:r>
              </a:p>
            </c:rich>
          </c:tx>
          <c:layout>
            <c:manualLayout>
              <c:xMode val="edge"/>
              <c:yMode val="edge"/>
              <c:x val="0.44167062504566351"/>
              <c:y val="0.90157841207349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5446784"/>
        <c:crossesAt val="-0.8"/>
        <c:crossBetween val="midCat"/>
        <c:majorUnit val="20"/>
      </c:valAx>
      <c:valAx>
        <c:axId val="275446784"/>
        <c:scaling>
          <c:orientation val="minMax"/>
          <c:max val="0.8"/>
          <c:min val="-0.60000000000000009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sz="20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</a:t>
                </a: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sz="20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en-US" sz="20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b</a:t>
                </a:r>
              </a:p>
            </c:rich>
          </c:tx>
          <c:layout>
            <c:manualLayout>
              <c:xMode val="edge"/>
              <c:yMode val="edge"/>
              <c:x val="1.909374895219787E-2"/>
              <c:y val="0.31993739543844407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5444864"/>
        <c:crosses val="autoZero"/>
        <c:crossBetween val="midCat"/>
      </c:valAx>
      <c:spPr>
        <a:solidFill>
          <a:schemeClr val="bg1"/>
        </a:solid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617691704732065"/>
          <c:y val="6.0271769872799807E-2"/>
          <c:w val="0.7769752263325771"/>
          <c:h val="9.9290965188543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611955693230616"/>
          <c:y val="4.6967967294051075E-2"/>
          <c:w val="0.81297496362177513"/>
          <c:h val="0.777138034325635"/>
        </c:manualLayout>
      </c:layout>
      <c:scatterChart>
        <c:scatterStyle val="lineMarker"/>
        <c:varyColors val="0"/>
        <c:ser>
          <c:idx val="0"/>
          <c:order val="0"/>
          <c:tx>
            <c:strRef>
              <c:f>Rate_Comparison_AR!$F$1</c:f>
              <c:strCache>
                <c:ptCount val="1"/>
                <c:pt idx="0">
                  <c:v>Shao 2018</c:v>
                </c:pt>
              </c:strCache>
            </c:strRef>
          </c:tx>
          <c:spPr>
            <a:ln w="28575">
              <a:noFill/>
            </a:ln>
          </c:spPr>
          <c:xVal>
            <c:numRef>
              <c:f>Rate_Comparison_AR!$B$3:$B$13</c:f>
              <c:numCache>
                <c:formatCode>General</c:formatCode>
                <c:ptCount val="11"/>
                <c:pt idx="0">
                  <c:v>32.5</c:v>
                </c:pt>
                <c:pt idx="1">
                  <c:v>32.4</c:v>
                </c:pt>
                <c:pt idx="2">
                  <c:v>31</c:v>
                </c:pt>
                <c:pt idx="3">
                  <c:v>31.5</c:v>
                </c:pt>
                <c:pt idx="4">
                  <c:v>16.8</c:v>
                </c:pt>
                <c:pt idx="5">
                  <c:v>16.899999999999999</c:v>
                </c:pt>
                <c:pt idx="6">
                  <c:v>16.899999999999999</c:v>
                </c:pt>
                <c:pt idx="7">
                  <c:v>17.399999999999999</c:v>
                </c:pt>
                <c:pt idx="8">
                  <c:v>16.8</c:v>
                </c:pt>
                <c:pt idx="9">
                  <c:v>17.100000000000001</c:v>
                </c:pt>
                <c:pt idx="10">
                  <c:v>28.7</c:v>
                </c:pt>
              </c:numCache>
            </c:numRef>
          </c:xVal>
          <c:yVal>
            <c:numRef>
              <c:f>Rate_Comparison_AR!$J$3:$J$13</c:f>
              <c:numCache>
                <c:formatCode>0.00E+00</c:formatCode>
                <c:ptCount val="11"/>
                <c:pt idx="0">
                  <c:v>0.11120818382100056</c:v>
                </c:pt>
                <c:pt idx="1">
                  <c:v>0.10863649436364732</c:v>
                </c:pt>
                <c:pt idx="2">
                  <c:v>0.10342926076862212</c:v>
                </c:pt>
                <c:pt idx="3">
                  <c:v>7.8727252139927553E-2</c:v>
                </c:pt>
                <c:pt idx="4">
                  <c:v>7.5964871293685551E-2</c:v>
                </c:pt>
                <c:pt idx="5">
                  <c:v>7.6196311064885169E-2</c:v>
                </c:pt>
                <c:pt idx="6">
                  <c:v>3.1515207339048897E-2</c:v>
                </c:pt>
                <c:pt idx="7">
                  <c:v>4.0974682293269282E-2</c:v>
                </c:pt>
                <c:pt idx="8">
                  <c:v>3.6564911333304723E-2</c:v>
                </c:pt>
                <c:pt idx="9">
                  <c:v>3.9706856099816022E-2</c:v>
                </c:pt>
                <c:pt idx="10">
                  <c:v>7.1661720625982694E-2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3-4F21-94A0-D4CCCE43BA47}"/>
            </c:ext>
          </c:extLst>
        </c:ser>
        <c:ser>
          <c:idx val="1"/>
          <c:order val="1"/>
          <c:tx>
            <c:strRef>
              <c:f>Rate_Comparison_AR!$F$14</c:f>
              <c:strCache>
                <c:ptCount val="1"/>
                <c:pt idx="0">
                  <c:v>Davidson 1996</c:v>
                </c:pt>
              </c:strCache>
            </c:strRef>
          </c:tx>
          <c:spPr>
            <a:ln w="28575">
              <a:noFill/>
            </a:ln>
          </c:spPr>
          <c:xVal>
            <c:numRef>
              <c:f>Rate_Comparison_AR!$B$16:$B$28</c:f>
              <c:numCache>
                <c:formatCode>General</c:formatCode>
                <c:ptCount val="13"/>
                <c:pt idx="0">
                  <c:v>64.3</c:v>
                </c:pt>
                <c:pt idx="1">
                  <c:v>69.3</c:v>
                </c:pt>
                <c:pt idx="2">
                  <c:v>57.2</c:v>
                </c:pt>
                <c:pt idx="3">
                  <c:v>54.8</c:v>
                </c:pt>
                <c:pt idx="4">
                  <c:v>67.400000000000006</c:v>
                </c:pt>
                <c:pt idx="5">
                  <c:v>70.099999999999994</c:v>
                </c:pt>
                <c:pt idx="6">
                  <c:v>68.3</c:v>
                </c:pt>
                <c:pt idx="7">
                  <c:v>70.099999999999994</c:v>
                </c:pt>
                <c:pt idx="8">
                  <c:v>68.2</c:v>
                </c:pt>
                <c:pt idx="9">
                  <c:v>65.8</c:v>
                </c:pt>
                <c:pt idx="10">
                  <c:v>118.9</c:v>
                </c:pt>
                <c:pt idx="11">
                  <c:v>113.9</c:v>
                </c:pt>
                <c:pt idx="12">
                  <c:v>112</c:v>
                </c:pt>
              </c:numCache>
            </c:numRef>
          </c:xVal>
          <c:yVal>
            <c:numRef>
              <c:f>Rate_Comparison_AR!$J$16:$J$28</c:f>
              <c:numCache>
                <c:formatCode>0.00E+00</c:formatCode>
                <c:ptCount val="13"/>
                <c:pt idx="0">
                  <c:v>0.20003812548953884</c:v>
                </c:pt>
                <c:pt idx="1">
                  <c:v>0.24314102025163414</c:v>
                </c:pt>
                <c:pt idx="2">
                  <c:v>0.50734686732785073</c:v>
                </c:pt>
                <c:pt idx="3">
                  <c:v>0.3548415823121967</c:v>
                </c:pt>
                <c:pt idx="4">
                  <c:v>0.31582939705170288</c:v>
                </c:pt>
                <c:pt idx="5">
                  <c:v>0.33094965039921226</c:v>
                </c:pt>
                <c:pt idx="6">
                  <c:v>0.32946161835301552</c:v>
                </c:pt>
                <c:pt idx="7">
                  <c:v>0.43660484377929681</c:v>
                </c:pt>
                <c:pt idx="8">
                  <c:v>0.60778087308322193</c:v>
                </c:pt>
                <c:pt idx="9">
                  <c:v>0.62465981253877123</c:v>
                </c:pt>
                <c:pt idx="10">
                  <c:v>0.25070531461631568</c:v>
                </c:pt>
                <c:pt idx="11">
                  <c:v>0.26027873750403702</c:v>
                </c:pt>
                <c:pt idx="12">
                  <c:v>0.29856147113763665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13-4F21-94A0-D4CCCE43BA47}"/>
            </c:ext>
          </c:extLst>
        </c:ser>
        <c:ser>
          <c:idx val="2"/>
          <c:order val="2"/>
          <c:tx>
            <c:strRef>
              <c:f>Rate_Comparison_AR!$F$29</c:f>
              <c:strCache>
                <c:ptCount val="1"/>
                <c:pt idx="0">
                  <c:v>Choudhary 2019</c:v>
                </c:pt>
              </c:strCache>
            </c:strRef>
          </c:tx>
          <c:spPr>
            <a:ln w="28575">
              <a:noFill/>
            </a:ln>
          </c:spPr>
          <c:xVal>
            <c:numRef>
              <c:f>Rate_Comparison_AR!$B$31:$B$43</c:f>
              <c:numCache>
                <c:formatCode>General</c:formatCode>
                <c:ptCount val="13"/>
                <c:pt idx="0">
                  <c:v>16.18</c:v>
                </c:pt>
                <c:pt idx="1">
                  <c:v>15.84</c:v>
                </c:pt>
                <c:pt idx="2">
                  <c:v>14.75</c:v>
                </c:pt>
                <c:pt idx="3">
                  <c:v>16.2</c:v>
                </c:pt>
                <c:pt idx="4">
                  <c:v>11.78</c:v>
                </c:pt>
                <c:pt idx="5">
                  <c:v>12.8</c:v>
                </c:pt>
                <c:pt idx="6">
                  <c:v>12.4</c:v>
                </c:pt>
                <c:pt idx="7">
                  <c:v>12.97</c:v>
                </c:pt>
                <c:pt idx="8">
                  <c:v>13.71</c:v>
                </c:pt>
                <c:pt idx="9">
                  <c:v>13.66</c:v>
                </c:pt>
                <c:pt idx="10">
                  <c:v>14.01</c:v>
                </c:pt>
                <c:pt idx="11">
                  <c:v>14.41</c:v>
                </c:pt>
                <c:pt idx="12">
                  <c:v>14.68</c:v>
                </c:pt>
              </c:numCache>
            </c:numRef>
          </c:xVal>
          <c:yVal>
            <c:numRef>
              <c:f>Rate_Comparison_AR!$J$31:$J$43</c:f>
              <c:numCache>
                <c:formatCode>0.00E+00</c:formatCode>
                <c:ptCount val="13"/>
                <c:pt idx="0">
                  <c:v>-9.4623826003080308E-2</c:v>
                </c:pt>
                <c:pt idx="1">
                  <c:v>-7.5193875834167673E-2</c:v>
                </c:pt>
                <c:pt idx="2">
                  <c:v>-6.3332774035496461E-2</c:v>
                </c:pt>
                <c:pt idx="3">
                  <c:v>-6.9194787549034339E-2</c:v>
                </c:pt>
                <c:pt idx="4">
                  <c:v>-8.28757729336356E-2</c:v>
                </c:pt>
                <c:pt idx="5">
                  <c:v>-5.9406970788293351E-2</c:v>
                </c:pt>
                <c:pt idx="6">
                  <c:v>-5.7390695334256669E-2</c:v>
                </c:pt>
                <c:pt idx="7">
                  <c:v>-4.8102930086435368E-2</c:v>
                </c:pt>
                <c:pt idx="8">
                  <c:v>-0.13761349857305957</c:v>
                </c:pt>
                <c:pt idx="9">
                  <c:v>-8.798079093916128E-2</c:v>
                </c:pt>
                <c:pt idx="10">
                  <c:v>-0.11630642075578307</c:v>
                </c:pt>
                <c:pt idx="11">
                  <c:v>-4.7118693445906065E-2</c:v>
                </c:pt>
                <c:pt idx="12">
                  <c:v>-7.830841387091747E-2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13-4F21-94A0-D4CCCE43BA47}"/>
            </c:ext>
          </c:extLst>
        </c:ser>
        <c:ser>
          <c:idx val="3"/>
          <c:order val="3"/>
          <c:tx>
            <c:strRef>
              <c:f>Rate_Comparison_AR!$F$44</c:f>
              <c:strCache>
                <c:ptCount val="1"/>
                <c:pt idx="0">
                  <c:v>Bates 2001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Rate_Comparison_AR!$B$46:$B$79</c:f>
              <c:numCache>
                <c:formatCode>General</c:formatCode>
                <c:ptCount val="34"/>
                <c:pt idx="0">
                  <c:v>10.1</c:v>
                </c:pt>
                <c:pt idx="1">
                  <c:v>26.4</c:v>
                </c:pt>
                <c:pt idx="2">
                  <c:v>11.3</c:v>
                </c:pt>
                <c:pt idx="3">
                  <c:v>24.1</c:v>
                </c:pt>
                <c:pt idx="4">
                  <c:v>31.7</c:v>
                </c:pt>
                <c:pt idx="5">
                  <c:v>67.5</c:v>
                </c:pt>
                <c:pt idx="6">
                  <c:v>32.700000000000003</c:v>
                </c:pt>
                <c:pt idx="7">
                  <c:v>66</c:v>
                </c:pt>
                <c:pt idx="8">
                  <c:v>127</c:v>
                </c:pt>
                <c:pt idx="9">
                  <c:v>33.200000000000003</c:v>
                </c:pt>
                <c:pt idx="10">
                  <c:v>23.4</c:v>
                </c:pt>
                <c:pt idx="11">
                  <c:v>91.4</c:v>
                </c:pt>
                <c:pt idx="12">
                  <c:v>24.6</c:v>
                </c:pt>
                <c:pt idx="13">
                  <c:v>99</c:v>
                </c:pt>
                <c:pt idx="14">
                  <c:v>92.2</c:v>
                </c:pt>
                <c:pt idx="15">
                  <c:v>92.6</c:v>
                </c:pt>
                <c:pt idx="16">
                  <c:v>130</c:v>
                </c:pt>
                <c:pt idx="17">
                  <c:v>11.2</c:v>
                </c:pt>
                <c:pt idx="18">
                  <c:v>151</c:v>
                </c:pt>
                <c:pt idx="19">
                  <c:v>26.8</c:v>
                </c:pt>
                <c:pt idx="20">
                  <c:v>25.3</c:v>
                </c:pt>
                <c:pt idx="21">
                  <c:v>152</c:v>
                </c:pt>
                <c:pt idx="22">
                  <c:v>93.5</c:v>
                </c:pt>
                <c:pt idx="23">
                  <c:v>67</c:v>
                </c:pt>
                <c:pt idx="24">
                  <c:v>92.6</c:v>
                </c:pt>
                <c:pt idx="25">
                  <c:v>150</c:v>
                </c:pt>
                <c:pt idx="26">
                  <c:v>35.700000000000003</c:v>
                </c:pt>
                <c:pt idx="27">
                  <c:v>34.200000000000003</c:v>
                </c:pt>
                <c:pt idx="28">
                  <c:v>73.7</c:v>
                </c:pt>
                <c:pt idx="29">
                  <c:v>40.4</c:v>
                </c:pt>
                <c:pt idx="30">
                  <c:v>148</c:v>
                </c:pt>
                <c:pt idx="31">
                  <c:v>38.5</c:v>
                </c:pt>
                <c:pt idx="32">
                  <c:v>147</c:v>
                </c:pt>
                <c:pt idx="33">
                  <c:v>38.700000000000003</c:v>
                </c:pt>
              </c:numCache>
            </c:numRef>
          </c:xVal>
          <c:yVal>
            <c:numRef>
              <c:f>Rate_Comparison_AR!$J$46:$J$79</c:f>
              <c:numCache>
                <c:formatCode>0.00E+00</c:formatCode>
                <c:ptCount val="34"/>
                <c:pt idx="0">
                  <c:v>3.7945434735405487E-2</c:v>
                </c:pt>
                <c:pt idx="1">
                  <c:v>-2.2212769938794386E-2</c:v>
                </c:pt>
                <c:pt idx="2">
                  <c:v>0.11162254576891267</c:v>
                </c:pt>
                <c:pt idx="3">
                  <c:v>2.3535976692906042E-2</c:v>
                </c:pt>
                <c:pt idx="4">
                  <c:v>-1.07043108680354E-2</c:v>
                </c:pt>
                <c:pt idx="5">
                  <c:v>-8.6720748560373401E-2</c:v>
                </c:pt>
                <c:pt idx="6">
                  <c:v>-5.1526997935901217E-3</c:v>
                </c:pt>
                <c:pt idx="7">
                  <c:v>-0.10980248634658327</c:v>
                </c:pt>
                <c:pt idx="8">
                  <c:v>-0.31422088132170684</c:v>
                </c:pt>
                <c:pt idx="9">
                  <c:v>-9.1674231605889486E-2</c:v>
                </c:pt>
                <c:pt idx="10">
                  <c:v>-2.2614873044522091E-2</c:v>
                </c:pt>
                <c:pt idx="11">
                  <c:v>-0.22059738887310687</c:v>
                </c:pt>
                <c:pt idx="12">
                  <c:v>-2.8021967254303733E-2</c:v>
                </c:pt>
                <c:pt idx="13">
                  <c:v>-0.30034570587373111</c:v>
                </c:pt>
                <c:pt idx="14">
                  <c:v>-0.24057969267239862</c:v>
                </c:pt>
                <c:pt idx="15">
                  <c:v>-0.36490952711696506</c:v>
                </c:pt>
                <c:pt idx="16">
                  <c:v>-0.29155116688154925</c:v>
                </c:pt>
                <c:pt idx="17">
                  <c:v>0.14411242567264423</c:v>
                </c:pt>
                <c:pt idx="18">
                  <c:v>-0.4615948291957167</c:v>
                </c:pt>
                <c:pt idx="19">
                  <c:v>8.2152591344683123E-3</c:v>
                </c:pt>
                <c:pt idx="20">
                  <c:v>-3.5194133111169174E-2</c:v>
                </c:pt>
                <c:pt idx="21">
                  <c:v>-0.44930117312118961</c:v>
                </c:pt>
                <c:pt idx="22">
                  <c:v>-0.27901401766321526</c:v>
                </c:pt>
                <c:pt idx="23">
                  <c:v>-0.212994132923672</c:v>
                </c:pt>
                <c:pt idx="24">
                  <c:v>-0.17264732320800663</c:v>
                </c:pt>
                <c:pt idx="25">
                  <c:v>-0.51522088268996946</c:v>
                </c:pt>
                <c:pt idx="26">
                  <c:v>-0.12529289905918492</c:v>
                </c:pt>
                <c:pt idx="27">
                  <c:v>-0.11446900681741101</c:v>
                </c:pt>
                <c:pt idx="28">
                  <c:v>-0.19407522467722824</c:v>
                </c:pt>
                <c:pt idx="29">
                  <c:v>-0.134019737327152</c:v>
                </c:pt>
                <c:pt idx="30">
                  <c:v>-0.41977542087173353</c:v>
                </c:pt>
                <c:pt idx="31">
                  <c:v>-0.18336473265321623</c:v>
                </c:pt>
                <c:pt idx="32">
                  <c:v>-0.42301346252515093</c:v>
                </c:pt>
                <c:pt idx="33">
                  <c:v>-0.27008007240943338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13-4F21-94A0-D4CCCE43B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5564416"/>
        <c:axId val="275918848"/>
      </c:scatterChart>
      <c:valAx>
        <c:axId val="275564416"/>
        <c:scaling>
          <c:orientation val="minMax"/>
          <c:max val="160"/>
          <c:min val="0"/>
        </c:scaling>
        <c:delete val="0"/>
        <c:axPos val="b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Pressure(atm)</a:t>
                </a:r>
              </a:p>
            </c:rich>
          </c:tx>
          <c:layout>
            <c:manualLayout>
              <c:xMode val="edge"/>
              <c:yMode val="edge"/>
              <c:x val="0.44167062504566351"/>
              <c:y val="0.9015784120734907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5918848"/>
        <c:crossesAt val="-0.8"/>
        <c:crossBetween val="midCat"/>
        <c:majorUnit val="20"/>
      </c:valAx>
      <c:valAx>
        <c:axId val="275918848"/>
        <c:scaling>
          <c:orientation val="minMax"/>
          <c:max val="0.8"/>
          <c:min val="-0.8"/>
        </c:scaling>
        <c:delete val="0"/>
        <c:axPos val="l"/>
        <c:majorGridlines>
          <c:spPr>
            <a:ln w="12700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ys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</a:t>
                </a:r>
                <a:r>
                  <a:rPr lang="en-US" sz="20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exp</a:t>
                </a: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-</a:t>
                </a:r>
                <a:r>
                  <a:rPr lang="en-US" sz="20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  <a:r>
                  <a:rPr lang="en-US" sz="2000" b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)/</a:t>
                </a:r>
                <a:r>
                  <a:rPr lang="en-US" sz="2000" b="1" i="1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k</a:t>
                </a:r>
                <a:r>
                  <a:rPr lang="en-US" sz="2000" b="1" baseline="-2500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</a:t>
                </a:r>
              </a:p>
            </c:rich>
          </c:tx>
          <c:layout>
            <c:manualLayout>
              <c:xMode val="edge"/>
              <c:yMode val="edge"/>
              <c:x val="1.500043129382023E-2"/>
              <c:y val="0.32622780107141403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%" sourceLinked="0"/>
        <c:majorTickMark val="in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75564416"/>
        <c:crosses val="autoZero"/>
        <c:crossBetween val="midCat"/>
      </c:valAx>
      <c:spPr>
        <a:solidFill>
          <a:schemeClr val="bg1"/>
        </a:solidFill>
        <a:ln w="25400"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5071994915996531"/>
          <c:y val="0.69113263325772012"/>
          <c:w val="0.79607461393832057"/>
          <c:h val="0.1202925375874087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73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tabSelected="1" zoomScale="173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7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7746" cy="62472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47746" cy="62472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47746" cy="62472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56"/>
  <sheetViews>
    <sheetView workbookViewId="0">
      <selection activeCell="D47" sqref="D47:D56"/>
    </sheetView>
  </sheetViews>
  <sheetFormatPr defaultColWidth="9.1796875" defaultRowHeight="14.5" x14ac:dyDescent="0.35"/>
  <cols>
    <col min="1" max="1" width="9.26953125" style="7" bestFit="1" customWidth="1"/>
    <col min="2" max="2" width="7.26953125" style="7" bestFit="1" customWidth="1"/>
    <col min="3" max="4" width="13.26953125" style="7" bestFit="1" customWidth="1"/>
    <col min="5" max="5" width="15.1796875" style="7" bestFit="1" customWidth="1"/>
    <col min="6" max="6" width="12" style="7" bestFit="1" customWidth="1"/>
    <col min="7" max="7" width="9.26953125" style="7" bestFit="1" customWidth="1"/>
    <col min="8" max="8" width="10" style="7" bestFit="1" customWidth="1"/>
    <col min="9" max="9" width="10" style="7" customWidth="1"/>
    <col min="10" max="10" width="9" style="7" bestFit="1" customWidth="1"/>
    <col min="11" max="16384" width="9.1796875" style="7"/>
  </cols>
  <sheetData>
    <row r="1" spans="1:10" x14ac:dyDescent="0.35">
      <c r="E1" s="7" t="s">
        <v>6</v>
      </c>
    </row>
    <row r="2" spans="1:10" x14ac:dyDescent="0.35">
      <c r="A2" s="7" t="s">
        <v>13</v>
      </c>
      <c r="B2" s="7" t="s">
        <v>14</v>
      </c>
      <c r="C2" s="7" t="s">
        <v>2</v>
      </c>
      <c r="D2" s="7" t="s">
        <v>15</v>
      </c>
      <c r="E2" s="7" t="s">
        <v>16</v>
      </c>
      <c r="F2" s="7" t="s">
        <v>5</v>
      </c>
      <c r="G2" s="7" t="s">
        <v>18</v>
      </c>
      <c r="I2" s="7" t="s">
        <v>22</v>
      </c>
    </row>
    <row r="3" spans="1:10" x14ac:dyDescent="0.35">
      <c r="A3" s="2">
        <v>1201</v>
      </c>
      <c r="B3" s="2">
        <v>13.1</v>
      </c>
      <c r="C3" s="4">
        <f>B3*101325/8.314/A3/1000000</f>
        <v>1.3293363500907449E-4</v>
      </c>
      <c r="D3" s="5">
        <v>2340000000000000</v>
      </c>
      <c r="E3" s="4">
        <v>12</v>
      </c>
      <c r="F3" s="2">
        <v>293251428003.23755</v>
      </c>
      <c r="G3" s="9">
        <f>D3*C3</f>
        <v>311064705921.23431</v>
      </c>
      <c r="I3" s="7">
        <v>317581880950.10803</v>
      </c>
      <c r="J3" s="7">
        <f>(F3-I3)/I3</f>
        <v>-7.6611590289978743E-2</v>
      </c>
    </row>
    <row r="4" spans="1:10" x14ac:dyDescent="0.35">
      <c r="A4" s="2">
        <v>1228</v>
      </c>
      <c r="B4" s="2">
        <v>12.6</v>
      </c>
      <c r="C4" s="4">
        <f t="shared" ref="C4:C7" si="0">B4*101325/8.314/A4/1000000</f>
        <v>1.2504858176506955E-4</v>
      </c>
      <c r="D4" s="5">
        <v>2590000000000000</v>
      </c>
      <c r="E4" s="4">
        <v>10</v>
      </c>
      <c r="F4" s="2">
        <v>301062261493.83374</v>
      </c>
      <c r="G4" s="9">
        <f t="shared" ref="G4:G7" si="1">D4*C4</f>
        <v>323875826771.53015</v>
      </c>
      <c r="I4" s="7">
        <v>291667124816.20386</v>
      </c>
      <c r="J4" s="7">
        <f t="shared" ref="J4:J7" si="2">(F4-I4)/I4</f>
        <v>3.2211846582127814E-2</v>
      </c>
    </row>
    <row r="5" spans="1:10" x14ac:dyDescent="0.35">
      <c r="A5" s="2">
        <v>1201</v>
      </c>
      <c r="B5" s="2">
        <v>12.7</v>
      </c>
      <c r="C5" s="4">
        <f t="shared" si="0"/>
        <v>1.288745927187211E-4</v>
      </c>
      <c r="D5" s="5">
        <v>2430000000000000</v>
      </c>
      <c r="E5" s="4">
        <v>10</v>
      </c>
      <c r="F5" s="2">
        <v>295211059162.78418</v>
      </c>
      <c r="G5" s="9">
        <f t="shared" si="1"/>
        <v>313165260306.49225</v>
      </c>
      <c r="I5" s="7">
        <v>308327026605.02313</v>
      </c>
      <c r="J5" s="7">
        <f t="shared" si="2"/>
        <v>-4.2539142892072612E-2</v>
      </c>
    </row>
    <row r="6" spans="1:10" x14ac:dyDescent="0.35">
      <c r="A6" s="2">
        <v>1199</v>
      </c>
      <c r="B6" s="2">
        <v>13</v>
      </c>
      <c r="C6" s="4">
        <f t="shared" si="0"/>
        <v>1.321389226006838E-4</v>
      </c>
      <c r="D6" s="5">
        <v>2420000000000000</v>
      </c>
      <c r="E6" s="4">
        <v>13</v>
      </c>
      <c r="F6" s="2">
        <v>301376172877.56378</v>
      </c>
      <c r="G6" s="9">
        <f t="shared" si="1"/>
        <v>319776192693.65479</v>
      </c>
      <c r="I6" s="7">
        <v>316404857174.62866</v>
      </c>
      <c r="J6" s="7">
        <f t="shared" si="2"/>
        <v>-4.749827303937474E-2</v>
      </c>
    </row>
    <row r="7" spans="1:10" x14ac:dyDescent="0.35">
      <c r="A7" s="2">
        <v>1225</v>
      </c>
      <c r="B7" s="2">
        <v>12.6</v>
      </c>
      <c r="C7" s="4">
        <f t="shared" si="0"/>
        <v>1.2535482318980033E-4</v>
      </c>
      <c r="D7" s="5">
        <v>2390000000000000</v>
      </c>
      <c r="E7" s="4">
        <v>10</v>
      </c>
      <c r="F7" s="2">
        <v>282562039960.9707</v>
      </c>
      <c r="G7" s="9">
        <f t="shared" si="1"/>
        <v>299598027423.6228</v>
      </c>
      <c r="I7" s="7">
        <v>293212621842.5907</v>
      </c>
      <c r="J7" s="7">
        <f t="shared" si="2"/>
        <v>-3.6323749689526293E-2</v>
      </c>
    </row>
    <row r="8" spans="1:10" x14ac:dyDescent="0.35">
      <c r="A8" s="4"/>
      <c r="B8" s="4"/>
      <c r="C8" s="4"/>
      <c r="D8" s="8"/>
      <c r="E8" s="4"/>
    </row>
    <row r="9" spans="1:10" x14ac:dyDescent="0.35">
      <c r="A9" s="4"/>
      <c r="B9" s="4"/>
      <c r="C9" s="4"/>
      <c r="D9" s="8"/>
      <c r="E9" s="4"/>
    </row>
    <row r="10" spans="1:10" x14ac:dyDescent="0.35">
      <c r="A10" s="4"/>
      <c r="B10" s="4"/>
      <c r="C10" s="4"/>
      <c r="D10" s="8"/>
      <c r="E10" s="10" t="s">
        <v>9</v>
      </c>
    </row>
    <row r="11" spans="1:10" x14ac:dyDescent="0.35">
      <c r="A11" s="7" t="s">
        <v>13</v>
      </c>
      <c r="B11" s="7" t="s">
        <v>14</v>
      </c>
      <c r="C11" s="7" t="s">
        <v>2</v>
      </c>
      <c r="D11" s="7" t="s">
        <v>15</v>
      </c>
      <c r="E11" s="7" t="s">
        <v>16</v>
      </c>
      <c r="F11" s="7" t="s">
        <v>17</v>
      </c>
      <c r="G11" s="7" t="s">
        <v>18</v>
      </c>
      <c r="H11" s="7" t="s">
        <v>5</v>
      </c>
      <c r="I11" s="7" t="s">
        <v>22</v>
      </c>
    </row>
    <row r="12" spans="1:10" x14ac:dyDescent="0.35">
      <c r="A12" s="7">
        <v>1839</v>
      </c>
      <c r="B12" s="7">
        <v>20.100000000000001</v>
      </c>
      <c r="C12" s="4">
        <f>B12*101325/8.314/A12/1000000</f>
        <v>1.3320512070875558E-4</v>
      </c>
      <c r="D12" s="9">
        <v>932000000000000</v>
      </c>
      <c r="E12" s="7">
        <v>20.27</v>
      </c>
      <c r="F12" s="7">
        <v>20.059999999999999</v>
      </c>
      <c r="G12" s="9">
        <f>D12*C12</f>
        <v>124147172500.5602</v>
      </c>
      <c r="H12" s="11">
        <v>107672360046.77567</v>
      </c>
      <c r="I12" s="11">
        <v>189795311258.08148</v>
      </c>
      <c r="J12" s="9">
        <f>(H12-I12)/I12</f>
        <v>-0.43269220228331129</v>
      </c>
    </row>
    <row r="13" spans="1:10" x14ac:dyDescent="0.35">
      <c r="A13" s="7">
        <v>1834</v>
      </c>
      <c r="B13" s="7">
        <v>20</v>
      </c>
      <c r="C13" s="4">
        <f t="shared" ref="C13:C20" si="3">B13*101325/8.314/A13/1000000</f>
        <v>1.3290375656255338E-4</v>
      </c>
      <c r="D13" s="9">
        <v>975000000000000</v>
      </c>
      <c r="E13" s="7">
        <v>23.85</v>
      </c>
      <c r="F13" s="7">
        <v>15.25</v>
      </c>
      <c r="G13" s="9">
        <f t="shared" ref="G13:G20" si="4">D13*C13</f>
        <v>129581162648.48955</v>
      </c>
      <c r="H13" s="11">
        <v>112272144763.0733</v>
      </c>
      <c r="I13" s="11">
        <v>190012045862.8046</v>
      </c>
      <c r="J13" s="9">
        <f t="shared" ref="J13:J20" si="5">(H13-I13)/I13</f>
        <v>-0.40913143557152287</v>
      </c>
    </row>
    <row r="14" spans="1:10" x14ac:dyDescent="0.35">
      <c r="A14" s="7">
        <v>1908</v>
      </c>
      <c r="B14" s="7">
        <v>18.84</v>
      </c>
      <c r="C14" s="4">
        <f t="shared" si="3"/>
        <v>1.2033975426763678E-4</v>
      </c>
      <c r="D14" s="9">
        <v>942000000000000</v>
      </c>
      <c r="E14" s="7">
        <v>11.24</v>
      </c>
      <c r="F14" s="7">
        <v>18.22</v>
      </c>
      <c r="G14" s="9">
        <f t="shared" si="4"/>
        <v>113360048520.11385</v>
      </c>
      <c r="H14" s="11">
        <v>98534171387.795715</v>
      </c>
      <c r="I14" s="11">
        <v>164469064877.97556</v>
      </c>
      <c r="J14" s="9">
        <f t="shared" si="5"/>
        <v>-0.40089541178518212</v>
      </c>
    </row>
    <row r="15" spans="1:10" x14ac:dyDescent="0.35">
      <c r="A15" s="7">
        <v>1812</v>
      </c>
      <c r="B15" s="7">
        <v>20.97</v>
      </c>
      <c r="C15" s="4">
        <f t="shared" si="3"/>
        <v>1.4104147118002507E-4</v>
      </c>
      <c r="D15" s="9">
        <v>915000000000000</v>
      </c>
      <c r="E15" s="7">
        <v>21.64</v>
      </c>
      <c r="F15" s="7">
        <v>32.99</v>
      </c>
      <c r="G15" s="9">
        <f t="shared" si="4"/>
        <v>129052946129.72295</v>
      </c>
      <c r="H15" s="11">
        <v>111819305401.657</v>
      </c>
      <c r="I15" s="11">
        <v>204210828885.70294</v>
      </c>
      <c r="J15" s="9">
        <f t="shared" si="5"/>
        <v>-0.45243204774296075</v>
      </c>
    </row>
    <row r="16" spans="1:10" x14ac:dyDescent="0.35">
      <c r="A16" s="7">
        <v>1761</v>
      </c>
      <c r="B16" s="7">
        <v>21.68</v>
      </c>
      <c r="C16" s="4">
        <f t="shared" si="3"/>
        <v>1.5003981297940011E-4</v>
      </c>
      <c r="D16" s="9">
        <v>938000000000000</v>
      </c>
      <c r="E16" s="7">
        <v>12.29</v>
      </c>
      <c r="F16" s="7">
        <v>23.26</v>
      </c>
      <c r="G16" s="9">
        <f t="shared" si="4"/>
        <v>140737344574.67731</v>
      </c>
      <c r="H16" s="11">
        <v>121676588031.30991</v>
      </c>
      <c r="I16" s="11">
        <v>224423310448.88614</v>
      </c>
      <c r="J16" s="9">
        <f t="shared" si="5"/>
        <v>-0.45782553609099114</v>
      </c>
    </row>
    <row r="17" spans="1:11" x14ac:dyDescent="0.35">
      <c r="A17" s="7">
        <v>1702</v>
      </c>
      <c r="B17" s="7">
        <v>9.35</v>
      </c>
      <c r="C17" s="4">
        <f t="shared" si="3"/>
        <v>6.6951243453554913E-5</v>
      </c>
      <c r="D17" s="9">
        <v>992000000000000</v>
      </c>
      <c r="E17" s="7">
        <v>18.46</v>
      </c>
      <c r="F17" s="7">
        <v>28.18</v>
      </c>
      <c r="G17" s="9">
        <f t="shared" si="4"/>
        <v>66415633505.926476</v>
      </c>
      <c r="H17" s="11">
        <v>58347643165.535408</v>
      </c>
      <c r="I17" s="11">
        <v>107220813512.02951</v>
      </c>
      <c r="J17" s="9">
        <f t="shared" si="5"/>
        <v>-0.45581794005891252</v>
      </c>
    </row>
    <row r="18" spans="1:11" x14ac:dyDescent="0.35">
      <c r="A18" s="7">
        <v>1650</v>
      </c>
      <c r="B18" s="7">
        <v>9.94</v>
      </c>
      <c r="C18" s="4">
        <f t="shared" si="3"/>
        <v>7.3419095938941981E-5</v>
      </c>
      <c r="D18" s="9">
        <v>1150000000000000</v>
      </c>
      <c r="E18" s="7">
        <v>17.61</v>
      </c>
      <c r="F18" s="7">
        <v>22.63</v>
      </c>
      <c r="G18" s="9">
        <f t="shared" si="4"/>
        <v>84431960329.783279</v>
      </c>
      <c r="H18" s="11">
        <v>73813488676.752884</v>
      </c>
      <c r="I18" s="11">
        <v>121827475328.11163</v>
      </c>
      <c r="J18" s="9">
        <f t="shared" si="5"/>
        <v>-0.39411459953549199</v>
      </c>
    </row>
    <row r="19" spans="1:11" x14ac:dyDescent="0.35">
      <c r="A19" s="7">
        <v>1554</v>
      </c>
      <c r="B19" s="7">
        <v>10.61</v>
      </c>
      <c r="C19" s="4">
        <f t="shared" si="3"/>
        <v>8.3209126253990331E-5</v>
      </c>
      <c r="D19" s="9">
        <v>1250000000000000</v>
      </c>
      <c r="E19" s="7">
        <v>16.809999999999999</v>
      </c>
      <c r="F19" s="7">
        <v>25.73</v>
      </c>
      <c r="G19" s="9">
        <f t="shared" si="4"/>
        <v>104011407817.48792</v>
      </c>
      <c r="H19" s="11">
        <v>90501535854.346832</v>
      </c>
      <c r="I19" s="11">
        <v>148037092214.93964</v>
      </c>
      <c r="J19" s="9">
        <f t="shared" si="5"/>
        <v>-0.38865635294332279</v>
      </c>
    </row>
    <row r="20" spans="1:11" x14ac:dyDescent="0.35">
      <c r="A20" s="7">
        <v>1552</v>
      </c>
      <c r="B20" s="7">
        <v>11.55</v>
      </c>
      <c r="C20" s="4">
        <f t="shared" si="3"/>
        <v>9.06978222982474E-5</v>
      </c>
      <c r="D20" s="9">
        <v>1400000000000000</v>
      </c>
      <c r="E20" s="7">
        <v>19.399999999999999</v>
      </c>
      <c r="F20" s="7">
        <v>25.38</v>
      </c>
      <c r="G20" s="9">
        <f t="shared" si="4"/>
        <v>126976951217.54636</v>
      </c>
      <c r="H20" s="11">
        <v>109979733218.82097</v>
      </c>
      <c r="I20" s="11">
        <v>161151073215.19461</v>
      </c>
      <c r="J20" s="9">
        <f t="shared" si="5"/>
        <v>-0.3175364518239448</v>
      </c>
    </row>
    <row r="22" spans="1:11" ht="15" thickBot="1" x14ac:dyDescent="0.4">
      <c r="E22" s="7" t="s">
        <v>0</v>
      </c>
    </row>
    <row r="23" spans="1:11" ht="17.5" thickTop="1" thickBot="1" x14ac:dyDescent="0.4">
      <c r="A23" s="12" t="s">
        <v>12</v>
      </c>
      <c r="B23" s="12" t="s">
        <v>14</v>
      </c>
      <c r="C23" s="12"/>
      <c r="D23" s="12" t="s">
        <v>19</v>
      </c>
      <c r="I23" s="7" t="s">
        <v>22</v>
      </c>
      <c r="J23" s="12" t="s">
        <v>21</v>
      </c>
    </row>
    <row r="24" spans="1:11" x14ac:dyDescent="0.35">
      <c r="A24" s="13">
        <v>1278</v>
      </c>
      <c r="B24" s="13">
        <v>48.6</v>
      </c>
      <c r="C24" s="4">
        <f>B24*101325/8.314/A24/1000000</f>
        <v>4.6345973362426181E-4</v>
      </c>
      <c r="D24" s="14">
        <v>1160000000000</v>
      </c>
      <c r="I24" s="7">
        <v>954649585052.73486</v>
      </c>
      <c r="J24" s="14">
        <v>1040000000000</v>
      </c>
      <c r="K24" s="7">
        <f>(J24-I24)/I24</f>
        <v>8.9404967313268538E-2</v>
      </c>
    </row>
    <row r="25" spans="1:11" x14ac:dyDescent="0.35">
      <c r="A25" s="13">
        <v>1289</v>
      </c>
      <c r="B25" s="13">
        <v>54.5</v>
      </c>
      <c r="C25" s="4">
        <f t="shared" ref="C25:C32" si="6">B25*101325/8.314/A25/1000000</f>
        <v>5.1528817609375083E-4</v>
      </c>
      <c r="D25" s="14">
        <v>1290000000000</v>
      </c>
      <c r="I25" s="7">
        <v>1042304905293.5817</v>
      </c>
      <c r="J25" s="14">
        <v>1100000000000</v>
      </c>
      <c r="K25" s="7">
        <f t="shared" ref="K25:K32" si="7">(J25-I25)/I25</f>
        <v>5.5353375402342177E-2</v>
      </c>
    </row>
    <row r="26" spans="1:11" x14ac:dyDescent="0.35">
      <c r="A26" s="13">
        <v>1298</v>
      </c>
      <c r="B26" s="13">
        <v>55.6</v>
      </c>
      <c r="C26" s="4">
        <f t="shared" si="6"/>
        <v>5.2204349838929861E-4</v>
      </c>
      <c r="D26" s="14">
        <v>1310000000000</v>
      </c>
      <c r="I26" s="7">
        <v>1046520866311.9143</v>
      </c>
      <c r="J26" s="14">
        <v>1130000000000</v>
      </c>
      <c r="K26" s="7">
        <f t="shared" si="7"/>
        <v>7.9768245789764158E-2</v>
      </c>
    </row>
    <row r="27" spans="1:11" x14ac:dyDescent="0.35">
      <c r="A27" s="13">
        <v>1304</v>
      </c>
      <c r="B27" s="13">
        <v>48.8</v>
      </c>
      <c r="C27" s="4">
        <f t="shared" si="6"/>
        <v>4.560881859410765E-4</v>
      </c>
      <c r="D27" s="14">
        <v>1230000000000</v>
      </c>
      <c r="I27" s="7">
        <v>919097672456.70557</v>
      </c>
      <c r="J27" s="14">
        <v>1100000000000</v>
      </c>
      <c r="K27" s="7">
        <f t="shared" si="7"/>
        <v>0.19682600986220636</v>
      </c>
    </row>
    <row r="28" spans="1:11" x14ac:dyDescent="0.35">
      <c r="A28" s="13">
        <v>1323</v>
      </c>
      <c r="B28" s="13">
        <v>50.8</v>
      </c>
      <c r="C28" s="4">
        <f t="shared" si="6"/>
        <v>4.6796186199602125E-4</v>
      </c>
      <c r="D28" s="14">
        <v>1260000000000</v>
      </c>
      <c r="I28" s="7">
        <v>925670380934.21667</v>
      </c>
      <c r="J28" s="14">
        <v>1130000000000</v>
      </c>
      <c r="K28" s="7">
        <f t="shared" si="7"/>
        <v>0.22073690945967961</v>
      </c>
    </row>
    <row r="29" spans="1:11" x14ac:dyDescent="0.35">
      <c r="A29" s="13">
        <v>1328</v>
      </c>
      <c r="B29" s="13">
        <v>52.7</v>
      </c>
      <c r="C29" s="4">
        <f t="shared" si="6"/>
        <v>4.8363656997487184E-4</v>
      </c>
      <c r="D29" s="14">
        <v>1310000000000</v>
      </c>
      <c r="I29" s="7">
        <v>950165636788.97046</v>
      </c>
      <c r="J29" s="14">
        <v>1210000000000</v>
      </c>
      <c r="K29" s="7">
        <f t="shared" si="7"/>
        <v>0.27346217664651046</v>
      </c>
    </row>
    <row r="30" spans="1:11" x14ac:dyDescent="0.35">
      <c r="A30" s="13">
        <v>1347</v>
      </c>
      <c r="B30" s="13">
        <v>55.7</v>
      </c>
      <c r="C30" s="4">
        <f t="shared" si="6"/>
        <v>5.0395782357608632E-4</v>
      </c>
      <c r="D30" s="14">
        <v>1260000000000</v>
      </c>
      <c r="I30" s="7">
        <v>971012592021.42896</v>
      </c>
      <c r="J30" s="14">
        <v>1210000000000</v>
      </c>
      <c r="K30" s="7">
        <f t="shared" si="7"/>
        <v>0.24612184223178118</v>
      </c>
    </row>
    <row r="31" spans="1:11" x14ac:dyDescent="0.35">
      <c r="A31" s="13">
        <v>1350</v>
      </c>
      <c r="B31" s="13">
        <v>57.2</v>
      </c>
      <c r="C31" s="4">
        <f t="shared" si="6"/>
        <v>5.1637933338679069E-4</v>
      </c>
      <c r="D31" s="14">
        <v>1390000000000</v>
      </c>
      <c r="I31" s="7">
        <v>990549853045.53064</v>
      </c>
      <c r="J31" s="14">
        <v>1300000000000</v>
      </c>
      <c r="K31" s="7">
        <f t="shared" si="7"/>
        <v>0.31240239550088095</v>
      </c>
    </row>
    <row r="32" spans="1:11" ht="15" thickBot="1" x14ac:dyDescent="0.4">
      <c r="A32" s="15">
        <v>1375</v>
      </c>
      <c r="B32" s="15">
        <v>52.7</v>
      </c>
      <c r="C32" s="4">
        <f t="shared" si="6"/>
        <v>4.6710499267391261E-4</v>
      </c>
      <c r="D32" s="16">
        <v>1170000000000</v>
      </c>
      <c r="I32" s="7">
        <v>871457500059.76526</v>
      </c>
      <c r="J32" s="16">
        <v>1010000000000</v>
      </c>
      <c r="K32" s="7">
        <f t="shared" si="7"/>
        <v>0.15897791909615028</v>
      </c>
    </row>
    <row r="33" spans="1:11" ht="15" thickTop="1" x14ac:dyDescent="0.35"/>
    <row r="34" spans="1:11" ht="15" thickBot="1" x14ac:dyDescent="0.4">
      <c r="E34" s="7" t="s">
        <v>1</v>
      </c>
    </row>
    <row r="35" spans="1:11" ht="17.5" thickTop="1" thickBot="1" x14ac:dyDescent="0.4">
      <c r="A35" s="12" t="s">
        <v>12</v>
      </c>
      <c r="B35" s="12" t="s">
        <v>14</v>
      </c>
      <c r="C35" s="12"/>
      <c r="D35" s="12" t="s">
        <v>20</v>
      </c>
      <c r="J35" s="12" t="s">
        <v>21</v>
      </c>
    </row>
    <row r="36" spans="1:11" x14ac:dyDescent="0.35">
      <c r="A36" s="17">
        <v>1119</v>
      </c>
      <c r="B36" s="17">
        <v>8.1</v>
      </c>
      <c r="C36" s="4">
        <f>B36*101325/8.314/A36/1000000</f>
        <v>8.8218876909712041E-5</v>
      </c>
      <c r="D36" s="18">
        <v>220000000000</v>
      </c>
      <c r="I36" s="7">
        <v>233721062593.08524</v>
      </c>
      <c r="J36" s="9">
        <v>218000000000</v>
      </c>
      <c r="K36" s="7">
        <f>(J36-I36)/I36</f>
        <v>-6.7264209817734899E-2</v>
      </c>
    </row>
    <row r="37" spans="1:11" x14ac:dyDescent="0.35">
      <c r="A37" s="17">
        <v>1136</v>
      </c>
      <c r="B37" s="17">
        <v>7.3</v>
      </c>
      <c r="C37" s="4">
        <f t="shared" ref="C37:C43" si="8">B37*101325/8.314/A37/1000000</f>
        <v>7.8316112394840532E-5</v>
      </c>
      <c r="D37" s="18">
        <v>191000000000</v>
      </c>
      <c r="I37" s="7">
        <v>204708729995.29529</v>
      </c>
      <c r="J37" s="9">
        <v>190000000000</v>
      </c>
      <c r="K37" s="7">
        <f t="shared" ref="K37:K43" si="9">(J37-I37)/I37</f>
        <v>-7.1851991830701747E-2</v>
      </c>
    </row>
    <row r="38" spans="1:11" x14ac:dyDescent="0.35">
      <c r="A38" s="17">
        <v>1192</v>
      </c>
      <c r="B38" s="17">
        <v>21.7</v>
      </c>
      <c r="C38" s="4">
        <f t="shared" si="8"/>
        <v>2.2186565112941215E-4</v>
      </c>
      <c r="D38" s="18">
        <v>489000000000</v>
      </c>
      <c r="I38" s="7">
        <v>520745832090.15387</v>
      </c>
      <c r="J38" s="9">
        <v>527000000000</v>
      </c>
      <c r="K38" s="7">
        <f t="shared" si="9"/>
        <v>1.2010020098947966E-2</v>
      </c>
    </row>
    <row r="39" spans="1:11" x14ac:dyDescent="0.35">
      <c r="A39" s="17">
        <v>1180</v>
      </c>
      <c r="B39" s="17">
        <v>20.9</v>
      </c>
      <c r="C39" s="4">
        <f t="shared" si="8"/>
        <v>2.1585935302104273E-4</v>
      </c>
      <c r="D39" s="18">
        <v>485000000000</v>
      </c>
      <c r="I39" s="7">
        <v>513560752594.18762</v>
      </c>
      <c r="J39" s="9">
        <v>519000000000</v>
      </c>
      <c r="K39" s="7">
        <f t="shared" si="9"/>
        <v>1.0591244323746904E-2</v>
      </c>
    </row>
    <row r="40" spans="1:11" x14ac:dyDescent="0.35">
      <c r="A40" s="17">
        <v>1222</v>
      </c>
      <c r="B40" s="17">
        <v>22.6</v>
      </c>
      <c r="C40" s="4">
        <f t="shared" si="8"/>
        <v>2.2539476528262429E-4</v>
      </c>
      <c r="D40" s="18">
        <v>479000000000</v>
      </c>
      <c r="I40" s="7">
        <v>513240417752.89948</v>
      </c>
      <c r="J40" s="9">
        <v>526000000000</v>
      </c>
      <c r="K40" s="7">
        <f t="shared" si="9"/>
        <v>2.4860828971664597E-2</v>
      </c>
    </row>
    <row r="41" spans="1:11" x14ac:dyDescent="0.35">
      <c r="A41" s="17">
        <v>1189</v>
      </c>
      <c r="B41" s="17">
        <v>31.3</v>
      </c>
      <c r="C41" s="4">
        <f t="shared" si="8"/>
        <v>3.2082564434264619E-4</v>
      </c>
      <c r="D41" s="18">
        <v>722000000000</v>
      </c>
      <c r="I41" s="7">
        <v>737823248227.99744</v>
      </c>
      <c r="J41" s="9">
        <v>772000000000</v>
      </c>
      <c r="K41" s="7">
        <f t="shared" si="9"/>
        <v>4.6321055691974457E-2</v>
      </c>
    </row>
    <row r="42" spans="1:11" x14ac:dyDescent="0.35">
      <c r="A42" s="17">
        <v>1200</v>
      </c>
      <c r="B42" s="17">
        <v>33</v>
      </c>
      <c r="C42" s="4">
        <f t="shared" si="8"/>
        <v>3.3515004811161895E-4</v>
      </c>
      <c r="D42" s="18">
        <v>746000000000</v>
      </c>
      <c r="I42" s="7">
        <v>760259802377.44495</v>
      </c>
      <c r="J42" s="9">
        <v>796000000000</v>
      </c>
      <c r="K42" s="7">
        <f t="shared" si="9"/>
        <v>4.7010505501922061E-2</v>
      </c>
    </row>
    <row r="43" spans="1:11" ht="15" thickBot="1" x14ac:dyDescent="0.4">
      <c r="A43" s="19">
        <v>1195</v>
      </c>
      <c r="B43" s="19">
        <v>32.700000000000003</v>
      </c>
      <c r="C43" s="4">
        <f t="shared" si="8"/>
        <v>3.3349278275389703E-4</v>
      </c>
      <c r="D43" s="20">
        <v>765000000000</v>
      </c>
      <c r="I43" s="7">
        <v>766925524103.41003</v>
      </c>
      <c r="J43" s="9">
        <v>818000000000</v>
      </c>
      <c r="K43" s="7">
        <f t="shared" si="9"/>
        <v>6.6596395988123655E-2</v>
      </c>
    </row>
    <row r="44" spans="1:11" ht="15" thickTop="1" x14ac:dyDescent="0.35"/>
    <row r="45" spans="1:11" x14ac:dyDescent="0.35">
      <c r="E45" s="3" t="s">
        <v>23</v>
      </c>
    </row>
    <row r="47" spans="1:11" x14ac:dyDescent="0.35">
      <c r="A47">
        <v>1306</v>
      </c>
      <c r="B47">
        <v>2.5</v>
      </c>
      <c r="C47" s="4">
        <f>B47*101325/8.314/A47/1000000</f>
        <v>2.3329392183740703E-5</v>
      </c>
      <c r="D47" s="7">
        <v>58323480459.351753</v>
      </c>
      <c r="I47" s="7">
        <v>53532646476.051254</v>
      </c>
      <c r="K47" s="7">
        <f>(D47-I47)/I47</f>
        <v>8.9493688406452318E-2</v>
      </c>
    </row>
    <row r="48" spans="1:11" x14ac:dyDescent="0.35">
      <c r="A48">
        <v>1325</v>
      </c>
      <c r="B48">
        <v>2.5</v>
      </c>
      <c r="C48" s="4">
        <f t="shared" ref="C48:C56" si="10">B48*101325/8.314/A48/1000000</f>
        <v>2.2994857503370086E-5</v>
      </c>
      <c r="D48" s="7">
        <v>44610023556.537956</v>
      </c>
      <c r="I48" s="7">
        <v>51848349205.881645</v>
      </c>
      <c r="K48" s="7">
        <f t="shared" ref="K48:K56" si="11">(D48-I48)/I48</f>
        <v>-0.13960571088968399</v>
      </c>
    </row>
    <row r="49" spans="1:11" x14ac:dyDescent="0.35">
      <c r="A49">
        <v>1327</v>
      </c>
      <c r="B49">
        <v>2.5</v>
      </c>
      <c r="C49" s="4">
        <f t="shared" si="10"/>
        <v>2.2960200596808861E-5</v>
      </c>
      <c r="D49" s="7">
        <v>53267665384.59655</v>
      </c>
      <c r="I49" s="7">
        <v>51675513040.246933</v>
      </c>
      <c r="K49" s="7">
        <f t="shared" si="11"/>
        <v>3.0810576435101589E-2</v>
      </c>
    </row>
    <row r="50" spans="1:11" x14ac:dyDescent="0.35">
      <c r="A50">
        <v>1334</v>
      </c>
      <c r="B50">
        <v>2.5</v>
      </c>
      <c r="C50" s="4">
        <f t="shared" si="10"/>
        <v>2.283971978408198E-5</v>
      </c>
      <c r="D50" s="7">
        <v>47278219953.04969</v>
      </c>
      <c r="I50" s="7">
        <v>51077079707.24646</v>
      </c>
      <c r="K50" s="7">
        <f t="shared" si="11"/>
        <v>-7.4375038196590831E-2</v>
      </c>
    </row>
    <row r="51" spans="1:11" x14ac:dyDescent="0.35">
      <c r="A51">
        <v>1467</v>
      </c>
      <c r="B51">
        <v>2.5</v>
      </c>
      <c r="C51" s="4">
        <f t="shared" si="10"/>
        <v>2.0769043075641009E-5</v>
      </c>
      <c r="D51" s="7">
        <v>41953467012.794838</v>
      </c>
      <c r="I51" s="7">
        <v>41375030300.110466</v>
      </c>
      <c r="K51" s="7">
        <f t="shared" si="11"/>
        <v>1.3980333270785003E-2</v>
      </c>
    </row>
    <row r="52" spans="1:11" x14ac:dyDescent="0.35">
      <c r="A52">
        <v>1492</v>
      </c>
      <c r="B52">
        <v>2.5</v>
      </c>
      <c r="C52" s="4">
        <f t="shared" si="10"/>
        <v>2.0421036321692602E-5</v>
      </c>
      <c r="D52" s="7">
        <v>40637862280.168274</v>
      </c>
      <c r="I52" s="7">
        <v>39852089714.531143</v>
      </c>
      <c r="K52" s="7">
        <f t="shared" si="11"/>
        <v>1.9717223645379301E-2</v>
      </c>
    </row>
    <row r="53" spans="1:11" x14ac:dyDescent="0.35">
      <c r="A53">
        <v>1497</v>
      </c>
      <c r="B53">
        <v>2.5</v>
      </c>
      <c r="C53" s="4">
        <f t="shared" si="10"/>
        <v>2.0352829787552012E-5</v>
      </c>
      <c r="D53" s="7">
        <v>37652735106.971222</v>
      </c>
      <c r="I53" s="7">
        <v>39557216328.076935</v>
      </c>
      <c r="K53" s="7">
        <f t="shared" si="11"/>
        <v>-4.8144975756394405E-2</v>
      </c>
    </row>
    <row r="54" spans="1:11" x14ac:dyDescent="0.35">
      <c r="A54">
        <v>1594</v>
      </c>
      <c r="B54">
        <v>2.5</v>
      </c>
      <c r="C54" s="4">
        <f t="shared" si="10"/>
        <v>1.9114294976138872E-5</v>
      </c>
      <c r="D54" s="7">
        <v>35552588655.618294</v>
      </c>
      <c r="I54" s="7">
        <v>34407789034.968666</v>
      </c>
      <c r="K54" s="7">
        <f t="shared" si="11"/>
        <v>3.3271525220239143E-2</v>
      </c>
    </row>
    <row r="55" spans="1:11" x14ac:dyDescent="0.35">
      <c r="A55">
        <v>1603</v>
      </c>
      <c r="B55">
        <v>2.5</v>
      </c>
      <c r="C55" s="4">
        <f t="shared" si="10"/>
        <v>1.9006978285692676E-5</v>
      </c>
      <c r="D55" s="7">
        <v>33452281782.819111</v>
      </c>
      <c r="I55" s="7">
        <v>33979837730.879093</v>
      </c>
      <c r="K55" s="7">
        <f t="shared" si="11"/>
        <v>-1.5525558192426774E-2</v>
      </c>
    </row>
    <row r="56" spans="1:11" x14ac:dyDescent="0.35">
      <c r="A56">
        <v>1612</v>
      </c>
      <c r="B56">
        <v>2.5</v>
      </c>
      <c r="C56" s="4">
        <f t="shared" si="10"/>
        <v>1.8900859920574047E-5</v>
      </c>
      <c r="D56" s="7">
        <v>35911633849.090683</v>
      </c>
      <c r="I56" s="7">
        <v>33559514372.976135</v>
      </c>
      <c r="K56" s="7">
        <f t="shared" si="11"/>
        <v>7.0088006935183675E-2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Q79"/>
  <sheetViews>
    <sheetView workbookViewId="0">
      <selection activeCell="Q40" sqref="Q40"/>
    </sheetView>
  </sheetViews>
  <sheetFormatPr defaultRowHeight="14.5" x14ac:dyDescent="0.35"/>
  <cols>
    <col min="1" max="1" width="8.81640625" bestFit="1" customWidth="1"/>
    <col min="2" max="2" width="13.81640625" bestFit="1" customWidth="1"/>
    <col min="3" max="3" width="14.08984375" bestFit="1" customWidth="1"/>
    <col min="4" max="4" width="8.36328125" bestFit="1" customWidth="1"/>
    <col min="5" max="5" width="8.90625" bestFit="1" customWidth="1"/>
    <col min="6" max="6" width="13.81640625" bestFit="1" customWidth="1"/>
    <col min="7" max="7" width="12.1796875" bestFit="1" customWidth="1"/>
    <col min="8" max="9" width="8.81640625" bestFit="1" customWidth="1"/>
    <col min="10" max="10" width="14.26953125" bestFit="1" customWidth="1"/>
    <col min="11" max="11" width="15.36328125" bestFit="1" customWidth="1"/>
    <col min="12" max="12" width="14.90625" bestFit="1" customWidth="1"/>
    <col min="13" max="13" width="19.08984375" bestFit="1" customWidth="1"/>
    <col min="14" max="14" width="35.54296875" bestFit="1" customWidth="1"/>
    <col min="15" max="15" width="13.90625" bestFit="1" customWidth="1"/>
    <col min="16" max="16" width="36" bestFit="1" customWidth="1"/>
    <col min="17" max="17" width="19" bestFit="1" customWidth="1"/>
  </cols>
  <sheetData>
    <row r="1" spans="1:17" x14ac:dyDescent="0.35">
      <c r="A1" s="26"/>
      <c r="B1" s="26"/>
      <c r="C1" s="26"/>
      <c r="D1" s="26"/>
      <c r="E1" s="26"/>
      <c r="F1" s="26" t="s">
        <v>6</v>
      </c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</row>
    <row r="2" spans="1:17" ht="17" x14ac:dyDescent="0.45">
      <c r="A2" s="35" t="s">
        <v>3</v>
      </c>
      <c r="B2" s="26" t="s">
        <v>4</v>
      </c>
      <c r="C2" s="27" t="s">
        <v>39</v>
      </c>
      <c r="D2" s="26" t="s">
        <v>2</v>
      </c>
      <c r="E2" s="26" t="s">
        <v>38</v>
      </c>
      <c r="F2" s="26" t="s">
        <v>35</v>
      </c>
      <c r="G2" s="26" t="s">
        <v>36</v>
      </c>
      <c r="H2" s="28" t="s">
        <v>7</v>
      </c>
      <c r="I2" s="28" t="s">
        <v>8</v>
      </c>
      <c r="J2" s="26" t="s">
        <v>6</v>
      </c>
      <c r="K2" s="26" t="s">
        <v>40</v>
      </c>
      <c r="L2" s="26" t="s">
        <v>41</v>
      </c>
      <c r="M2" s="26"/>
      <c r="N2" s="26"/>
      <c r="O2" s="26" t="s">
        <v>37</v>
      </c>
      <c r="P2" s="26" t="s">
        <v>42</v>
      </c>
      <c r="Q2" s="26"/>
    </row>
    <row r="3" spans="1:17" x14ac:dyDescent="0.35">
      <c r="A3" s="40">
        <v>1249</v>
      </c>
      <c r="B3" s="41">
        <v>32.5</v>
      </c>
      <c r="C3" s="37">
        <v>1710000000000000</v>
      </c>
      <c r="D3" s="37">
        <f t="shared" ref="D3:D13" si="0">B3*101325/8.314/A3/1000000</f>
        <v>3.1712283466417109E-4</v>
      </c>
      <c r="E3" s="36">
        <f t="shared" ref="E3:E13" si="1">C3*D3</f>
        <v>542280047275.73254</v>
      </c>
      <c r="F3" s="36">
        <v>488341145704.54272</v>
      </c>
      <c r="G3" s="27">
        <v>439468636763.75458</v>
      </c>
      <c r="H3" s="33">
        <v>0.09</v>
      </c>
      <c r="I3" s="33">
        <v>0.09</v>
      </c>
      <c r="J3" s="27">
        <f>(F3-G3)/G3</f>
        <v>0.11120818382100056</v>
      </c>
      <c r="K3" s="32">
        <f>(F3/G3)*H3</f>
        <v>0.10000873654389004</v>
      </c>
      <c r="L3" s="32">
        <f>(F3/G3)*I3</f>
        <v>0.10000873654389004</v>
      </c>
      <c r="M3" s="26"/>
      <c r="N3" s="26"/>
      <c r="O3" s="36">
        <v>447952431411.35583</v>
      </c>
      <c r="P3" s="27">
        <f>(F3-O3)/O3</f>
        <v>9.0162953610799429E-2</v>
      </c>
      <c r="Q3" s="26"/>
    </row>
    <row r="4" spans="1:17" x14ac:dyDescent="0.35">
      <c r="A4" s="40">
        <v>1240</v>
      </c>
      <c r="B4" s="41">
        <v>32.4</v>
      </c>
      <c r="C4" s="37">
        <v>1720000000000000</v>
      </c>
      <c r="D4" s="37">
        <f t="shared" si="0"/>
        <v>3.1844168794183152E-4</v>
      </c>
      <c r="E4" s="36">
        <f t="shared" si="1"/>
        <v>547719703259.9502</v>
      </c>
      <c r="F4" s="36">
        <v>493041465837.65759</v>
      </c>
      <c r="G4" s="27">
        <v>444727797023.01007</v>
      </c>
      <c r="H4" s="33">
        <v>0.09</v>
      </c>
      <c r="I4" s="33">
        <v>0.09</v>
      </c>
      <c r="J4" s="27">
        <f t="shared" ref="J4:J13" si="2">(F4-G4)/G4</f>
        <v>0.10863649436364732</v>
      </c>
      <c r="K4" s="32">
        <f t="shared" ref="K4:K13" si="3">(F4/G4)*H4</f>
        <v>9.9777284492728255E-2</v>
      </c>
      <c r="L4" s="32">
        <f t="shared" ref="L4:L13" si="4">(F4/G4)*I4</f>
        <v>9.9777284492728255E-2</v>
      </c>
      <c r="M4" s="26"/>
      <c r="N4" s="26"/>
      <c r="O4" s="36">
        <v>453347478720.00861</v>
      </c>
      <c r="P4" s="27">
        <f t="shared" ref="P3:P13" si="5">(F4-O4)/O4</f>
        <v>8.7557533637822094E-2</v>
      </c>
      <c r="Q4" s="26"/>
    </row>
    <row r="5" spans="1:17" x14ac:dyDescent="0.35">
      <c r="A5" s="40">
        <v>1255</v>
      </c>
      <c r="B5" s="41">
        <v>31</v>
      </c>
      <c r="C5" s="37">
        <v>1690000000000000</v>
      </c>
      <c r="D5" s="37">
        <f t="shared" si="0"/>
        <v>3.0104024604013583E-4</v>
      </c>
      <c r="E5" s="36">
        <f t="shared" si="1"/>
        <v>508758015807.82953</v>
      </c>
      <c r="F5" s="36">
        <v>459173604316.15625</v>
      </c>
      <c r="G5" s="27">
        <v>416133249897.96539</v>
      </c>
      <c r="H5" s="33">
        <v>0.09</v>
      </c>
      <c r="I5" s="33">
        <v>0.09</v>
      </c>
      <c r="J5" s="27">
        <f t="shared" si="2"/>
        <v>0.10342926076862212</v>
      </c>
      <c r="K5" s="32">
        <f t="shared" si="3"/>
        <v>9.9308633469175983E-2</v>
      </c>
      <c r="L5" s="32">
        <f t="shared" si="4"/>
        <v>9.9308633469175983E-2</v>
      </c>
      <c r="M5" s="26"/>
      <c r="N5" s="26"/>
      <c r="O5" s="36">
        <v>424065501316.76105</v>
      </c>
      <c r="P5" s="27">
        <f t="shared" si="5"/>
        <v>8.2789340067469352E-2</v>
      </c>
      <c r="Q5" s="26"/>
    </row>
    <row r="6" spans="1:17" x14ac:dyDescent="0.35">
      <c r="A6" s="40">
        <v>1262</v>
      </c>
      <c r="B6" s="41">
        <v>31.5</v>
      </c>
      <c r="C6" s="37">
        <v>1640000000000000</v>
      </c>
      <c r="D6" s="37">
        <f t="shared" si="0"/>
        <v>3.0419900635401232E-4</v>
      </c>
      <c r="E6" s="36">
        <f t="shared" si="1"/>
        <v>498886370420.5802</v>
      </c>
      <c r="F6" s="36">
        <v>450575759424.74725</v>
      </c>
      <c r="G6" s="27">
        <v>417692014854.46539</v>
      </c>
      <c r="H6" s="33">
        <v>0.1</v>
      </c>
      <c r="I6" s="33">
        <v>0.1</v>
      </c>
      <c r="J6" s="27">
        <f t="shared" si="2"/>
        <v>7.8727252139927553E-2</v>
      </c>
      <c r="K6" s="32">
        <f t="shared" si="3"/>
        <v>0.10787272521399277</v>
      </c>
      <c r="L6" s="32">
        <f t="shared" si="4"/>
        <v>0.10787272521399277</v>
      </c>
      <c r="M6" s="26"/>
      <c r="N6" s="26"/>
      <c r="O6" s="36">
        <v>425650897678.74268</v>
      </c>
      <c r="P6" s="27">
        <f t="shared" si="5"/>
        <v>5.8557051992443959E-2</v>
      </c>
      <c r="Q6" s="26"/>
    </row>
    <row r="7" spans="1:17" x14ac:dyDescent="0.35">
      <c r="A7" s="40">
        <v>1184</v>
      </c>
      <c r="B7" s="41">
        <v>16.8</v>
      </c>
      <c r="C7" s="37">
        <v>1780000000000000</v>
      </c>
      <c r="D7" s="37">
        <f t="shared" si="0"/>
        <v>1.7292754325169528E-4</v>
      </c>
      <c r="E7" s="36">
        <f t="shared" si="1"/>
        <v>307811026988.01758</v>
      </c>
      <c r="F7" s="36">
        <v>281797888476.36108</v>
      </c>
      <c r="G7" s="27">
        <v>261902498859.03952</v>
      </c>
      <c r="H7" s="33">
        <v>0.12</v>
      </c>
      <c r="I7" s="33">
        <v>0.12</v>
      </c>
      <c r="J7" s="27">
        <f t="shared" si="2"/>
        <v>7.5964871293685551E-2</v>
      </c>
      <c r="K7" s="32">
        <f t="shared" si="3"/>
        <v>0.12911578455524225</v>
      </c>
      <c r="L7" s="32">
        <f t="shared" si="4"/>
        <v>0.12911578455524225</v>
      </c>
      <c r="M7" s="26"/>
      <c r="N7" s="26"/>
      <c r="O7" s="36">
        <v>266486258618.62845</v>
      </c>
      <c r="P7" s="27">
        <f t="shared" si="5"/>
        <v>5.7457483688287604E-2</v>
      </c>
      <c r="Q7" s="26"/>
    </row>
    <row r="8" spans="1:17" x14ac:dyDescent="0.35">
      <c r="A8" s="40">
        <v>1196</v>
      </c>
      <c r="B8" s="41">
        <v>16.899999999999999</v>
      </c>
      <c r="C8" s="37">
        <v>1760000000000000</v>
      </c>
      <c r="D8" s="37">
        <f t="shared" si="0"/>
        <v>1.722114871719781E-4</v>
      </c>
      <c r="E8" s="36">
        <f t="shared" si="1"/>
        <v>303092217422.68146</v>
      </c>
      <c r="F8" s="36">
        <v>277598309549.3382</v>
      </c>
      <c r="G8" s="27">
        <v>257943933365.33325</v>
      </c>
      <c r="H8" s="33">
        <v>0.13</v>
      </c>
      <c r="I8" s="33">
        <v>0.13</v>
      </c>
      <c r="J8" s="27">
        <f t="shared" si="2"/>
        <v>7.6196311064885169E-2</v>
      </c>
      <c r="K8" s="32">
        <f t="shared" si="3"/>
        <v>0.13990552043843507</v>
      </c>
      <c r="L8" s="32">
        <f t="shared" si="4"/>
        <v>0.13990552043843507</v>
      </c>
      <c r="M8" s="26"/>
      <c r="N8" s="26"/>
      <c r="O8" s="36">
        <v>262438345771.57086</v>
      </c>
      <c r="P8" s="27">
        <f t="shared" si="5"/>
        <v>5.7765810606666176E-2</v>
      </c>
      <c r="Q8" s="26"/>
    </row>
    <row r="9" spans="1:17" x14ac:dyDescent="0.35">
      <c r="A9" s="40">
        <v>1212</v>
      </c>
      <c r="B9" s="41">
        <v>16.899999999999999</v>
      </c>
      <c r="C9" s="37">
        <v>1660000000000000</v>
      </c>
      <c r="D9" s="37">
        <f t="shared" si="0"/>
        <v>1.699380681994107E-4</v>
      </c>
      <c r="E9" s="36">
        <f t="shared" si="1"/>
        <v>282097193211.02179</v>
      </c>
      <c r="F9" s="36">
        <v>258835101844.46097</v>
      </c>
      <c r="G9" s="27">
        <v>250927082802.94351</v>
      </c>
      <c r="H9" s="33">
        <v>0.13</v>
      </c>
      <c r="I9" s="33">
        <v>0.13</v>
      </c>
      <c r="J9" s="27">
        <f t="shared" si="2"/>
        <v>3.1515207339048897E-2</v>
      </c>
      <c r="K9" s="32">
        <f t="shared" si="3"/>
        <v>0.13409697695407638</v>
      </c>
      <c r="L9" s="32">
        <f t="shared" si="4"/>
        <v>0.13409697695407638</v>
      </c>
      <c r="M9" s="26"/>
      <c r="N9" s="26"/>
      <c r="O9" s="36">
        <v>255266287324.80551</v>
      </c>
      <c r="P9" s="27">
        <f t="shared" si="5"/>
        <v>1.3980751461764441E-2</v>
      </c>
      <c r="Q9" s="26"/>
    </row>
    <row r="10" spans="1:17" x14ac:dyDescent="0.35">
      <c r="A10" s="40">
        <v>1196</v>
      </c>
      <c r="B10" s="41">
        <v>17.399999999999999</v>
      </c>
      <c r="C10" s="37">
        <v>1700000000000000</v>
      </c>
      <c r="D10" s="37">
        <f t="shared" si="0"/>
        <v>1.7730650158535023E-4</v>
      </c>
      <c r="E10" s="36">
        <f t="shared" si="1"/>
        <v>301421052695.0954</v>
      </c>
      <c r="F10" s="36">
        <v>276105387645.50293</v>
      </c>
      <c r="G10" s="27">
        <v>265237370650.78491</v>
      </c>
      <c r="H10" s="33">
        <v>0.12</v>
      </c>
      <c r="I10" s="33">
        <v>0.12</v>
      </c>
      <c r="J10" s="27">
        <f t="shared" si="2"/>
        <v>4.0974682293269282E-2</v>
      </c>
      <c r="K10" s="32">
        <f t="shared" si="3"/>
        <v>0.12491696187519231</v>
      </c>
      <c r="L10" s="32">
        <f t="shared" si="4"/>
        <v>0.12491696187519231</v>
      </c>
      <c r="M10" s="26"/>
      <c r="N10" s="26"/>
      <c r="O10" s="36">
        <v>269884637265.71176</v>
      </c>
      <c r="P10" s="27">
        <f t="shared" si="5"/>
        <v>2.3049664637511773E-2</v>
      </c>
      <c r="Q10" s="26"/>
    </row>
    <row r="11" spans="1:17" x14ac:dyDescent="0.35">
      <c r="A11" s="40">
        <v>1224</v>
      </c>
      <c r="B11" s="41">
        <v>16.8</v>
      </c>
      <c r="C11" s="37">
        <v>1650000000000000</v>
      </c>
      <c r="D11" s="37">
        <f t="shared" si="0"/>
        <v>1.6727631634804512E-4</v>
      </c>
      <c r="E11" s="36">
        <f t="shared" si="1"/>
        <v>276005921974.27448</v>
      </c>
      <c r="F11" s="36">
        <v>253387968953.28436</v>
      </c>
      <c r="G11" s="27">
        <v>244449687793.65533</v>
      </c>
      <c r="H11" s="33">
        <v>0.16</v>
      </c>
      <c r="I11" s="33">
        <v>0.16</v>
      </c>
      <c r="J11" s="27">
        <f t="shared" si="2"/>
        <v>3.6564911333304723E-2</v>
      </c>
      <c r="K11" s="32">
        <f t="shared" si="3"/>
        <v>0.16585038581332875</v>
      </c>
      <c r="L11" s="32">
        <f t="shared" si="4"/>
        <v>0.16585038581332875</v>
      </c>
      <c r="M11" s="26"/>
      <c r="N11" s="26"/>
      <c r="O11" s="36">
        <v>248647898308.11676</v>
      </c>
      <c r="P11" s="27">
        <f t="shared" si="5"/>
        <v>1.9063385121775106E-2</v>
      </c>
      <c r="Q11" s="26"/>
    </row>
    <row r="12" spans="1:17" x14ac:dyDescent="0.35">
      <c r="A12" s="40">
        <v>1214</v>
      </c>
      <c r="B12" s="41">
        <v>17.100000000000001</v>
      </c>
      <c r="C12" s="37">
        <v>1670000000000000</v>
      </c>
      <c r="D12" s="37">
        <f t="shared" si="0"/>
        <v>1.7166589254781145E-4</v>
      </c>
      <c r="E12" s="36">
        <f t="shared" si="1"/>
        <v>286682040554.84509</v>
      </c>
      <c r="F12" s="36">
        <v>262943053463.22208</v>
      </c>
      <c r="G12" s="27">
        <v>252901144125.93475</v>
      </c>
      <c r="H12" s="33">
        <v>0.13</v>
      </c>
      <c r="I12" s="33">
        <v>0.13</v>
      </c>
      <c r="J12" s="27">
        <f t="shared" si="2"/>
        <v>3.9706856099816022E-2</v>
      </c>
      <c r="K12" s="32">
        <f t="shared" si="3"/>
        <v>0.13516189129297607</v>
      </c>
      <c r="L12" s="32">
        <f t="shared" si="4"/>
        <v>0.13516189129297607</v>
      </c>
      <c r="M12" s="26"/>
      <c r="N12" s="26"/>
      <c r="O12" s="36">
        <v>257280081711.7226</v>
      </c>
      <c r="P12" s="27">
        <f t="shared" si="5"/>
        <v>2.2010921769858315E-2</v>
      </c>
      <c r="Q12" s="26"/>
    </row>
    <row r="13" spans="1:17" ht="15" thickBot="1" x14ac:dyDescent="0.4">
      <c r="A13" s="40">
        <v>1230</v>
      </c>
      <c r="B13" s="41">
        <v>28.7</v>
      </c>
      <c r="C13" s="37">
        <v>1680000000000000</v>
      </c>
      <c r="D13" s="37">
        <f t="shared" si="0"/>
        <v>2.8436973779167663E-4</v>
      </c>
      <c r="E13" s="36">
        <f t="shared" si="1"/>
        <v>477741159490.01672</v>
      </c>
      <c r="F13" s="36">
        <v>432018854220.50598</v>
      </c>
      <c r="G13" s="37">
        <v>403129873826.3728</v>
      </c>
      <c r="H13" s="34">
        <v>0.09</v>
      </c>
      <c r="I13" s="34">
        <v>0.09</v>
      </c>
      <c r="J13" s="27">
        <f t="shared" si="2"/>
        <v>7.1661720625982694E-2</v>
      </c>
      <c r="K13" s="32">
        <f t="shared" si="3"/>
        <v>9.6449554856338438E-2</v>
      </c>
      <c r="L13" s="32">
        <f t="shared" si="4"/>
        <v>9.6449554856338438E-2</v>
      </c>
      <c r="M13" s="26"/>
      <c r="N13" s="26"/>
      <c r="O13" s="36">
        <v>410792927234.43542</v>
      </c>
      <c r="P13" s="27">
        <f t="shared" si="5"/>
        <v>5.1670624246062377E-2</v>
      </c>
      <c r="Q13" s="26"/>
    </row>
    <row r="14" spans="1:17" x14ac:dyDescent="0.35">
      <c r="A14" s="26"/>
      <c r="B14" s="26"/>
      <c r="C14" s="26"/>
      <c r="D14" s="26"/>
      <c r="E14" s="26"/>
      <c r="F14" s="26" t="s">
        <v>0</v>
      </c>
      <c r="G14" s="26"/>
      <c r="H14" s="28" t="s">
        <v>7</v>
      </c>
      <c r="I14" s="28" t="s">
        <v>8</v>
      </c>
      <c r="J14" s="26"/>
      <c r="K14" s="26"/>
      <c r="L14" s="26"/>
      <c r="M14" s="26"/>
      <c r="N14" s="26"/>
      <c r="O14" s="26"/>
      <c r="P14" s="26"/>
      <c r="Q14" s="26"/>
    </row>
    <row r="15" spans="1:17" ht="17" x14ac:dyDescent="0.45">
      <c r="A15" s="40" t="s">
        <v>3</v>
      </c>
      <c r="B15" s="26" t="s">
        <v>4</v>
      </c>
      <c r="C15" s="27" t="s">
        <v>39</v>
      </c>
      <c r="D15" s="26" t="s">
        <v>2</v>
      </c>
      <c r="E15" s="26" t="s">
        <v>38</v>
      </c>
      <c r="F15" s="26" t="s">
        <v>35</v>
      </c>
      <c r="G15" s="26" t="s">
        <v>36</v>
      </c>
      <c r="H15" s="26"/>
      <c r="I15" s="26"/>
      <c r="J15" s="26" t="s">
        <v>0</v>
      </c>
      <c r="K15" s="26" t="s">
        <v>40</v>
      </c>
      <c r="L15" s="26" t="s">
        <v>41</v>
      </c>
      <c r="M15" s="26" t="s">
        <v>44</v>
      </c>
      <c r="N15" s="26" t="s">
        <v>43</v>
      </c>
      <c r="O15" s="26" t="s">
        <v>37</v>
      </c>
      <c r="P15" s="26" t="s">
        <v>47</v>
      </c>
      <c r="Q15" s="26" t="s">
        <v>47</v>
      </c>
    </row>
    <row r="16" spans="1:17" x14ac:dyDescent="0.35">
      <c r="A16" s="40">
        <v>1326</v>
      </c>
      <c r="B16" s="41">
        <v>64.3</v>
      </c>
      <c r="C16" s="37">
        <v>1500000000000000</v>
      </c>
      <c r="D16" s="37">
        <f t="shared" ref="D16:D28" si="6">B16*101325/8.314/A16/1000000</f>
        <v>5.9098171105380782E-4</v>
      </c>
      <c r="E16" s="38">
        <f>C16*D16</f>
        <v>886472566580.71167</v>
      </c>
      <c r="F16" s="38">
        <f t="shared" ref="F16:F28" si="7">C16*D16</f>
        <v>886472566580.71167</v>
      </c>
      <c r="G16" s="37">
        <v>738703669284.7467</v>
      </c>
      <c r="H16" s="29">
        <v>0.39</v>
      </c>
      <c r="I16" s="29">
        <v>0.33</v>
      </c>
      <c r="J16" s="27">
        <f>(F16-G16)/G16</f>
        <v>0.20003812548953884</v>
      </c>
      <c r="K16" s="32">
        <f>(F16/G16)*H16</f>
        <v>0.4680148689409202</v>
      </c>
      <c r="L16" s="32">
        <f>(F16/G16)*I16</f>
        <v>0.39601258141154788</v>
      </c>
      <c r="M16" s="27">
        <v>921000000000</v>
      </c>
      <c r="N16" s="27">
        <f>(M16-G16)/G16</f>
        <v>0.24677869935553803</v>
      </c>
      <c r="O16" s="38">
        <v>754493442982.65588</v>
      </c>
      <c r="P16" s="27">
        <f t="shared" ref="P16:P28" si="8">(M16-O16)/O16</f>
        <v>0.22068655276726074</v>
      </c>
      <c r="Q16" s="27">
        <f>(F16-O16)/O16</f>
        <v>0.17492414920972307</v>
      </c>
    </row>
    <row r="17" spans="1:17" x14ac:dyDescent="0.35">
      <c r="A17" s="40">
        <v>1366</v>
      </c>
      <c r="B17" s="41">
        <v>69.3</v>
      </c>
      <c r="C17" s="37">
        <v>1500000000000000</v>
      </c>
      <c r="D17" s="37">
        <f t="shared" si="6"/>
        <v>6.1828559388087828E-4</v>
      </c>
      <c r="E17" s="38">
        <f t="shared" ref="E17:E28" si="9">C17*D17</f>
        <v>927428390821.31738</v>
      </c>
      <c r="F17" s="38">
        <f t="shared" si="7"/>
        <v>927428390821.31738</v>
      </c>
      <c r="G17" s="37">
        <v>746036351236.79626</v>
      </c>
      <c r="H17" s="29">
        <v>0.39</v>
      </c>
      <c r="I17" s="29">
        <v>0.33</v>
      </c>
      <c r="J17" s="27">
        <f t="shared" ref="J17:J28" si="10">(F17-G17)/G17</f>
        <v>0.24314102025163414</v>
      </c>
      <c r="K17" s="32">
        <f t="shared" ref="K17:K28" si="11">(F17/G17)*H17</f>
        <v>0.48482499789813738</v>
      </c>
      <c r="L17" s="32">
        <f t="shared" ref="L17:L28" si="12">(F17/G17)*I17</f>
        <v>0.41023653668303933</v>
      </c>
      <c r="M17" s="27">
        <v>1040000000000</v>
      </c>
      <c r="N17" s="27">
        <f t="shared" ref="N17:N28" si="13">(M17-G17)/G17</f>
        <v>0.39403394791133706</v>
      </c>
      <c r="O17" s="38">
        <v>761887445220.99707</v>
      </c>
      <c r="P17" s="27">
        <f t="shared" si="8"/>
        <v>0.3650310246263897</v>
      </c>
      <c r="Q17" s="27">
        <f t="shared" ref="Q17:Q28" si="14">(F17-O17)/O17</f>
        <v>0.21727742941387179</v>
      </c>
    </row>
    <row r="18" spans="1:17" x14ac:dyDescent="0.35">
      <c r="A18" s="40">
        <v>1260</v>
      </c>
      <c r="B18" s="41">
        <v>57.2</v>
      </c>
      <c r="C18" s="37">
        <v>2000000000000000</v>
      </c>
      <c r="D18" s="37">
        <f t="shared" si="6"/>
        <v>5.5326357148584716E-4</v>
      </c>
      <c r="E18" s="38">
        <f t="shared" si="9"/>
        <v>1106527142971.6943</v>
      </c>
      <c r="F18" s="38">
        <f t="shared" si="7"/>
        <v>1106527142971.6943</v>
      </c>
      <c r="G18" s="37">
        <v>734089257725.58936</v>
      </c>
      <c r="H18" s="29">
        <v>0.39</v>
      </c>
      <c r="I18" s="29">
        <v>0.33</v>
      </c>
      <c r="J18" s="27">
        <f t="shared" si="10"/>
        <v>0.50734686732785073</v>
      </c>
      <c r="K18" s="32">
        <f t="shared" si="11"/>
        <v>0.58786527825786183</v>
      </c>
      <c r="L18" s="32">
        <f t="shared" si="12"/>
        <v>0.49742446621819075</v>
      </c>
      <c r="M18" s="27">
        <v>955000000000</v>
      </c>
      <c r="N18" s="27">
        <f t="shared" si="13"/>
        <v>0.30093171906486271</v>
      </c>
      <c r="O18" s="38">
        <v>749948211869.80774</v>
      </c>
      <c r="P18" s="27">
        <f t="shared" si="8"/>
        <v>0.2734212641416226</v>
      </c>
      <c r="Q18" s="27">
        <f t="shared" si="14"/>
        <v>0.47547140650265235</v>
      </c>
    </row>
    <row r="19" spans="1:17" x14ac:dyDescent="0.35">
      <c r="A19" s="40">
        <v>1262</v>
      </c>
      <c r="B19" s="41">
        <v>54.8</v>
      </c>
      <c r="C19" s="37">
        <v>1800000000000000</v>
      </c>
      <c r="D19" s="37">
        <f t="shared" si="6"/>
        <v>5.2920969994285313E-4</v>
      </c>
      <c r="E19" s="38">
        <f t="shared" si="9"/>
        <v>952577459897.13562</v>
      </c>
      <c r="F19" s="38">
        <f t="shared" si="7"/>
        <v>952577459897.13562</v>
      </c>
      <c r="G19" s="37">
        <v>703091396317.67871</v>
      </c>
      <c r="H19" s="29">
        <v>0.39</v>
      </c>
      <c r="I19" s="29">
        <v>0.33</v>
      </c>
      <c r="J19" s="27">
        <f t="shared" si="10"/>
        <v>0.3548415823121967</v>
      </c>
      <c r="K19" s="32">
        <f t="shared" si="11"/>
        <v>0.52838821710175676</v>
      </c>
      <c r="L19" s="32">
        <f t="shared" si="12"/>
        <v>0.4470977221630249</v>
      </c>
      <c r="M19" s="27">
        <v>875000000000</v>
      </c>
      <c r="N19" s="27">
        <f t="shared" si="13"/>
        <v>0.24450392165607954</v>
      </c>
      <c r="O19" s="38">
        <v>718125396679.70068</v>
      </c>
      <c r="P19" s="27">
        <f t="shared" si="8"/>
        <v>0.21845015375534582</v>
      </c>
      <c r="Q19" s="27">
        <f t="shared" si="14"/>
        <v>0.3264778885434762</v>
      </c>
    </row>
    <row r="20" spans="1:17" x14ac:dyDescent="0.35">
      <c r="A20" s="40">
        <v>1279</v>
      </c>
      <c r="B20" s="41">
        <v>67.400000000000006</v>
      </c>
      <c r="C20" s="37">
        <v>1700000000000000</v>
      </c>
      <c r="D20" s="37">
        <f t="shared" si="6"/>
        <v>6.4223792004330428E-4</v>
      </c>
      <c r="E20" s="38">
        <f t="shared" si="9"/>
        <v>1091804464073.6173</v>
      </c>
      <c r="F20" s="38">
        <f t="shared" si="7"/>
        <v>1091804464073.6173</v>
      </c>
      <c r="G20" s="37">
        <v>829746216735.9657</v>
      </c>
      <c r="H20" s="29">
        <v>0.39</v>
      </c>
      <c r="I20" s="29">
        <v>0.33</v>
      </c>
      <c r="J20" s="27">
        <f t="shared" si="10"/>
        <v>0.31582939705170288</v>
      </c>
      <c r="K20" s="32">
        <f t="shared" si="11"/>
        <v>0.51317346485016413</v>
      </c>
      <c r="L20" s="32">
        <f t="shared" si="12"/>
        <v>0.43422370102706193</v>
      </c>
      <c r="M20" s="27">
        <v>962000000000</v>
      </c>
      <c r="N20" s="27">
        <f t="shared" si="13"/>
        <v>0.15939064330331126</v>
      </c>
      <c r="O20" s="38">
        <v>848131405232.18823</v>
      </c>
      <c r="P20" s="27">
        <f t="shared" si="8"/>
        <v>0.13425819874767944</v>
      </c>
      <c r="Q20" s="27">
        <f t="shared" si="14"/>
        <v>0.28730578462039152</v>
      </c>
    </row>
    <row r="21" spans="1:17" x14ac:dyDescent="0.35">
      <c r="A21" s="40">
        <v>1290</v>
      </c>
      <c r="B21" s="41">
        <v>70.099999999999994</v>
      </c>
      <c r="C21" s="37">
        <v>1700000000000000</v>
      </c>
      <c r="D21" s="37">
        <f t="shared" si="6"/>
        <v>6.6226972156799117E-4</v>
      </c>
      <c r="E21" s="38">
        <f t="shared" si="9"/>
        <v>1125858526665.585</v>
      </c>
      <c r="F21" s="38">
        <f t="shared" si="7"/>
        <v>1125858526665.585</v>
      </c>
      <c r="G21" s="37">
        <v>845906174082.45972</v>
      </c>
      <c r="H21" s="29">
        <v>0.39</v>
      </c>
      <c r="I21" s="29">
        <v>0.33</v>
      </c>
      <c r="J21" s="27">
        <f t="shared" si="10"/>
        <v>0.33094965039921226</v>
      </c>
      <c r="K21" s="32">
        <f t="shared" si="11"/>
        <v>0.51907036365569281</v>
      </c>
      <c r="L21" s="32">
        <f t="shared" si="12"/>
        <v>0.43921338463174003</v>
      </c>
      <c r="M21" s="27">
        <v>994000000000</v>
      </c>
      <c r="N21" s="27">
        <f t="shared" si="13"/>
        <v>0.1750712200181955</v>
      </c>
      <c r="O21" s="38">
        <v>864698031789.94299</v>
      </c>
      <c r="P21" s="27">
        <f t="shared" si="8"/>
        <v>0.14953424601001952</v>
      </c>
      <c r="Q21" s="27">
        <f t="shared" si="14"/>
        <v>0.30202508306285175</v>
      </c>
    </row>
    <row r="22" spans="1:17" x14ac:dyDescent="0.35">
      <c r="A22" s="40">
        <v>1291</v>
      </c>
      <c r="B22" s="41">
        <v>68.3</v>
      </c>
      <c r="C22" s="37">
        <v>1700000000000000</v>
      </c>
      <c r="D22" s="37">
        <f t="shared" si="6"/>
        <v>6.4476440492989434E-4</v>
      </c>
      <c r="E22" s="38">
        <f t="shared" si="9"/>
        <v>1096099488380.8204</v>
      </c>
      <c r="F22" s="38">
        <f t="shared" si="7"/>
        <v>1096099488380.8204</v>
      </c>
      <c r="G22" s="37">
        <v>824468697139.75464</v>
      </c>
      <c r="H22" s="29">
        <v>0.39</v>
      </c>
      <c r="I22" s="29">
        <v>0.33</v>
      </c>
      <c r="J22" s="27">
        <f t="shared" si="10"/>
        <v>0.32946161835301552</v>
      </c>
      <c r="K22" s="32">
        <f t="shared" si="11"/>
        <v>0.518490031157676</v>
      </c>
      <c r="L22" s="32">
        <f t="shared" si="12"/>
        <v>0.43872233405649513</v>
      </c>
      <c r="M22" s="27">
        <v>979000000000</v>
      </c>
      <c r="N22" s="27">
        <f t="shared" si="13"/>
        <v>0.18743137658997253</v>
      </c>
      <c r="O22" s="38">
        <v>842670547712.27979</v>
      </c>
      <c r="P22" s="27">
        <f t="shared" si="8"/>
        <v>0.16178262389475173</v>
      </c>
      <c r="Q22" s="27">
        <f t="shared" si="14"/>
        <v>0.30074498433173086</v>
      </c>
    </row>
    <row r="23" spans="1:17" x14ac:dyDescent="0.35">
      <c r="A23" s="40">
        <v>1315</v>
      </c>
      <c r="B23" s="41">
        <v>70.099999999999994</v>
      </c>
      <c r="C23" s="37">
        <v>1800000000000000</v>
      </c>
      <c r="D23" s="37">
        <f t="shared" si="6"/>
        <v>6.4967904245072892E-4</v>
      </c>
      <c r="E23" s="38">
        <f t="shared" si="9"/>
        <v>1169422276411.312</v>
      </c>
      <c r="F23" s="38">
        <f t="shared" si="7"/>
        <v>1169422276411.312</v>
      </c>
      <c r="G23" s="37">
        <v>814018051989.0885</v>
      </c>
      <c r="H23" s="29">
        <v>0.39</v>
      </c>
      <c r="I23" s="29">
        <v>0.33</v>
      </c>
      <c r="J23" s="27">
        <f t="shared" si="10"/>
        <v>0.43660484377929681</v>
      </c>
      <c r="K23" s="32">
        <f t="shared" si="11"/>
        <v>0.56027588907392578</v>
      </c>
      <c r="L23" s="32">
        <f t="shared" si="12"/>
        <v>0.47407959844716802</v>
      </c>
      <c r="M23" s="27">
        <v>1050000000000</v>
      </c>
      <c r="N23" s="27">
        <f t="shared" si="13"/>
        <v>0.28989768400624449</v>
      </c>
      <c r="O23" s="38">
        <v>831855140519.23523</v>
      </c>
      <c r="P23" s="27">
        <f t="shared" si="8"/>
        <v>0.26223899914184701</v>
      </c>
      <c r="Q23" s="27">
        <f t="shared" si="14"/>
        <v>0.40580038452532846</v>
      </c>
    </row>
    <row r="24" spans="1:17" s="1" customFormat="1" x14ac:dyDescent="0.35">
      <c r="A24" s="40">
        <v>1327</v>
      </c>
      <c r="B24" s="41">
        <v>68.2</v>
      </c>
      <c r="C24" s="37">
        <v>2000000000000000</v>
      </c>
      <c r="D24" s="37">
        <f t="shared" si="6"/>
        <v>6.2635427228094581E-4</v>
      </c>
      <c r="E24" s="38">
        <f t="shared" si="9"/>
        <v>1252708544561.8916</v>
      </c>
      <c r="F24" s="38">
        <f t="shared" si="7"/>
        <v>1252708544561.8916</v>
      </c>
      <c r="G24" s="37">
        <v>779153779929.96497</v>
      </c>
      <c r="H24" s="29">
        <v>0.39</v>
      </c>
      <c r="I24" s="29">
        <v>0.33</v>
      </c>
      <c r="J24" s="27">
        <f t="shared" si="10"/>
        <v>0.60778087308322193</v>
      </c>
      <c r="K24" s="32">
        <f t="shared" si="11"/>
        <v>0.62703454050245655</v>
      </c>
      <c r="L24" s="32">
        <f t="shared" si="12"/>
        <v>0.53056768811746324</v>
      </c>
      <c r="M24" s="27">
        <v>1120000000000</v>
      </c>
      <c r="N24" s="27">
        <f t="shared" si="13"/>
        <v>0.43745692936338232</v>
      </c>
      <c r="O24" s="38">
        <v>796012954870.57043</v>
      </c>
      <c r="P24" s="27">
        <f t="shared" si="8"/>
        <v>0.40701227680661178</v>
      </c>
      <c r="Q24" s="27">
        <f t="shared" si="14"/>
        <v>0.57372884058850349</v>
      </c>
    </row>
    <row r="25" spans="1:17" s="1" customFormat="1" x14ac:dyDescent="0.35">
      <c r="A25" s="40">
        <v>1344</v>
      </c>
      <c r="B25" s="41">
        <v>65.8</v>
      </c>
      <c r="C25" s="37">
        <v>2000000000000000</v>
      </c>
      <c r="D25" s="37">
        <f t="shared" si="6"/>
        <v>5.9666864625932162E-4</v>
      </c>
      <c r="E25" s="38">
        <f t="shared" si="9"/>
        <v>1193337292518.6433</v>
      </c>
      <c r="F25" s="38">
        <f t="shared" si="7"/>
        <v>1193337292518.6433</v>
      </c>
      <c r="G25" s="37">
        <v>734515178690.77917</v>
      </c>
      <c r="H25" s="29">
        <v>0.39</v>
      </c>
      <c r="I25" s="29">
        <v>0.33</v>
      </c>
      <c r="J25" s="27">
        <f t="shared" si="10"/>
        <v>0.62465981253877123</v>
      </c>
      <c r="K25" s="32">
        <f t="shared" si="11"/>
        <v>0.63361732689012085</v>
      </c>
      <c r="L25" s="32">
        <f t="shared" si="12"/>
        <v>0.53613773813779453</v>
      </c>
      <c r="M25" s="27">
        <v>1120000000000</v>
      </c>
      <c r="N25" s="27">
        <f t="shared" si="13"/>
        <v>0.52481532375725715</v>
      </c>
      <c r="O25" s="38">
        <v>750137548234.35852</v>
      </c>
      <c r="P25" s="27">
        <f t="shared" si="8"/>
        <v>0.49305950973419183</v>
      </c>
      <c r="Q25" s="27">
        <f t="shared" si="14"/>
        <v>0.5908246365316191</v>
      </c>
    </row>
    <row r="26" spans="1:17" x14ac:dyDescent="0.35">
      <c r="A26" s="40">
        <v>1316</v>
      </c>
      <c r="B26" s="41">
        <v>118.9</v>
      </c>
      <c r="C26" s="37">
        <v>1500000000000000</v>
      </c>
      <c r="D26" s="37">
        <f t="shared" si="6"/>
        <v>1.101114692469508E-3</v>
      </c>
      <c r="E26" s="38">
        <f t="shared" si="9"/>
        <v>1651672038704.262</v>
      </c>
      <c r="F26" s="38">
        <f t="shared" si="7"/>
        <v>1651672038704.262</v>
      </c>
      <c r="G26" s="37">
        <v>1320592484418.2441</v>
      </c>
      <c r="H26" s="29">
        <v>0.39</v>
      </c>
      <c r="I26" s="29">
        <v>0.33</v>
      </c>
      <c r="J26" s="27">
        <f t="shared" si="10"/>
        <v>0.25070531461631568</v>
      </c>
      <c r="K26" s="32">
        <f t="shared" si="11"/>
        <v>0.48777507270036313</v>
      </c>
      <c r="L26" s="32">
        <f t="shared" si="12"/>
        <v>0.4127327538233842</v>
      </c>
      <c r="M26" s="27">
        <v>1440000000000</v>
      </c>
      <c r="N26" s="27">
        <f t="shared" si="13"/>
        <v>9.0419654049718468E-2</v>
      </c>
      <c r="O26" s="38">
        <v>1353140521253.7539</v>
      </c>
      <c r="P26" s="27">
        <f t="shared" si="8"/>
        <v>6.4191026269589752E-2</v>
      </c>
      <c r="Q26" s="27">
        <f t="shared" si="14"/>
        <v>0.22062122356213479</v>
      </c>
    </row>
    <row r="27" spans="1:17" x14ac:dyDescent="0.35">
      <c r="A27" s="40">
        <v>1332</v>
      </c>
      <c r="B27" s="41">
        <v>113.9</v>
      </c>
      <c r="C27" s="37">
        <v>1500000000000000</v>
      </c>
      <c r="D27" s="37">
        <f t="shared" si="6"/>
        <v>1.0421400622416981E-3</v>
      </c>
      <c r="E27" s="38">
        <f t="shared" si="9"/>
        <v>1563210093362.5471</v>
      </c>
      <c r="F27" s="38">
        <f t="shared" si="7"/>
        <v>1563210093362.5471</v>
      </c>
      <c r="G27" s="37">
        <v>1240368536613.1472</v>
      </c>
      <c r="H27" s="29">
        <v>0.39</v>
      </c>
      <c r="I27" s="29">
        <v>0.33</v>
      </c>
      <c r="J27" s="27">
        <f t="shared" si="10"/>
        <v>0.26027873750403702</v>
      </c>
      <c r="K27" s="32">
        <f>(F27/G27)*H27</f>
        <v>0.49150870762657445</v>
      </c>
      <c r="L27" s="32">
        <f t="shared" si="12"/>
        <v>0.41589198337633221</v>
      </c>
      <c r="M27" s="27">
        <v>1320000000000</v>
      </c>
      <c r="N27" s="27">
        <f t="shared" si="13"/>
        <v>6.4199841447355799E-2</v>
      </c>
      <c r="O27" s="38">
        <v>1270371216665.8174</v>
      </c>
      <c r="P27" s="27">
        <f t="shared" si="8"/>
        <v>3.9066363188263196E-2</v>
      </c>
      <c r="Q27" s="27">
        <f t="shared" si="14"/>
        <v>0.23051441409803575</v>
      </c>
    </row>
    <row r="28" spans="1:17" x14ac:dyDescent="0.35">
      <c r="A28" s="40">
        <v>1376</v>
      </c>
      <c r="B28" s="41">
        <v>112</v>
      </c>
      <c r="C28" s="37">
        <v>1500000000000000</v>
      </c>
      <c r="D28" s="37">
        <f t="shared" si="6"/>
        <v>9.9198745741282566E-4</v>
      </c>
      <c r="E28" s="38">
        <f t="shared" si="9"/>
        <v>1487981186119.2385</v>
      </c>
      <c r="F28" s="38">
        <f t="shared" si="7"/>
        <v>1487981186119.2385</v>
      </c>
      <c r="G28" s="37">
        <v>1145868885833.842</v>
      </c>
      <c r="H28" s="29">
        <v>0.39</v>
      </c>
      <c r="I28" s="29">
        <v>0.33</v>
      </c>
      <c r="J28" s="27">
        <f t="shared" si="10"/>
        <v>0.29856147113763665</v>
      </c>
      <c r="K28" s="32">
        <f t="shared" si="11"/>
        <v>0.5064389737436783</v>
      </c>
      <c r="L28" s="32">
        <f t="shared" si="12"/>
        <v>0.42852528547542007</v>
      </c>
      <c r="M28" s="27">
        <v>1300000000000</v>
      </c>
      <c r="N28" s="27">
        <f t="shared" si="13"/>
        <v>0.13451025337335837</v>
      </c>
      <c r="O28" s="38">
        <v>1172804137914.8923</v>
      </c>
      <c r="P28" s="27">
        <f t="shared" si="8"/>
        <v>0.10845447928862779</v>
      </c>
      <c r="Q28" s="27">
        <f t="shared" si="14"/>
        <v>0.26873800834698097</v>
      </c>
    </row>
    <row r="29" spans="1:17" x14ac:dyDescent="0.35">
      <c r="A29" s="26"/>
      <c r="B29" s="26"/>
      <c r="C29" s="26"/>
      <c r="D29" s="26"/>
      <c r="E29" s="26"/>
      <c r="F29" s="30" t="s">
        <v>9</v>
      </c>
      <c r="G29" s="26"/>
      <c r="H29" s="26"/>
      <c r="I29" s="26"/>
      <c r="J29" s="26"/>
      <c r="K29" s="26"/>
      <c r="L29" s="26"/>
      <c r="M29" s="26"/>
      <c r="N29" s="26"/>
      <c r="O29" s="26"/>
      <c r="P29" s="26"/>
      <c r="Q29" s="26"/>
    </row>
    <row r="30" spans="1:17" ht="17" x14ac:dyDescent="0.45">
      <c r="A30" s="35" t="s">
        <v>3</v>
      </c>
      <c r="B30" s="26" t="s">
        <v>4</v>
      </c>
      <c r="C30" s="27" t="s">
        <v>39</v>
      </c>
      <c r="D30" s="26" t="s">
        <v>2</v>
      </c>
      <c r="E30" s="26" t="s">
        <v>38</v>
      </c>
      <c r="F30" s="26" t="s">
        <v>35</v>
      </c>
      <c r="G30" s="26" t="s">
        <v>36</v>
      </c>
      <c r="H30" s="28" t="s">
        <v>7</v>
      </c>
      <c r="I30" s="28" t="s">
        <v>8</v>
      </c>
      <c r="J30" s="30" t="s">
        <v>9</v>
      </c>
      <c r="K30" s="26" t="s">
        <v>40</v>
      </c>
      <c r="L30" s="26" t="s">
        <v>41</v>
      </c>
      <c r="M30" s="26"/>
      <c r="N30" s="26"/>
      <c r="O30" s="26" t="s">
        <v>37</v>
      </c>
      <c r="P30" s="26" t="s">
        <v>42</v>
      </c>
      <c r="Q30" s="26"/>
    </row>
    <row r="31" spans="1:17" x14ac:dyDescent="0.35">
      <c r="A31" s="26">
        <v>1689</v>
      </c>
      <c r="B31" s="26">
        <v>16.18</v>
      </c>
      <c r="C31" s="27">
        <v>1070000000000000</v>
      </c>
      <c r="D31" s="27">
        <f>B31*101325/1000000/8.314/A31</f>
        <v>1.1674961576933085E-4</v>
      </c>
      <c r="E31" s="39">
        <f t="shared" ref="E31:E43" si="15">C31*D31</f>
        <v>124922088873.18401</v>
      </c>
      <c r="F31" s="42">
        <v>108287538882.438</v>
      </c>
      <c r="G31" s="27">
        <v>119605023848.13853</v>
      </c>
      <c r="H31" s="32">
        <v>7.7399999999999997E-2</v>
      </c>
      <c r="I31" s="32">
        <v>7.9000000000000001E-2</v>
      </c>
      <c r="J31" s="27">
        <f>(F31-G31)/G31</f>
        <v>-9.4623826003080308E-2</v>
      </c>
      <c r="K31" s="32">
        <f>(F31/G31)*H31</f>
        <v>7.007611586736158E-2</v>
      </c>
      <c r="L31" s="32">
        <f>(F31/G31)*I31</f>
        <v>7.1524717745756652E-2</v>
      </c>
      <c r="M31" s="26"/>
      <c r="N31" s="26"/>
      <c r="O31" s="39">
        <v>121164154017.62994</v>
      </c>
      <c r="P31" s="27">
        <f t="shared" ref="P31:P43" si="16">(F31-O31)/O31</f>
        <v>-0.10627413065846465</v>
      </c>
      <c r="Q31" s="26"/>
    </row>
    <row r="32" spans="1:17" x14ac:dyDescent="0.35">
      <c r="A32" s="26">
        <v>1734</v>
      </c>
      <c r="B32" s="26">
        <v>15.84</v>
      </c>
      <c r="C32" s="27">
        <v>1060000000000000</v>
      </c>
      <c r="D32" s="27">
        <f t="shared" ref="D32:D43" si="17">B32*101325/1000000/8.314/A32</f>
        <v>1.1133011978794263E-4</v>
      </c>
      <c r="E32" s="39">
        <f t="shared" si="15"/>
        <v>118009926975.21919</v>
      </c>
      <c r="F32" s="39">
        <v>102442636956.61859</v>
      </c>
      <c r="G32" s="27">
        <v>110772014025.12448</v>
      </c>
      <c r="H32" s="32">
        <v>6.7599999999999993E-2</v>
      </c>
      <c r="I32" s="32">
        <v>7.1199999999999999E-2</v>
      </c>
      <c r="J32" s="27">
        <f t="shared" ref="J32:J43" si="18">(F32-G32)/G32</f>
        <v>-7.5193875834167673E-2</v>
      </c>
      <c r="K32" s="32">
        <f t="shared" ref="K32:K43" si="19">(F32/G32)*H32</f>
        <v>6.2516893993610254E-2</v>
      </c>
      <c r="L32" s="32">
        <f t="shared" ref="L32:L43" si="20">(F32/G32)*I32</f>
        <v>6.5846196040607263E-2</v>
      </c>
      <c r="M32" s="26"/>
      <c r="N32" s="26"/>
      <c r="O32" s="39">
        <v>112167140867.7822</v>
      </c>
      <c r="P32" s="27">
        <f t="shared" si="16"/>
        <v>-8.6696547990167919E-2</v>
      </c>
      <c r="Q32" s="26"/>
    </row>
    <row r="33" spans="1:17" x14ac:dyDescent="0.35">
      <c r="A33" s="26">
        <v>1782</v>
      </c>
      <c r="B33" s="26">
        <v>14.75</v>
      </c>
      <c r="C33" s="27">
        <v>1040000000000000</v>
      </c>
      <c r="D33" s="27">
        <f t="shared" si="17"/>
        <v>1.0087671073658565E-4</v>
      </c>
      <c r="E33" s="39">
        <f t="shared" si="15"/>
        <v>104911779166.04907</v>
      </c>
      <c r="F33" s="39">
        <v>91322990032.085144</v>
      </c>
      <c r="G33" s="27">
        <v>97497795909.372375</v>
      </c>
      <c r="H33" s="32">
        <v>5.4600000000000003E-2</v>
      </c>
      <c r="I33" s="32">
        <v>7.2099999999999997E-2</v>
      </c>
      <c r="J33" s="27">
        <f t="shared" si="18"/>
        <v>-6.3332774035496461E-2</v>
      </c>
      <c r="K33" s="32">
        <f t="shared" si="19"/>
        <v>5.1142030537661899E-2</v>
      </c>
      <c r="L33" s="32">
        <f t="shared" si="20"/>
        <v>6.7533706992040712E-2</v>
      </c>
      <c r="M33" s="26"/>
      <c r="N33" s="26"/>
      <c r="O33" s="39">
        <v>98669260197.53186</v>
      </c>
      <c r="P33" s="27">
        <f t="shared" si="16"/>
        <v>-7.4453483797687153E-2</v>
      </c>
      <c r="Q33" s="26"/>
    </row>
    <row r="34" spans="1:17" x14ac:dyDescent="0.35">
      <c r="A34" s="26">
        <v>1690</v>
      </c>
      <c r="B34" s="26">
        <v>16.2</v>
      </c>
      <c r="C34" s="27">
        <v>1100000000000000</v>
      </c>
      <c r="D34" s="27">
        <f t="shared" si="17"/>
        <v>1.1682476125676659E-4</v>
      </c>
      <c r="E34" s="39">
        <f t="shared" si="15"/>
        <v>128507237382.44324</v>
      </c>
      <c r="F34" s="39">
        <v>111321806844.3838</v>
      </c>
      <c r="G34" s="27">
        <v>119597317844.03622</v>
      </c>
      <c r="H34" s="32">
        <v>7.3399999999999993E-2</v>
      </c>
      <c r="I34" s="32">
        <v>8.6999999999999994E-2</v>
      </c>
      <c r="J34" s="27">
        <f t="shared" si="18"/>
        <v>-6.9194787549034339E-2</v>
      </c>
      <c r="K34" s="32">
        <f t="shared" si="19"/>
        <v>6.8321102593900881E-2</v>
      </c>
      <c r="L34" s="32">
        <f t="shared" si="20"/>
        <v>8.0980053483234005E-2</v>
      </c>
      <c r="M34" s="26"/>
      <c r="N34" s="26"/>
      <c r="O34" s="39">
        <v>121155676865.47749</v>
      </c>
      <c r="P34" s="27">
        <f t="shared" si="16"/>
        <v>-8.1167224479398586E-2</v>
      </c>
      <c r="Q34" s="26"/>
    </row>
    <row r="35" spans="1:17" x14ac:dyDescent="0.35">
      <c r="A35" s="26">
        <v>2053</v>
      </c>
      <c r="B35" s="26">
        <v>11.78</v>
      </c>
      <c r="C35" s="27">
        <v>860000000000000</v>
      </c>
      <c r="D35" s="27">
        <f t="shared" si="17"/>
        <v>6.9929904206790443E-5</v>
      </c>
      <c r="E35" s="39">
        <f t="shared" si="15"/>
        <v>60139717617.839783</v>
      </c>
      <c r="F35" s="39">
        <v>52960191738.404243</v>
      </c>
      <c r="G35" s="27">
        <v>57745930349.92627</v>
      </c>
      <c r="H35" s="32">
        <v>0.08</v>
      </c>
      <c r="I35" s="32">
        <v>0.1079</v>
      </c>
      <c r="J35" s="27">
        <f t="shared" si="18"/>
        <v>-8.28757729336356E-2</v>
      </c>
      <c r="K35" s="32">
        <f t="shared" si="19"/>
        <v>7.3369938165309151E-2</v>
      </c>
      <c r="L35" s="32">
        <f t="shared" si="20"/>
        <v>9.8957704100460717E-2</v>
      </c>
      <c r="M35" s="26"/>
      <c r="N35" s="26"/>
      <c r="O35" s="39">
        <v>58283512614.295792</v>
      </c>
      <c r="P35" s="27">
        <f t="shared" si="16"/>
        <v>-9.1334935681035859E-2</v>
      </c>
      <c r="Q35" s="26"/>
    </row>
    <row r="36" spans="1:17" x14ac:dyDescent="0.35">
      <c r="A36" s="26">
        <v>1819</v>
      </c>
      <c r="B36" s="26">
        <v>12.8</v>
      </c>
      <c r="C36" s="27">
        <v>1020000000000000</v>
      </c>
      <c r="D36" s="27">
        <f t="shared" si="17"/>
        <v>8.575982039739561E-5</v>
      </c>
      <c r="E36" s="39">
        <f t="shared" si="15"/>
        <v>87475016805.343521</v>
      </c>
      <c r="F36" s="39">
        <v>76446104762.909714</v>
      </c>
      <c r="G36" s="27">
        <v>81274368817.06189</v>
      </c>
      <c r="H36" s="32">
        <v>6.8199999999999997E-2</v>
      </c>
      <c r="I36" s="32">
        <v>9.7200000000000009E-2</v>
      </c>
      <c r="J36" s="27">
        <f t="shared" si="18"/>
        <v>-5.9406970788293351E-2</v>
      </c>
      <c r="K36" s="32">
        <f t="shared" si="19"/>
        <v>6.4148444592238382E-2</v>
      </c>
      <c r="L36" s="32">
        <f t="shared" si="20"/>
        <v>9.1425642439377897E-2</v>
      </c>
      <c r="M36" s="26"/>
      <c r="N36" s="26"/>
      <c r="O36" s="39">
        <v>82199629298.087524</v>
      </c>
      <c r="P36" s="27">
        <f t="shared" si="16"/>
        <v>-6.9994531414652908E-2</v>
      </c>
      <c r="Q36" s="26"/>
    </row>
    <row r="37" spans="1:17" x14ac:dyDescent="0.35">
      <c r="A37" s="26">
        <v>1853</v>
      </c>
      <c r="B37" s="26">
        <v>12.4</v>
      </c>
      <c r="C37" s="27">
        <v>1000000000000000</v>
      </c>
      <c r="D37" s="27">
        <f t="shared" si="17"/>
        <v>8.1555425532729714E-5</v>
      </c>
      <c r="E37" s="39">
        <f t="shared" si="15"/>
        <v>81555425532.729721</v>
      </c>
      <c r="F37" s="39">
        <v>71379593901.476212</v>
      </c>
      <c r="G37" s="27">
        <v>75725535010.27446</v>
      </c>
      <c r="H37" s="32">
        <v>6.2E-2</v>
      </c>
      <c r="I37" s="32">
        <v>5.5399999999999998E-2</v>
      </c>
      <c r="J37" s="27">
        <f t="shared" si="18"/>
        <v>-5.7390695334256669E-2</v>
      </c>
      <c r="K37" s="32">
        <f t="shared" si="19"/>
        <v>5.8441776889276084E-2</v>
      </c>
      <c r="L37" s="32">
        <f t="shared" si="20"/>
        <v>5.2220555478482179E-2</v>
      </c>
      <c r="M37" s="26"/>
      <c r="N37" s="26"/>
      <c r="O37" s="39">
        <v>76561095727.450439</v>
      </c>
      <c r="P37" s="27">
        <f t="shared" si="16"/>
        <v>-6.7677999860658172E-2</v>
      </c>
      <c r="Q37" s="26"/>
    </row>
    <row r="38" spans="1:17" x14ac:dyDescent="0.35">
      <c r="A38" s="26">
        <v>1725</v>
      </c>
      <c r="B38" s="26">
        <v>12.97</v>
      </c>
      <c r="C38" s="27">
        <v>1100000000000000</v>
      </c>
      <c r="D38" s="27">
        <f t="shared" si="17"/>
        <v>9.1634173892125387E-5</v>
      </c>
      <c r="E38" s="39">
        <f t="shared" si="15"/>
        <v>100797591281.33792</v>
      </c>
      <c r="F38" s="39">
        <v>87806705927.202377</v>
      </c>
      <c r="G38" s="27">
        <v>92243908193.955795</v>
      </c>
      <c r="H38" s="32">
        <v>7.0499999999999993E-2</v>
      </c>
      <c r="I38" s="32">
        <v>6.2699999999999992E-2</v>
      </c>
      <c r="J38" s="27">
        <f t="shared" si="18"/>
        <v>-4.8102930086435368E-2</v>
      </c>
      <c r="K38" s="32">
        <f t="shared" si="19"/>
        <v>6.7108743428906298E-2</v>
      </c>
      <c r="L38" s="32">
        <f t="shared" si="20"/>
        <v>5.9683946283580494E-2</v>
      </c>
      <c r="M38" s="26"/>
      <c r="N38" s="26"/>
      <c r="O38" s="39">
        <v>93369287638.36763</v>
      </c>
      <c r="P38" s="27">
        <f t="shared" si="16"/>
        <v>-5.9576139562185729E-2</v>
      </c>
      <c r="Q38" s="26"/>
    </row>
    <row r="39" spans="1:17" x14ac:dyDescent="0.35">
      <c r="A39" s="26">
        <v>1688</v>
      </c>
      <c r="B39" s="26">
        <v>13.71</v>
      </c>
      <c r="C39" s="27">
        <v>1020000000000000</v>
      </c>
      <c r="D39" s="27">
        <f t="shared" si="17"/>
        <v>9.8985505377214485E-5</v>
      </c>
      <c r="E39" s="39">
        <f t="shared" si="15"/>
        <v>100965215484.75877</v>
      </c>
      <c r="F39" s="39">
        <v>87941523065.299316</v>
      </c>
      <c r="G39" s="27">
        <v>101974605260.85187</v>
      </c>
      <c r="H39" s="32">
        <v>9.3599999999999989E-2</v>
      </c>
      <c r="I39" s="32">
        <v>8.0600000000000005E-2</v>
      </c>
      <c r="J39" s="27">
        <f t="shared" si="18"/>
        <v>-0.13761349857305957</v>
      </c>
      <c r="K39" s="32">
        <f t="shared" si="19"/>
        <v>8.0719376533561607E-2</v>
      </c>
      <c r="L39" s="32">
        <f t="shared" si="20"/>
        <v>6.9508352015011404E-2</v>
      </c>
      <c r="M39" s="26"/>
      <c r="N39" s="26"/>
      <c r="O39" s="39">
        <v>103263786759.0728</v>
      </c>
      <c r="P39" s="27">
        <f t="shared" si="16"/>
        <v>-0.1483798355131235</v>
      </c>
      <c r="Q39" s="26"/>
    </row>
    <row r="40" spans="1:17" x14ac:dyDescent="0.35">
      <c r="A40" s="26">
        <v>1613</v>
      </c>
      <c r="B40" s="26">
        <v>13.66</v>
      </c>
      <c r="C40" s="27">
        <v>1140000000000000</v>
      </c>
      <c r="D40" s="27">
        <f t="shared" si="17"/>
        <v>1.0321027238245426E-4</v>
      </c>
      <c r="E40" s="39">
        <f t="shared" si="15"/>
        <v>117659710515.99786</v>
      </c>
      <c r="F40" s="39">
        <v>102111009014.30867</v>
      </c>
      <c r="G40" s="27">
        <v>111961467477.70647</v>
      </c>
      <c r="H40" s="32">
        <v>7.6399999999999996E-2</v>
      </c>
      <c r="I40" s="32">
        <v>8.8900000000000007E-2</v>
      </c>
      <c r="J40" s="27">
        <f t="shared" si="18"/>
        <v>-8.798079093916128E-2</v>
      </c>
      <c r="K40" s="32">
        <f t="shared" si="19"/>
        <v>6.9678267572248084E-2</v>
      </c>
      <c r="L40" s="32">
        <f t="shared" si="20"/>
        <v>8.1078507685508575E-2</v>
      </c>
      <c r="M40" s="26"/>
      <c r="N40" s="26"/>
      <c r="O40" s="39">
        <v>113447410698.98636</v>
      </c>
      <c r="P40" s="27">
        <f t="shared" si="16"/>
        <v>-9.9926491180631044E-2</v>
      </c>
      <c r="Q40" s="26"/>
    </row>
    <row r="41" spans="1:17" x14ac:dyDescent="0.35">
      <c r="A41" s="26">
        <v>1593</v>
      </c>
      <c r="B41" s="26">
        <v>14.01</v>
      </c>
      <c r="C41" s="27">
        <v>1120000000000000</v>
      </c>
      <c r="D41" s="27">
        <f t="shared" si="17"/>
        <v>1.0718375104819452E-4</v>
      </c>
      <c r="E41" s="39">
        <f t="shared" si="15"/>
        <v>120045801173.97786</v>
      </c>
      <c r="F41" s="39">
        <v>104127097986.67564</v>
      </c>
      <c r="G41" s="27">
        <v>117831678799.48933</v>
      </c>
      <c r="H41" s="32">
        <v>7.8299999999999995E-2</v>
      </c>
      <c r="I41" s="32">
        <v>9.7599999999999992E-2</v>
      </c>
      <c r="J41" s="27">
        <f t="shared" si="18"/>
        <v>-0.11630642075578307</v>
      </c>
      <c r="K41" s="32">
        <f t="shared" si="19"/>
        <v>6.919320725482217E-2</v>
      </c>
      <c r="L41" s="32">
        <f t="shared" si="20"/>
        <v>8.6248493334235565E-2</v>
      </c>
      <c r="M41" s="26"/>
      <c r="N41" s="26"/>
      <c r="O41" s="39">
        <v>119423041916.72574</v>
      </c>
      <c r="P41" s="27">
        <f t="shared" si="16"/>
        <v>-0.12808201570276556</v>
      </c>
      <c r="Q41" s="26"/>
    </row>
    <row r="42" spans="1:17" x14ac:dyDescent="0.35">
      <c r="A42" s="26">
        <v>1560</v>
      </c>
      <c r="B42" s="26">
        <v>14.41</v>
      </c>
      <c r="C42" s="27">
        <v>1240000000000000</v>
      </c>
      <c r="D42" s="27">
        <f t="shared" si="17"/>
        <v>1.1257604180159508E-4</v>
      </c>
      <c r="E42" s="39">
        <f t="shared" si="15"/>
        <v>139594291833.97791</v>
      </c>
      <c r="F42" s="39">
        <v>120636713715.05894</v>
      </c>
      <c r="G42" s="27">
        <v>126602036250.78728</v>
      </c>
      <c r="H42" s="32">
        <v>8.8499999999999995E-2</v>
      </c>
      <c r="I42" s="32">
        <v>0.1043</v>
      </c>
      <c r="J42" s="27">
        <f t="shared" si="18"/>
        <v>-4.7118693445906065E-2</v>
      </c>
      <c r="K42" s="32">
        <f t="shared" si="19"/>
        <v>8.4329995630037319E-2</v>
      </c>
      <c r="L42" s="32">
        <f t="shared" si="20"/>
        <v>9.9385520273592001E-2</v>
      </c>
      <c r="M42" s="26"/>
      <c r="N42" s="26"/>
      <c r="O42" s="39">
        <v>128356702799.56339</v>
      </c>
      <c r="P42" s="27">
        <f t="shared" si="16"/>
        <v>-6.0144806746552704E-2</v>
      </c>
      <c r="Q42" s="26"/>
    </row>
    <row r="43" spans="1:17" x14ac:dyDescent="0.35">
      <c r="A43" s="26">
        <v>1495</v>
      </c>
      <c r="B43" s="26">
        <v>14.68</v>
      </c>
      <c r="C43" s="27">
        <v>1260000000000000</v>
      </c>
      <c r="D43" s="27">
        <f t="shared" si="17"/>
        <v>1.1967169854128467E-4</v>
      </c>
      <c r="E43" s="39">
        <f t="shared" si="15"/>
        <v>150786340162.01868</v>
      </c>
      <c r="F43" s="39">
        <v>130028326870.21216</v>
      </c>
      <c r="G43" s="27">
        <v>141075744671.06152</v>
      </c>
      <c r="H43" s="32">
        <v>0.1176</v>
      </c>
      <c r="I43" s="32">
        <v>0.1173</v>
      </c>
      <c r="J43" s="27">
        <f t="shared" si="18"/>
        <v>-7.830841387091747E-2</v>
      </c>
      <c r="K43" s="32">
        <f t="shared" si="19"/>
        <v>0.1083909305287801</v>
      </c>
      <c r="L43" s="32">
        <f t="shared" si="20"/>
        <v>0.10811442305294139</v>
      </c>
      <c r="M43" s="26"/>
      <c r="N43" s="26"/>
      <c r="O43" s="39">
        <v>143116789416.57397</v>
      </c>
      <c r="P43" s="27">
        <f t="shared" si="16"/>
        <v>-9.1453019591327386E-2</v>
      </c>
      <c r="Q43" s="26"/>
    </row>
    <row r="44" spans="1:17" x14ac:dyDescent="0.35">
      <c r="A44" s="26"/>
      <c r="B44" s="26"/>
      <c r="C44" s="26"/>
      <c r="D44" s="26"/>
      <c r="E44" s="26"/>
      <c r="F44" s="30" t="s">
        <v>1</v>
      </c>
      <c r="G44" s="26"/>
      <c r="H44" s="26"/>
      <c r="I44" s="26"/>
      <c r="J44" s="26"/>
      <c r="K44" s="26"/>
      <c r="L44" s="26"/>
      <c r="M44" s="26"/>
      <c r="N44" s="26"/>
      <c r="O44" s="26"/>
      <c r="P44" s="26"/>
      <c r="Q44" s="26"/>
    </row>
    <row r="45" spans="1:17" ht="17" x14ac:dyDescent="0.45">
      <c r="A45" s="35" t="s">
        <v>3</v>
      </c>
      <c r="B45" s="26" t="s">
        <v>4</v>
      </c>
      <c r="C45" s="27" t="s">
        <v>39</v>
      </c>
      <c r="D45" s="26" t="s">
        <v>2</v>
      </c>
      <c r="E45" s="26" t="s">
        <v>38</v>
      </c>
      <c r="F45" s="26" t="s">
        <v>35</v>
      </c>
      <c r="G45" s="26" t="s">
        <v>36</v>
      </c>
      <c r="H45" s="28" t="s">
        <v>7</v>
      </c>
      <c r="I45" s="28" t="s">
        <v>8</v>
      </c>
      <c r="J45" s="30" t="s">
        <v>1</v>
      </c>
      <c r="K45" s="26" t="s">
        <v>40</v>
      </c>
      <c r="L45" s="26" t="s">
        <v>41</v>
      </c>
      <c r="M45" s="26" t="s">
        <v>45</v>
      </c>
      <c r="N45" s="26" t="s">
        <v>46</v>
      </c>
      <c r="O45" s="26" t="s">
        <v>37</v>
      </c>
      <c r="P45" s="26" t="s">
        <v>47</v>
      </c>
      <c r="Q45" s="26" t="s">
        <v>48</v>
      </c>
    </row>
    <row r="46" spans="1:17" x14ac:dyDescent="0.35">
      <c r="A46" s="40">
        <v>1019</v>
      </c>
      <c r="B46" s="40">
        <v>10.1</v>
      </c>
      <c r="C46" s="37">
        <v>4.3080601130129702E+17</v>
      </c>
      <c r="D46" s="37">
        <f t="shared" ref="D46:D79" si="21">B46*101325/8.314/A46/1000000</f>
        <v>1.2079634172280674E-4</v>
      </c>
      <c r="E46" s="31">
        <f>C46*D46*A46^(-0.8)</f>
        <v>204077999999.99997</v>
      </c>
      <c r="F46" s="31">
        <f>E46</f>
        <v>204077999999.99997</v>
      </c>
      <c r="G46" s="27">
        <v>196617272132.44482</v>
      </c>
      <c r="H46" s="32">
        <v>0.23</v>
      </c>
      <c r="I46" s="32">
        <v>0.23</v>
      </c>
      <c r="J46" s="27">
        <f>(F46-G46)/G46</f>
        <v>3.7945434735405487E-2</v>
      </c>
      <c r="K46" s="32">
        <f>(F46/G46)*H46</f>
        <v>0.2387274499891433</v>
      </c>
      <c r="L46" s="32">
        <f>(F46/G46)*I46</f>
        <v>0.2387274499891433</v>
      </c>
      <c r="M46" s="27">
        <v>188000000000</v>
      </c>
      <c r="N46" s="32">
        <f>(M46-G46)/G46</f>
        <v>-4.3827645653836962E-2</v>
      </c>
      <c r="O46" s="31">
        <v>223229818170.00595</v>
      </c>
      <c r="P46" s="27">
        <f>(M46-O46)/O46</f>
        <v>-0.15781860353071581</v>
      </c>
      <c r="Q46" s="27">
        <f>(F46-O46)/O46</f>
        <v>-8.5794175379475784E-2</v>
      </c>
    </row>
    <row r="47" spans="1:17" x14ac:dyDescent="0.35">
      <c r="A47" s="40">
        <v>1045</v>
      </c>
      <c r="B47" s="40">
        <v>26.4</v>
      </c>
      <c r="C47" s="37">
        <v>3.8664187411432717E+17</v>
      </c>
      <c r="D47" s="37">
        <f t="shared" si="21"/>
        <v>3.0788903941354469E-4</v>
      </c>
      <c r="E47" s="31">
        <f t="shared" ref="E47:E79" si="22">C47*D47*A47^(-0.8)</f>
        <v>457520000000</v>
      </c>
      <c r="F47" s="31">
        <f t="shared" ref="F47:F79" si="23">E47</f>
        <v>457520000000</v>
      </c>
      <c r="G47" s="37">
        <v>467913658446.28699</v>
      </c>
      <c r="H47" s="32">
        <v>0.2</v>
      </c>
      <c r="I47" s="32">
        <v>0.2</v>
      </c>
      <c r="J47" s="27">
        <f t="shared" ref="J47:J79" si="24">(F47-G47)/G47</f>
        <v>-2.2212769938794386E-2</v>
      </c>
      <c r="K47" s="32">
        <f t="shared" ref="K47:K79" si="25">(F47/G47)*H47</f>
        <v>0.19555744601224112</v>
      </c>
      <c r="L47" s="32">
        <f t="shared" ref="L47:L79" si="26">(F47/G47)*I47</f>
        <v>0.19555744601224112</v>
      </c>
      <c r="M47" s="27">
        <v>438000000000</v>
      </c>
      <c r="N47" s="32">
        <f t="shared" ref="N47:N79" si="27">(M47-G47)/G47</f>
        <v>-6.3929868056460795E-2</v>
      </c>
      <c r="O47" s="31">
        <v>529698077196.28717</v>
      </c>
      <c r="P47" s="27">
        <f t="shared" ref="P47:P79" si="28">(M47-O47)/O47</f>
        <v>-0.17311385701388368</v>
      </c>
      <c r="Q47" s="27">
        <f t="shared" ref="Q47:Q79" si="29">(F47-O47)/O47</f>
        <v>-0.13626267548171703</v>
      </c>
    </row>
    <row r="48" spans="1:17" x14ac:dyDescent="0.35">
      <c r="A48" s="40">
        <v>1075</v>
      </c>
      <c r="B48" s="40">
        <v>11.3</v>
      </c>
      <c r="C48" s="37">
        <v>4.4149053427206163E+17</v>
      </c>
      <c r="D48" s="37">
        <f t="shared" si="21"/>
        <v>1.2810809450017064E-4</v>
      </c>
      <c r="E48" s="31">
        <f t="shared" si="22"/>
        <v>212506000000.00003</v>
      </c>
      <c r="F48" s="31">
        <f t="shared" si="23"/>
        <v>212506000000.00003</v>
      </c>
      <c r="G48" s="27">
        <v>191167407326.20621</v>
      </c>
      <c r="H48" s="32">
        <v>0.23</v>
      </c>
      <c r="I48" s="32">
        <v>0.23</v>
      </c>
      <c r="J48" s="27">
        <f t="shared" si="24"/>
        <v>0.11162254576891267</v>
      </c>
      <c r="K48" s="32">
        <f t="shared" si="25"/>
        <v>0.25567318552684992</v>
      </c>
      <c r="L48" s="32">
        <f t="shared" si="26"/>
        <v>0.25567318552684992</v>
      </c>
      <c r="M48" s="27">
        <v>208000000000</v>
      </c>
      <c r="N48" s="32">
        <f t="shared" si="27"/>
        <v>8.8051582166780246E-2</v>
      </c>
      <c r="O48" s="31">
        <v>222564329869.43079</v>
      </c>
      <c r="P48" s="27">
        <f t="shared" si="28"/>
        <v>-6.5438742488408058E-2</v>
      </c>
      <c r="Q48" s="27">
        <f t="shared" si="29"/>
        <v>-4.5192910630969294E-2</v>
      </c>
    </row>
    <row r="49" spans="1:17" x14ac:dyDescent="0.35">
      <c r="A49" s="40">
        <v>1078</v>
      </c>
      <c r="B49" s="40">
        <v>24.1</v>
      </c>
      <c r="C49" s="37">
        <v>4.0194904451678682E+17</v>
      </c>
      <c r="D49" s="37">
        <f t="shared" si="21"/>
        <v>2.7246133106729689E-4</v>
      </c>
      <c r="E49" s="31">
        <f t="shared" si="22"/>
        <v>410563999999.99994</v>
      </c>
      <c r="F49" s="31">
        <f t="shared" si="23"/>
        <v>410563999999.99994</v>
      </c>
      <c r="G49" s="37">
        <v>401123174318.26086</v>
      </c>
      <c r="H49" s="32">
        <v>0.2</v>
      </c>
      <c r="I49" s="32">
        <v>0.2</v>
      </c>
      <c r="J49" s="27">
        <f t="shared" si="24"/>
        <v>2.3535976692906042E-2</v>
      </c>
      <c r="K49" s="32">
        <f t="shared" si="25"/>
        <v>0.2047071953385812</v>
      </c>
      <c r="L49" s="32">
        <f t="shared" si="26"/>
        <v>0.2047071953385812</v>
      </c>
      <c r="M49" s="27">
        <v>429000000000</v>
      </c>
      <c r="N49" s="32">
        <f t="shared" si="27"/>
        <v>6.9496921311310189E-2</v>
      </c>
      <c r="O49" s="31">
        <v>456191882962.42761</v>
      </c>
      <c r="P49" s="27">
        <f t="shared" si="28"/>
        <v>-5.9606240220339828E-2</v>
      </c>
      <c r="Q49" s="27">
        <f t="shared" si="29"/>
        <v>-0.10001905923035818</v>
      </c>
    </row>
    <row r="50" spans="1:17" x14ac:dyDescent="0.35">
      <c r="A50" s="40">
        <v>1097</v>
      </c>
      <c r="B50" s="40">
        <v>31.7</v>
      </c>
      <c r="C50" s="37">
        <v>3.9163903948018157E+17</v>
      </c>
      <c r="D50" s="37">
        <f t="shared" si="21"/>
        <v>3.5217557056893409E-4</v>
      </c>
      <c r="E50" s="31">
        <f t="shared" si="22"/>
        <v>509894000000</v>
      </c>
      <c r="F50" s="31">
        <f t="shared" si="23"/>
        <v>509894000000</v>
      </c>
      <c r="G50" s="27">
        <v>515411120862.55536</v>
      </c>
      <c r="H50" s="32">
        <v>0.19</v>
      </c>
      <c r="I50" s="32">
        <v>0.19</v>
      </c>
      <c r="J50" s="27">
        <f t="shared" si="24"/>
        <v>-1.07043108680354E-2</v>
      </c>
      <c r="K50" s="32">
        <f t="shared" si="25"/>
        <v>0.18796618093507328</v>
      </c>
      <c r="L50" s="32">
        <f t="shared" si="26"/>
        <v>0.18796618093507328</v>
      </c>
      <c r="M50" s="27">
        <v>538000000000</v>
      </c>
      <c r="N50" s="32">
        <f t="shared" si="27"/>
        <v>4.3826914521443584E-2</v>
      </c>
      <c r="O50" s="31">
        <v>570431216561.29602</v>
      </c>
      <c r="P50" s="27">
        <f t="shared" si="28"/>
        <v>-5.6853860061866206E-2</v>
      </c>
      <c r="Q50" s="27">
        <f t="shared" si="29"/>
        <v>-0.10612535710480522</v>
      </c>
    </row>
    <row r="51" spans="1:17" x14ac:dyDescent="0.35">
      <c r="A51" s="40">
        <v>1106</v>
      </c>
      <c r="B51" s="40">
        <v>67.5</v>
      </c>
      <c r="C51" s="37">
        <v>3.2173492757416365E+17</v>
      </c>
      <c r="D51" s="37">
        <f t="shared" si="21"/>
        <v>7.437983970913786E-4</v>
      </c>
      <c r="E51" s="31">
        <f t="shared" si="22"/>
        <v>878920000000.00024</v>
      </c>
      <c r="F51" s="31">
        <f t="shared" si="23"/>
        <v>878920000000.00024</v>
      </c>
      <c r="G51" s="27">
        <v>962378153904.77234</v>
      </c>
      <c r="H51" s="32">
        <v>0.23</v>
      </c>
      <c r="I51" s="32">
        <v>0.23</v>
      </c>
      <c r="J51" s="27">
        <f t="shared" si="24"/>
        <v>-8.6720748560373401E-2</v>
      </c>
      <c r="K51" s="32">
        <f t="shared" si="25"/>
        <v>0.21005422783111413</v>
      </c>
      <c r="L51" s="32">
        <f t="shared" si="26"/>
        <v>0.21005422783111413</v>
      </c>
      <c r="M51" s="27">
        <v>931000000000</v>
      </c>
      <c r="N51" s="32">
        <f t="shared" si="27"/>
        <v>-3.2604806933176932E-2</v>
      </c>
      <c r="O51" s="31">
        <v>1133971640891.1064</v>
      </c>
      <c r="P51" s="27">
        <f t="shared" si="28"/>
        <v>-0.17899181387958316</v>
      </c>
      <c r="Q51" s="27">
        <f t="shared" si="29"/>
        <v>-0.22491888835128146</v>
      </c>
    </row>
    <row r="52" spans="1:17" x14ac:dyDescent="0.35">
      <c r="A52" s="40">
        <v>1115</v>
      </c>
      <c r="B52" s="40">
        <v>32.700000000000003</v>
      </c>
      <c r="C52" s="37">
        <v>3.7664054223363219E+17</v>
      </c>
      <c r="D52" s="37">
        <f t="shared" si="21"/>
        <v>3.5742051604565641E-4</v>
      </c>
      <c r="E52" s="31">
        <f t="shared" si="22"/>
        <v>491231999999.99982</v>
      </c>
      <c r="F52" s="31">
        <f t="shared" si="23"/>
        <v>491231999999.99982</v>
      </c>
      <c r="G52" s="27">
        <v>493776280940.88361</v>
      </c>
      <c r="H52" s="32">
        <v>0.18</v>
      </c>
      <c r="I52" s="32">
        <v>0.18</v>
      </c>
      <c r="J52" s="27">
        <f t="shared" si="24"/>
        <v>-5.1526997935901217E-3</v>
      </c>
      <c r="K52" s="32">
        <f t="shared" si="25"/>
        <v>0.17907251403715377</v>
      </c>
      <c r="L52" s="32">
        <f t="shared" si="26"/>
        <v>0.17907251403715377</v>
      </c>
      <c r="M52" s="27">
        <v>506000000000</v>
      </c>
      <c r="N52" s="32">
        <f t="shared" si="27"/>
        <v>2.4755581689392354E-2</v>
      </c>
      <c r="O52" s="31">
        <v>568298418279.91772</v>
      </c>
      <c r="P52" s="27">
        <f t="shared" si="28"/>
        <v>-0.10962271981765816</v>
      </c>
      <c r="Q52" s="27">
        <f t="shared" si="29"/>
        <v>-0.13560906699894865</v>
      </c>
    </row>
    <row r="53" spans="1:17" x14ac:dyDescent="0.35">
      <c r="A53" s="40">
        <v>1115</v>
      </c>
      <c r="B53" s="40">
        <v>66</v>
      </c>
      <c r="C53" s="37">
        <v>3.498905037227209E+17</v>
      </c>
      <c r="D53" s="37">
        <f t="shared" si="21"/>
        <v>7.2139920669765515E-4</v>
      </c>
      <c r="E53" s="31">
        <f t="shared" si="22"/>
        <v>921059999999.99988</v>
      </c>
      <c r="F53" s="31">
        <f t="shared" si="23"/>
        <v>921059999999.99988</v>
      </c>
      <c r="G53" s="27">
        <v>1034669256960.6512</v>
      </c>
      <c r="H53" s="32">
        <v>0.24</v>
      </c>
      <c r="I53" s="32">
        <v>0.24</v>
      </c>
      <c r="J53" s="27">
        <f t="shared" si="24"/>
        <v>-0.10980248634658327</v>
      </c>
      <c r="K53" s="32">
        <f t="shared" si="25"/>
        <v>0.21364740327682</v>
      </c>
      <c r="L53" s="32">
        <f t="shared" si="26"/>
        <v>0.21364740327682</v>
      </c>
      <c r="M53" s="27">
        <v>1080000000000</v>
      </c>
      <c r="N53" s="32">
        <f t="shared" si="27"/>
        <v>4.3811819800762375E-2</v>
      </c>
      <c r="O53" s="31">
        <v>1093266046980.045</v>
      </c>
      <c r="P53" s="27">
        <f t="shared" si="28"/>
        <v>-1.2134326330439113E-2</v>
      </c>
      <c r="Q53" s="27">
        <f t="shared" si="29"/>
        <v>-0.1575152246388096</v>
      </c>
    </row>
    <row r="54" spans="1:17" x14ac:dyDescent="0.35">
      <c r="A54" s="40">
        <v>1125</v>
      </c>
      <c r="B54" s="40">
        <v>127</v>
      </c>
      <c r="C54" s="37">
        <v>2.5482566941774547E+17</v>
      </c>
      <c r="D54" s="37">
        <f t="shared" si="21"/>
        <v>1.3758078742683024E-3</v>
      </c>
      <c r="E54" s="31">
        <f t="shared" si="22"/>
        <v>1270219999999.9995</v>
      </c>
      <c r="F54" s="31">
        <f t="shared" si="23"/>
        <v>1270219999999.9995</v>
      </c>
      <c r="G54" s="27">
        <v>1852229041980.8979</v>
      </c>
      <c r="H54" s="32">
        <v>0.26</v>
      </c>
      <c r="I54" s="32">
        <v>0.26</v>
      </c>
      <c r="J54" s="27">
        <f t="shared" si="24"/>
        <v>-0.31422088132170684</v>
      </c>
      <c r="K54" s="32">
        <f t="shared" si="25"/>
        <v>0.17830257085635623</v>
      </c>
      <c r="L54" s="32">
        <f t="shared" si="26"/>
        <v>0.17830257085635623</v>
      </c>
      <c r="M54" s="27">
        <v>2360000000000</v>
      </c>
      <c r="N54" s="32">
        <f t="shared" si="27"/>
        <v>0.27414047966554811</v>
      </c>
      <c r="O54" s="31">
        <v>1942121388971.7908</v>
      </c>
      <c r="P54" s="27">
        <f t="shared" si="28"/>
        <v>0.21516606191616322</v>
      </c>
      <c r="Q54" s="27">
        <f t="shared" si="29"/>
        <v>-0.34596261221731006</v>
      </c>
    </row>
    <row r="55" spans="1:17" x14ac:dyDescent="0.35">
      <c r="A55" s="40">
        <v>1134</v>
      </c>
      <c r="B55" s="40">
        <v>33.200000000000003</v>
      </c>
      <c r="C55" s="37">
        <v>3.8195563560287936E+17</v>
      </c>
      <c r="D55" s="37">
        <f t="shared" si="21"/>
        <v>3.5680556669250442E-4</v>
      </c>
      <c r="E55" s="31">
        <f t="shared" si="22"/>
        <v>490629999999.99994</v>
      </c>
      <c r="F55" s="31">
        <f t="shared" si="23"/>
        <v>490629999999.99994</v>
      </c>
      <c r="G55" s="27">
        <v>540147617817.1377</v>
      </c>
      <c r="H55" s="32">
        <v>0.18</v>
      </c>
      <c r="I55" s="32">
        <v>0.18</v>
      </c>
      <c r="J55" s="27">
        <f t="shared" si="24"/>
        <v>-9.1674231605889486E-2</v>
      </c>
      <c r="K55" s="32">
        <f t="shared" si="25"/>
        <v>0.16349863831093989</v>
      </c>
      <c r="L55" s="32">
        <f t="shared" si="26"/>
        <v>0.16349863831093989</v>
      </c>
      <c r="M55" s="27">
        <v>506000000000</v>
      </c>
      <c r="N55" s="32">
        <f t="shared" si="27"/>
        <v>-6.321904733216481E-2</v>
      </c>
      <c r="O55" s="31">
        <v>557034868345.6687</v>
      </c>
      <c r="P55" s="27">
        <f t="shared" si="28"/>
        <v>-9.1618803859148987E-2</v>
      </c>
      <c r="Q55" s="27">
        <f t="shared" si="29"/>
        <v>-0.11921133149686626</v>
      </c>
    </row>
    <row r="56" spans="1:17" x14ac:dyDescent="0.35">
      <c r="A56" s="40">
        <v>1139</v>
      </c>
      <c r="B56" s="40">
        <v>23.4</v>
      </c>
      <c r="C56" s="37">
        <v>3.987803137078951E+17</v>
      </c>
      <c r="D56" s="37">
        <f t="shared" si="21"/>
        <v>2.5037947564248971E-4</v>
      </c>
      <c r="E56" s="31">
        <f t="shared" si="22"/>
        <v>358190000000.00012</v>
      </c>
      <c r="F56" s="31">
        <f t="shared" si="23"/>
        <v>358190000000.00012</v>
      </c>
      <c r="G56" s="27">
        <v>366477850052.56836</v>
      </c>
      <c r="H56" s="32">
        <v>0.19</v>
      </c>
      <c r="I56" s="32">
        <v>0.19</v>
      </c>
      <c r="J56" s="27">
        <f t="shared" si="24"/>
        <v>-2.2614873044522091E-2</v>
      </c>
      <c r="K56" s="32">
        <f t="shared" si="25"/>
        <v>0.1857031741215408</v>
      </c>
      <c r="L56" s="32">
        <f t="shared" si="26"/>
        <v>0.1857031741215408</v>
      </c>
      <c r="M56" s="27">
        <v>367000000000</v>
      </c>
      <c r="N56" s="32">
        <f t="shared" si="27"/>
        <v>1.424779007399062E-3</v>
      </c>
      <c r="O56" s="31">
        <v>396302885328.30481</v>
      </c>
      <c r="P56" s="27">
        <f t="shared" si="28"/>
        <v>-7.3940630798157686E-2</v>
      </c>
      <c r="Q56" s="27">
        <f t="shared" si="29"/>
        <v>-9.6171102304065365E-2</v>
      </c>
    </row>
    <row r="57" spans="1:17" x14ac:dyDescent="0.35">
      <c r="A57" s="40">
        <v>1145</v>
      </c>
      <c r="B57" s="40">
        <v>91.4</v>
      </c>
      <c r="C57" s="37">
        <v>2.892744326246503E+17</v>
      </c>
      <c r="D57" s="37">
        <f t="shared" si="21"/>
        <v>9.728531765748939E-4</v>
      </c>
      <c r="E57" s="31">
        <f t="shared" si="22"/>
        <v>1005339999999.9998</v>
      </c>
      <c r="F57" s="31">
        <f t="shared" si="23"/>
        <v>1005339999999.9998</v>
      </c>
      <c r="G57" s="27">
        <v>1289885337369.3948</v>
      </c>
      <c r="H57" s="32">
        <v>0.26</v>
      </c>
      <c r="I57" s="32">
        <v>0.26</v>
      </c>
      <c r="J57" s="27">
        <f t="shared" si="24"/>
        <v>-0.22059738887310687</v>
      </c>
      <c r="K57" s="32">
        <f t="shared" si="25"/>
        <v>0.20264467889299223</v>
      </c>
      <c r="L57" s="32">
        <f t="shared" si="26"/>
        <v>0.20264467889299223</v>
      </c>
      <c r="M57" s="27">
        <v>1360000000000</v>
      </c>
      <c r="N57" s="32">
        <f t="shared" si="27"/>
        <v>5.4357283240072933E-2</v>
      </c>
      <c r="O57" s="31">
        <v>1397614172296.2778</v>
      </c>
      <c r="P57" s="27">
        <f t="shared" si="28"/>
        <v>-2.6913130277205051E-2</v>
      </c>
      <c r="Q57" s="27">
        <f t="shared" si="29"/>
        <v>-0.28067415175947469</v>
      </c>
    </row>
    <row r="58" spans="1:17" x14ac:dyDescent="0.35">
      <c r="A58" s="40">
        <v>1147</v>
      </c>
      <c r="B58" s="40">
        <v>24.6</v>
      </c>
      <c r="C58" s="37">
        <v>4.1899963142141696E+17</v>
      </c>
      <c r="D58" s="37">
        <f t="shared" si="21"/>
        <v>2.6138356767998181E-4</v>
      </c>
      <c r="E58" s="31">
        <f t="shared" si="22"/>
        <v>390698000000</v>
      </c>
      <c r="F58" s="31">
        <f t="shared" si="23"/>
        <v>390698000000</v>
      </c>
      <c r="G58" s="27">
        <v>401961759255.33533</v>
      </c>
      <c r="H58" s="32">
        <v>0.19</v>
      </c>
      <c r="I58" s="32">
        <v>0.19</v>
      </c>
      <c r="J58" s="27">
        <f t="shared" si="24"/>
        <v>-2.8021967254303733E-2</v>
      </c>
      <c r="K58" s="32">
        <f t="shared" si="25"/>
        <v>0.1846758262216823</v>
      </c>
      <c r="L58" s="32">
        <f t="shared" si="26"/>
        <v>0.1846758262216823</v>
      </c>
      <c r="M58" s="27">
        <v>383000000000</v>
      </c>
      <c r="N58" s="32">
        <f t="shared" si="27"/>
        <v>-4.7173042755269623E-2</v>
      </c>
      <c r="O58" s="31">
        <v>409673440849.43683</v>
      </c>
      <c r="P58" s="27">
        <f t="shared" si="28"/>
        <v>-6.5109031217964283E-2</v>
      </c>
      <c r="Q58" s="27">
        <f t="shared" si="29"/>
        <v>-4.6318455036021437E-2</v>
      </c>
    </row>
    <row r="59" spans="1:17" x14ac:dyDescent="0.35">
      <c r="A59" s="40">
        <v>1147</v>
      </c>
      <c r="B59" s="40">
        <v>99</v>
      </c>
      <c r="C59" s="37">
        <v>2.8234592523107296E+17</v>
      </c>
      <c r="D59" s="37">
        <f t="shared" si="21"/>
        <v>1.0519094796877316E-3</v>
      </c>
      <c r="E59" s="31">
        <f t="shared" si="22"/>
        <v>1059519999999.9999</v>
      </c>
      <c r="F59" s="31">
        <f t="shared" si="23"/>
        <v>1059519999999.9999</v>
      </c>
      <c r="G59" s="27">
        <v>1514347884226.356</v>
      </c>
      <c r="H59" s="32">
        <v>0.26</v>
      </c>
      <c r="I59" s="32">
        <v>0.26</v>
      </c>
      <c r="J59" s="27">
        <f t="shared" si="24"/>
        <v>-0.30034570587373111</v>
      </c>
      <c r="K59" s="32">
        <f t="shared" si="25"/>
        <v>0.18191011647282992</v>
      </c>
      <c r="L59" s="32">
        <f t="shared" si="26"/>
        <v>0.18191011647282992</v>
      </c>
      <c r="M59" s="27">
        <v>1510000000000</v>
      </c>
      <c r="N59" s="32">
        <f t="shared" si="27"/>
        <v>-2.8711264245449035E-3</v>
      </c>
      <c r="O59" s="31">
        <v>1497429678671.2354</v>
      </c>
      <c r="P59" s="27">
        <f t="shared" si="28"/>
        <v>8.3945987633416586E-3</v>
      </c>
      <c r="Q59" s="27">
        <f t="shared" si="29"/>
        <v>-0.29244089716441352</v>
      </c>
    </row>
    <row r="60" spans="1:17" x14ac:dyDescent="0.35">
      <c r="A60" s="40">
        <v>1148</v>
      </c>
      <c r="B60" s="40">
        <v>92.2</v>
      </c>
      <c r="C60" s="37">
        <v>2.7776674686892864E+17</v>
      </c>
      <c r="D60" s="37">
        <f t="shared" si="21"/>
        <v>9.7880375153282435E-4</v>
      </c>
      <c r="E60" s="31">
        <f t="shared" si="22"/>
        <v>969220000000</v>
      </c>
      <c r="F60" s="31">
        <f t="shared" si="23"/>
        <v>969220000000</v>
      </c>
      <c r="G60" s="27">
        <v>1276262947735.3369</v>
      </c>
      <c r="H60" s="32">
        <v>0.26</v>
      </c>
      <c r="I60" s="32">
        <v>0.26</v>
      </c>
      <c r="J60" s="27">
        <f t="shared" si="24"/>
        <v>-0.24057969267239862</v>
      </c>
      <c r="K60" s="32">
        <f t="shared" si="25"/>
        <v>0.19744927990517636</v>
      </c>
      <c r="L60" s="32">
        <f t="shared" si="26"/>
        <v>0.19744927990517636</v>
      </c>
      <c r="M60" s="27">
        <v>1350000000000</v>
      </c>
      <c r="N60" s="32">
        <f t="shared" si="27"/>
        <v>5.7775752555933479E-2</v>
      </c>
      <c r="O60" s="31">
        <v>1401583418920.634</v>
      </c>
      <c r="P60" s="27">
        <f t="shared" si="28"/>
        <v>-3.6803673776590953E-2</v>
      </c>
      <c r="Q60" s="27">
        <f t="shared" si="29"/>
        <v>-0.30848211607240555</v>
      </c>
    </row>
    <row r="61" spans="1:17" x14ac:dyDescent="0.35">
      <c r="A61" s="40">
        <v>1149</v>
      </c>
      <c r="B61" s="40">
        <v>92.6</v>
      </c>
      <c r="C61" s="37">
        <v>2.5635466941830928E+17</v>
      </c>
      <c r="D61" s="37">
        <f t="shared" si="21"/>
        <v>9.8219461840765607E-4</v>
      </c>
      <c r="E61" s="31">
        <f t="shared" si="22"/>
        <v>896979999999.99976</v>
      </c>
      <c r="F61" s="31">
        <f t="shared" si="23"/>
        <v>896979999999.99976</v>
      </c>
      <c r="G61" s="27">
        <v>1412365699532.6982</v>
      </c>
      <c r="H61" s="32">
        <v>0.26</v>
      </c>
      <c r="I61" s="32">
        <v>0.26</v>
      </c>
      <c r="J61" s="27">
        <f t="shared" si="24"/>
        <v>-0.36490952711696506</v>
      </c>
      <c r="K61" s="32">
        <f t="shared" si="25"/>
        <v>0.16512352294958907</v>
      </c>
      <c r="L61" s="32">
        <f t="shared" si="26"/>
        <v>0.16512352294958907</v>
      </c>
      <c r="M61" s="27">
        <v>1240000000000</v>
      </c>
      <c r="N61" s="32">
        <f t="shared" si="27"/>
        <v>-0.1220404174285229</v>
      </c>
      <c r="O61" s="31">
        <v>1404727446085.3438</v>
      </c>
      <c r="P61" s="27">
        <f t="shared" si="28"/>
        <v>-0.11726648222358133</v>
      </c>
      <c r="Q61" s="27">
        <f t="shared" si="29"/>
        <v>-0.36145620098782916</v>
      </c>
    </row>
    <row r="62" spans="1:17" x14ac:dyDescent="0.35">
      <c r="A62" s="40">
        <v>1150</v>
      </c>
      <c r="B62" s="40">
        <v>130</v>
      </c>
      <c r="C62" s="37">
        <v>2.5568408987374051E+17</v>
      </c>
      <c r="D62" s="37">
        <f t="shared" si="21"/>
        <v>1.377691897375825E-3</v>
      </c>
      <c r="E62" s="31">
        <f t="shared" si="22"/>
        <v>1254000000000.0007</v>
      </c>
      <c r="F62" s="31">
        <f t="shared" si="23"/>
        <v>1254000000000.0007</v>
      </c>
      <c r="G62" s="27">
        <v>1770064317108.3257</v>
      </c>
      <c r="H62" s="32">
        <v>0.3</v>
      </c>
      <c r="I62" s="32">
        <v>0.3</v>
      </c>
      <c r="J62" s="27">
        <f t="shared" si="24"/>
        <v>-0.29155116688154925</v>
      </c>
      <c r="K62" s="32">
        <f t="shared" si="25"/>
        <v>0.21253464993553522</v>
      </c>
      <c r="L62" s="32">
        <f t="shared" si="26"/>
        <v>0.21253464993553522</v>
      </c>
      <c r="M62" s="27">
        <v>1770000000000</v>
      </c>
      <c r="N62" s="32">
        <f t="shared" si="27"/>
        <v>-3.6336028981565797E-5</v>
      </c>
      <c r="O62" s="31">
        <v>1902305745167.4922</v>
      </c>
      <c r="P62" s="27">
        <f t="shared" si="28"/>
        <v>-6.9550200068308726E-2</v>
      </c>
      <c r="Q62" s="27">
        <f t="shared" si="29"/>
        <v>-0.34079997225178443</v>
      </c>
    </row>
    <row r="63" spans="1:17" x14ac:dyDescent="0.35">
      <c r="A63" s="40">
        <v>1156</v>
      </c>
      <c r="B63" s="40">
        <v>11.2</v>
      </c>
      <c r="C63" s="37">
        <v>4.400655829349961E+17</v>
      </c>
      <c r="D63" s="37">
        <f t="shared" si="21"/>
        <v>1.1807739977509066E-4</v>
      </c>
      <c r="E63" s="31">
        <f t="shared" si="22"/>
        <v>184211999999.99997</v>
      </c>
      <c r="F63" s="31">
        <f t="shared" si="23"/>
        <v>184211999999.99997</v>
      </c>
      <c r="G63" s="27">
        <v>161008652529.66589</v>
      </c>
      <c r="H63" s="32">
        <v>0.22</v>
      </c>
      <c r="I63" s="32">
        <v>0.22</v>
      </c>
      <c r="J63" s="27">
        <f t="shared" si="24"/>
        <v>0.14411242567264423</v>
      </c>
      <c r="K63" s="32">
        <f t="shared" si="25"/>
        <v>0.25170473364798174</v>
      </c>
      <c r="L63" s="32">
        <f t="shared" si="26"/>
        <v>0.25170473364798174</v>
      </c>
      <c r="M63" s="27">
        <v>189000000000</v>
      </c>
      <c r="N63" s="32">
        <f t="shared" si="27"/>
        <v>0.17384995794046965</v>
      </c>
      <c r="O63" s="31">
        <v>189653229846.94748</v>
      </c>
      <c r="P63" s="27">
        <f t="shared" si="28"/>
        <v>-3.4443381084236944E-3</v>
      </c>
      <c r="Q63" s="27">
        <f t="shared" si="29"/>
        <v>-2.869041487634379E-2</v>
      </c>
    </row>
    <row r="64" spans="1:17" x14ac:dyDescent="0.35">
      <c r="A64" s="40">
        <v>1182</v>
      </c>
      <c r="B64" s="40">
        <v>151</v>
      </c>
      <c r="C64" s="37">
        <v>2.1428003987124326E+17</v>
      </c>
      <c r="D64" s="37">
        <f t="shared" si="21"/>
        <v>1.5569191590479761E-3</v>
      </c>
      <c r="E64" s="31">
        <f t="shared" si="22"/>
        <v>1161860000000</v>
      </c>
      <c r="F64" s="31">
        <f t="shared" si="23"/>
        <v>1161860000000</v>
      </c>
      <c r="G64" s="27">
        <v>2157965901895.749</v>
      </c>
      <c r="H64" s="32">
        <v>0.34</v>
      </c>
      <c r="I64" s="32">
        <v>0.34</v>
      </c>
      <c r="J64" s="27">
        <f t="shared" si="24"/>
        <v>-0.4615948291957167</v>
      </c>
      <c r="K64" s="32">
        <f t="shared" si="25"/>
        <v>0.18305775807345634</v>
      </c>
      <c r="L64" s="32">
        <f t="shared" si="26"/>
        <v>0.18305775807345634</v>
      </c>
      <c r="M64" s="27">
        <v>2340000000000</v>
      </c>
      <c r="N64" s="32">
        <f t="shared" si="27"/>
        <v>8.4354483054776747E-2</v>
      </c>
      <c r="O64" s="31">
        <v>2062950672487.9041</v>
      </c>
      <c r="P64" s="27">
        <f t="shared" si="28"/>
        <v>0.1342976015892694</v>
      </c>
      <c r="Q64" s="27">
        <f t="shared" si="29"/>
        <v>-0.43679700368268864</v>
      </c>
    </row>
    <row r="65" spans="1:17" x14ac:dyDescent="0.35">
      <c r="A65" s="40">
        <v>1186</v>
      </c>
      <c r="B65" s="40">
        <v>26.8</v>
      </c>
      <c r="C65" s="37">
        <v>4.1035066443866291E+17</v>
      </c>
      <c r="D65" s="37">
        <f t="shared" si="21"/>
        <v>2.7539540976211519E-4</v>
      </c>
      <c r="E65" s="31">
        <f t="shared" si="22"/>
        <v>392503999999.99994</v>
      </c>
      <c r="F65" s="31">
        <f t="shared" si="23"/>
        <v>392503999999.99994</v>
      </c>
      <c r="G65" s="27">
        <v>389305752361.80853</v>
      </c>
      <c r="H65" s="32">
        <v>0.18</v>
      </c>
      <c r="I65" s="32">
        <v>0.18</v>
      </c>
      <c r="J65" s="27">
        <f t="shared" si="24"/>
        <v>8.2152591344683123E-3</v>
      </c>
      <c r="K65" s="32">
        <f t="shared" si="25"/>
        <v>0.1814787466442043</v>
      </c>
      <c r="L65" s="32">
        <f t="shared" si="26"/>
        <v>0.1814787466442043</v>
      </c>
      <c r="M65" s="27">
        <v>408000000000</v>
      </c>
      <c r="N65" s="32">
        <f t="shared" si="27"/>
        <v>4.801944878743436E-2</v>
      </c>
      <c r="O65" s="31">
        <v>414896839811.67981</v>
      </c>
      <c r="P65" s="27">
        <f t="shared" si="28"/>
        <v>-1.6623023243103659E-2</v>
      </c>
      <c r="Q65" s="27">
        <f t="shared" si="29"/>
        <v>-5.3972066458360834E-2</v>
      </c>
    </row>
    <row r="66" spans="1:17" x14ac:dyDescent="0.35">
      <c r="A66" s="40">
        <v>1188</v>
      </c>
      <c r="B66" s="40">
        <v>25.3</v>
      </c>
      <c r="C66" s="37">
        <v>4.0122706543006144E+17</v>
      </c>
      <c r="D66" s="37">
        <f t="shared" si="21"/>
        <v>2.5954380830192712E-4</v>
      </c>
      <c r="E66" s="31">
        <f t="shared" si="22"/>
        <v>361199999999.99994</v>
      </c>
      <c r="F66" s="31">
        <f t="shared" si="23"/>
        <v>361199999999.99994</v>
      </c>
      <c r="G66" s="27">
        <v>374375832896.56653</v>
      </c>
      <c r="H66" s="32">
        <v>0.18</v>
      </c>
      <c r="I66" s="32">
        <v>0.18</v>
      </c>
      <c r="J66" s="27">
        <f t="shared" si="24"/>
        <v>-3.5194133111169174E-2</v>
      </c>
      <c r="K66" s="32">
        <f t="shared" si="25"/>
        <v>0.17366505603998955</v>
      </c>
      <c r="L66" s="32">
        <f t="shared" si="26"/>
        <v>0.17366505603998955</v>
      </c>
      <c r="M66" s="27">
        <v>377000000000</v>
      </c>
      <c r="N66" s="32">
        <f t="shared" si="27"/>
        <v>7.0094457837466314E-3</v>
      </c>
      <c r="O66" s="31">
        <v>391406642406.49408</v>
      </c>
      <c r="P66" s="27">
        <f t="shared" si="28"/>
        <v>-3.6807352879648141E-2</v>
      </c>
      <c r="Q66" s="27">
        <f t="shared" si="29"/>
        <v>-7.717457787832617E-2</v>
      </c>
    </row>
    <row r="67" spans="1:17" x14ac:dyDescent="0.35">
      <c r="A67" s="40">
        <v>1191</v>
      </c>
      <c r="B67" s="40">
        <v>152</v>
      </c>
      <c r="C67" s="37">
        <v>2.1356046066278026E+17</v>
      </c>
      <c r="D67" s="37">
        <f t="shared" si="21"/>
        <v>1.5553868349886598E-3</v>
      </c>
      <c r="E67" s="31">
        <f t="shared" si="22"/>
        <v>1149820000000</v>
      </c>
      <c r="F67" s="31">
        <f t="shared" si="23"/>
        <v>1149820000000</v>
      </c>
      <c r="G67" s="27">
        <v>2087928907560.6389</v>
      </c>
      <c r="H67" s="32">
        <v>0.34</v>
      </c>
      <c r="I67" s="32">
        <v>0.34</v>
      </c>
      <c r="J67" s="27">
        <f t="shared" si="24"/>
        <v>-0.44930117312118961</v>
      </c>
      <c r="K67" s="32">
        <f t="shared" si="25"/>
        <v>0.18723760113879556</v>
      </c>
      <c r="L67" s="32">
        <f t="shared" si="26"/>
        <v>0.18723760113879556</v>
      </c>
      <c r="M67" s="27">
        <v>2140000000000</v>
      </c>
      <c r="N67" s="32">
        <f t="shared" si="27"/>
        <v>2.4939111791979825E-2</v>
      </c>
      <c r="O67" s="31">
        <v>2045639513642.0137</v>
      </c>
      <c r="P67" s="27">
        <f t="shared" si="28"/>
        <v>4.612762206083363E-2</v>
      </c>
      <c r="Q67" s="27">
        <f t="shared" si="29"/>
        <v>-0.43791660635608048</v>
      </c>
    </row>
    <row r="68" spans="1:17" x14ac:dyDescent="0.35">
      <c r="A68" s="40">
        <v>1202</v>
      </c>
      <c r="B68" s="40">
        <v>93.5</v>
      </c>
      <c r="C68" s="37">
        <v>2.7720278485162186E+17</v>
      </c>
      <c r="D68" s="37">
        <f t="shared" si="21"/>
        <v>9.4801178334401369E-4</v>
      </c>
      <c r="E68" s="31">
        <f t="shared" si="22"/>
        <v>903000000000</v>
      </c>
      <c r="F68" s="31">
        <f t="shared" si="23"/>
        <v>903000000000</v>
      </c>
      <c r="G68" s="27">
        <v>1252451534596.124</v>
      </c>
      <c r="H68" s="32">
        <v>0.26</v>
      </c>
      <c r="I68" s="32">
        <v>0.26</v>
      </c>
      <c r="J68" s="27">
        <f t="shared" si="24"/>
        <v>-0.27901401766321526</v>
      </c>
      <c r="K68" s="32">
        <f t="shared" si="25"/>
        <v>0.18745635540756403</v>
      </c>
      <c r="L68" s="32">
        <f t="shared" si="26"/>
        <v>0.18745635540756403</v>
      </c>
      <c r="M68" s="27">
        <v>1170000000000</v>
      </c>
      <c r="N68" s="32">
        <f t="shared" si="27"/>
        <v>-6.5832115909149364E-2</v>
      </c>
      <c r="O68" s="31">
        <v>1297946833566.2903</v>
      </c>
      <c r="P68" s="27">
        <f t="shared" si="28"/>
        <v>-9.8576328596402113E-2</v>
      </c>
      <c r="Q68" s="27">
        <f t="shared" si="29"/>
        <v>-0.30428583309619756</v>
      </c>
    </row>
    <row r="69" spans="1:17" x14ac:dyDescent="0.35">
      <c r="A69" s="40">
        <v>1203</v>
      </c>
      <c r="B69" s="40">
        <v>67</v>
      </c>
      <c r="C69" s="37">
        <v>3.4093152156917344E+17</v>
      </c>
      <c r="D69" s="37">
        <f t="shared" si="21"/>
        <v>6.7875926013688417E-4</v>
      </c>
      <c r="E69" s="31">
        <f t="shared" si="22"/>
        <v>794640000000.00012</v>
      </c>
      <c r="F69" s="31">
        <f t="shared" si="23"/>
        <v>794640000000.00012</v>
      </c>
      <c r="G69" s="27">
        <v>1009700223648.9448</v>
      </c>
      <c r="H69" s="32">
        <v>0.23</v>
      </c>
      <c r="I69" s="32">
        <v>0.23</v>
      </c>
      <c r="J69" s="27">
        <f t="shared" si="24"/>
        <v>-0.212994132923672</v>
      </c>
      <c r="K69" s="32">
        <f t="shared" si="25"/>
        <v>0.18101134942755545</v>
      </c>
      <c r="L69" s="32">
        <f t="shared" si="26"/>
        <v>0.18101134942755545</v>
      </c>
      <c r="M69" s="27">
        <v>902000000000</v>
      </c>
      <c r="N69" s="32">
        <f t="shared" si="27"/>
        <v>-0.10666554401634987</v>
      </c>
      <c r="O69" s="31">
        <v>953667465797.83984</v>
      </c>
      <c r="P69" s="27">
        <f t="shared" si="28"/>
        <v>-5.4177653795303538E-2</v>
      </c>
      <c r="Q69" s="27">
        <f t="shared" si="29"/>
        <v>-0.16675358183137459</v>
      </c>
    </row>
    <row r="70" spans="1:17" x14ac:dyDescent="0.35">
      <c r="A70" s="40">
        <v>1208</v>
      </c>
      <c r="B70" s="40">
        <v>92.6</v>
      </c>
      <c r="C70" s="37">
        <v>3.0689301119140058E+17</v>
      </c>
      <c r="D70" s="37">
        <f t="shared" si="21"/>
        <v>9.342231925086068E-4</v>
      </c>
      <c r="E70" s="31">
        <f t="shared" si="22"/>
        <v>981260000000</v>
      </c>
      <c r="F70" s="31">
        <f t="shared" si="23"/>
        <v>981260000000</v>
      </c>
      <c r="G70" s="27">
        <v>1186023841494.9866</v>
      </c>
      <c r="H70" s="32">
        <v>0.26</v>
      </c>
      <c r="I70" s="32">
        <v>0.26</v>
      </c>
      <c r="J70" s="27">
        <f t="shared" si="24"/>
        <v>-0.17264732320800663</v>
      </c>
      <c r="K70" s="32">
        <f t="shared" si="25"/>
        <v>0.21511169596591831</v>
      </c>
      <c r="L70" s="32">
        <f t="shared" si="26"/>
        <v>0.21511169596591831</v>
      </c>
      <c r="M70" s="27">
        <v>1280000000000</v>
      </c>
      <c r="N70" s="32">
        <f t="shared" si="27"/>
        <v>7.9236314833735721E-2</v>
      </c>
      <c r="O70" s="31">
        <v>1274041710101.2954</v>
      </c>
      <c r="P70" s="27">
        <f t="shared" si="28"/>
        <v>4.6766835429829555E-3</v>
      </c>
      <c r="Q70" s="27">
        <f t="shared" si="29"/>
        <v>-0.22980543555204105</v>
      </c>
    </row>
    <row r="71" spans="1:17" x14ac:dyDescent="0.35">
      <c r="A71" s="40">
        <v>1213</v>
      </c>
      <c r="B71" s="40">
        <v>150</v>
      </c>
      <c r="C71" s="37">
        <v>2.072627937749128E+17</v>
      </c>
      <c r="D71" s="37">
        <f t="shared" si="21"/>
        <v>1.5070825816306031E-3</v>
      </c>
      <c r="E71" s="31">
        <f t="shared" si="22"/>
        <v>1065540000000</v>
      </c>
      <c r="F71" s="31">
        <f t="shared" si="23"/>
        <v>1065540000000</v>
      </c>
      <c r="G71" s="27">
        <v>2197990717736.6218</v>
      </c>
      <c r="H71" s="32">
        <v>0.31</v>
      </c>
      <c r="I71" s="32">
        <v>0.31</v>
      </c>
      <c r="J71" s="27">
        <f t="shared" si="24"/>
        <v>-0.51522088268996946</v>
      </c>
      <c r="K71" s="32">
        <f t="shared" si="25"/>
        <v>0.15028152636610947</v>
      </c>
      <c r="L71" s="32">
        <f t="shared" si="26"/>
        <v>0.15028152636610947</v>
      </c>
      <c r="M71" s="27">
        <v>1650000000000</v>
      </c>
      <c r="N71" s="32">
        <f t="shared" si="27"/>
        <v>-0.24931439123679039</v>
      </c>
      <c r="O71" s="31">
        <v>1953049659049.3792</v>
      </c>
      <c r="P71" s="27">
        <f t="shared" si="28"/>
        <v>-0.15516741094892822</v>
      </c>
      <c r="Q71" s="27">
        <f t="shared" si="29"/>
        <v>-0.45442247458334606</v>
      </c>
    </row>
    <row r="72" spans="1:17" x14ac:dyDescent="0.35">
      <c r="A72" s="40">
        <v>1215</v>
      </c>
      <c r="B72" s="40">
        <v>35.700000000000003</v>
      </c>
      <c r="C72" s="37">
        <v>3.9082664522836877E+17</v>
      </c>
      <c r="D72" s="37">
        <f t="shared" si="21"/>
        <v>3.5809522536729661E-4</v>
      </c>
      <c r="E72" s="31">
        <f t="shared" si="22"/>
        <v>476784000000</v>
      </c>
      <c r="F72" s="31">
        <f t="shared" si="23"/>
        <v>476784000000</v>
      </c>
      <c r="G72" s="27">
        <v>545078460535.16882</v>
      </c>
      <c r="H72" s="32">
        <v>0.19</v>
      </c>
      <c r="I72" s="32">
        <v>0.19</v>
      </c>
      <c r="J72" s="27">
        <f t="shared" si="24"/>
        <v>-0.12529289905918492</v>
      </c>
      <c r="K72" s="32">
        <f t="shared" si="25"/>
        <v>0.16619434917875486</v>
      </c>
      <c r="L72" s="32">
        <f t="shared" si="26"/>
        <v>0.16619434917875486</v>
      </c>
      <c r="M72" s="27">
        <v>501000000000</v>
      </c>
      <c r="N72" s="32">
        <f t="shared" si="27"/>
        <v>-8.0866267384500423E-2</v>
      </c>
      <c r="O72" s="31">
        <v>518226052968.78693</v>
      </c>
      <c r="P72" s="27">
        <f t="shared" si="28"/>
        <v>-3.3240422533956357E-2</v>
      </c>
      <c r="Q72" s="27">
        <f t="shared" si="29"/>
        <v>-7.9969065104650391E-2</v>
      </c>
    </row>
    <row r="73" spans="1:17" x14ac:dyDescent="0.35">
      <c r="A73" s="40">
        <v>1216</v>
      </c>
      <c r="B73" s="40">
        <v>34.200000000000003</v>
      </c>
      <c r="C73" s="37">
        <v>3.7916790320508416E+17</v>
      </c>
      <c r="D73" s="37">
        <f t="shared" si="21"/>
        <v>3.4276709465961034E-4</v>
      </c>
      <c r="E73" s="31">
        <f t="shared" si="22"/>
        <v>442469999999.99994</v>
      </c>
      <c r="F73" s="31">
        <f t="shared" si="23"/>
        <v>442469999999.99994</v>
      </c>
      <c r="G73" s="27">
        <v>499666305760.53296</v>
      </c>
      <c r="H73" s="32">
        <v>0.18</v>
      </c>
      <c r="I73" s="32">
        <v>0.18</v>
      </c>
      <c r="J73" s="27">
        <f t="shared" si="24"/>
        <v>-0.11446900681741101</v>
      </c>
      <c r="K73" s="32">
        <f t="shared" si="25"/>
        <v>0.159395578772866</v>
      </c>
      <c r="L73" s="32">
        <f t="shared" si="26"/>
        <v>0.159395578772866</v>
      </c>
      <c r="M73" s="27">
        <v>467000000000</v>
      </c>
      <c r="N73" s="32">
        <f t="shared" si="27"/>
        <v>-6.5376242872354925E-2</v>
      </c>
      <c r="O73" s="31">
        <v>496754456026.76782</v>
      </c>
      <c r="P73" s="27">
        <f t="shared" si="28"/>
        <v>-5.9897713378870003E-2</v>
      </c>
      <c r="Q73" s="27">
        <f t="shared" si="29"/>
        <v>-0.10927824676391577</v>
      </c>
    </row>
    <row r="74" spans="1:17" x14ac:dyDescent="0.35">
      <c r="A74" s="40">
        <v>1227</v>
      </c>
      <c r="B74" s="40">
        <v>73.7</v>
      </c>
      <c r="C74" s="37">
        <v>3.6495043288118502E+17</v>
      </c>
      <c r="D74" s="37">
        <f t="shared" si="21"/>
        <v>7.3203107493002352E-4</v>
      </c>
      <c r="E74" s="31">
        <f t="shared" si="22"/>
        <v>903000000000</v>
      </c>
      <c r="F74" s="31">
        <f t="shared" si="23"/>
        <v>903000000000</v>
      </c>
      <c r="G74" s="27">
        <v>1120451967292.2944</v>
      </c>
      <c r="H74" s="32">
        <v>0.24</v>
      </c>
      <c r="I74" s="32">
        <v>0.24</v>
      </c>
      <c r="J74" s="27">
        <f t="shared" si="24"/>
        <v>-0.19407522467722824</v>
      </c>
      <c r="K74" s="32">
        <f t="shared" si="25"/>
        <v>0.19342194607746521</v>
      </c>
      <c r="L74" s="32">
        <f t="shared" si="26"/>
        <v>0.19342194607746521</v>
      </c>
      <c r="M74" s="27">
        <v>982000000000</v>
      </c>
      <c r="N74" s="32">
        <f t="shared" si="27"/>
        <v>-0.1235679630487687</v>
      </c>
      <c r="O74" s="31">
        <v>1001418240210.911</v>
      </c>
      <c r="P74" s="27">
        <f t="shared" si="28"/>
        <v>-1.9390739484454855E-2</v>
      </c>
      <c r="Q74" s="27">
        <f t="shared" si="29"/>
        <v>-9.8278857183770607E-2</v>
      </c>
    </row>
    <row r="75" spans="1:17" x14ac:dyDescent="0.35">
      <c r="A75" s="40">
        <v>1235</v>
      </c>
      <c r="B75" s="40">
        <v>40.4</v>
      </c>
      <c r="C75" s="37">
        <v>3.7272382125213242E+17</v>
      </c>
      <c r="D75" s="37">
        <f t="shared" si="21"/>
        <v>3.9867683308676943E-4</v>
      </c>
      <c r="E75" s="31">
        <f t="shared" si="22"/>
        <v>499660000000</v>
      </c>
      <c r="F75" s="31">
        <f t="shared" si="23"/>
        <v>499660000000</v>
      </c>
      <c r="G75" s="27">
        <v>576987746184.65259</v>
      </c>
      <c r="H75" s="32">
        <v>0.19</v>
      </c>
      <c r="I75" s="32">
        <v>0.19</v>
      </c>
      <c r="J75" s="27">
        <f t="shared" si="24"/>
        <v>-0.134019737327152</v>
      </c>
      <c r="K75" s="32">
        <f t="shared" si="25"/>
        <v>0.16453624990784113</v>
      </c>
      <c r="L75" s="32">
        <f t="shared" si="26"/>
        <v>0.16453624990784113</v>
      </c>
      <c r="M75" s="27">
        <v>496000000000</v>
      </c>
      <c r="N75" s="32">
        <f t="shared" si="27"/>
        <v>-0.14036302628640954</v>
      </c>
      <c r="O75" s="31">
        <v>563340718004.71289</v>
      </c>
      <c r="P75" s="27">
        <f t="shared" si="28"/>
        <v>-0.1195381690910358</v>
      </c>
      <c r="Q75" s="27">
        <f t="shared" si="29"/>
        <v>-0.11304121283876402</v>
      </c>
    </row>
    <row r="76" spans="1:17" x14ac:dyDescent="0.35">
      <c r="A76" s="40">
        <v>1245</v>
      </c>
      <c r="B76" s="40">
        <v>148</v>
      </c>
      <c r="C76" s="37">
        <v>2.3258120846511846E+17</v>
      </c>
      <c r="D76" s="37">
        <f t="shared" si="21"/>
        <v>1.4487683715376299E-3</v>
      </c>
      <c r="E76" s="31">
        <f t="shared" si="22"/>
        <v>1125740000000</v>
      </c>
      <c r="F76" s="31">
        <f t="shared" si="23"/>
        <v>1125740000000</v>
      </c>
      <c r="G76" s="27">
        <v>1940179786404.981</v>
      </c>
      <c r="H76" s="32">
        <v>0.35</v>
      </c>
      <c r="I76" s="32">
        <v>0.35</v>
      </c>
      <c r="J76" s="27">
        <f t="shared" si="24"/>
        <v>-0.41977542087173353</v>
      </c>
      <c r="K76" s="32">
        <f t="shared" si="25"/>
        <v>0.20307860269489322</v>
      </c>
      <c r="L76" s="32">
        <f t="shared" si="26"/>
        <v>0.20307860269489322</v>
      </c>
      <c r="M76" s="27">
        <v>1540000000000</v>
      </c>
      <c r="N76" s="32">
        <f t="shared" si="27"/>
        <v>-0.20625912567952603</v>
      </c>
      <c r="O76" s="31">
        <v>1836544806550.2998</v>
      </c>
      <c r="P76" s="27">
        <f t="shared" si="28"/>
        <v>-0.16146886560710652</v>
      </c>
      <c r="Q76" s="27">
        <f t="shared" si="29"/>
        <v>-0.38703374075879488</v>
      </c>
    </row>
    <row r="77" spans="1:17" x14ac:dyDescent="0.35">
      <c r="A77" s="40">
        <v>1264</v>
      </c>
      <c r="B77" s="40">
        <v>38.5</v>
      </c>
      <c r="C77" s="37">
        <v>3.9994319112791629E+17</v>
      </c>
      <c r="D77" s="37">
        <f t="shared" si="21"/>
        <v>3.7121049632616026E-4</v>
      </c>
      <c r="E77" s="31">
        <f t="shared" si="22"/>
        <v>490028000000.00006</v>
      </c>
      <c r="F77" s="31">
        <f t="shared" si="23"/>
        <v>490028000000.00006</v>
      </c>
      <c r="G77" s="27">
        <v>600057356807.62598</v>
      </c>
      <c r="H77" s="32">
        <v>0.2</v>
      </c>
      <c r="I77" s="32">
        <v>0.2</v>
      </c>
      <c r="J77" s="27">
        <f t="shared" si="24"/>
        <v>-0.18336473265321623</v>
      </c>
      <c r="K77" s="32">
        <f t="shared" si="25"/>
        <v>0.16332705346935678</v>
      </c>
      <c r="L77" s="32">
        <f t="shared" si="26"/>
        <v>0.16332705346935678</v>
      </c>
      <c r="M77" s="27">
        <v>512000000000</v>
      </c>
      <c r="N77" s="32">
        <f t="shared" si="27"/>
        <v>-0.14674823299576098</v>
      </c>
      <c r="O77" s="31">
        <v>513261966018.28131</v>
      </c>
      <c r="P77" s="27">
        <f t="shared" si="28"/>
        <v>-2.4587171889458928E-3</v>
      </c>
      <c r="Q77" s="27">
        <f t="shared" si="29"/>
        <v>-4.5267266145829523E-2</v>
      </c>
    </row>
    <row r="78" spans="1:17" x14ac:dyDescent="0.35">
      <c r="A78" s="40">
        <v>1264</v>
      </c>
      <c r="B78" s="40">
        <v>147</v>
      </c>
      <c r="C78" s="37">
        <v>2.3291414927333606E+17</v>
      </c>
      <c r="D78" s="37">
        <f t="shared" si="21"/>
        <v>1.4173491677907937E-3</v>
      </c>
      <c r="E78" s="31">
        <f t="shared" si="22"/>
        <v>1089620000000</v>
      </c>
      <c r="F78" s="31">
        <f t="shared" si="23"/>
        <v>1089620000000</v>
      </c>
      <c r="G78" s="27">
        <v>1888466938533.2004</v>
      </c>
      <c r="H78" s="32">
        <v>0.35</v>
      </c>
      <c r="I78" s="32">
        <v>0.35</v>
      </c>
      <c r="J78" s="27">
        <f t="shared" si="24"/>
        <v>-0.42301346252515093</v>
      </c>
      <c r="K78" s="32">
        <f t="shared" si="25"/>
        <v>0.20194528811619716</v>
      </c>
      <c r="L78" s="32">
        <f t="shared" si="26"/>
        <v>0.20194528811619716</v>
      </c>
      <c r="M78" s="27">
        <v>1490000000000</v>
      </c>
      <c r="N78" s="32">
        <f t="shared" si="27"/>
        <v>-0.21100021949163456</v>
      </c>
      <c r="O78" s="31">
        <v>1773257347091.4316</v>
      </c>
      <c r="P78" s="27">
        <f t="shared" si="28"/>
        <v>-0.15973843139916594</v>
      </c>
      <c r="Q78" s="27">
        <f t="shared" si="29"/>
        <v>-0.38552630175916724</v>
      </c>
    </row>
    <row r="79" spans="1:17" x14ac:dyDescent="0.35">
      <c r="A79" s="40">
        <v>1317</v>
      </c>
      <c r="B79" s="40">
        <v>38.700000000000003</v>
      </c>
      <c r="C79" s="37">
        <v>3.9209346290215123E+17</v>
      </c>
      <c r="D79" s="37">
        <f t="shared" si="21"/>
        <v>3.5812264407868166E-4</v>
      </c>
      <c r="E79" s="31">
        <f t="shared" si="22"/>
        <v>448489999999.99994</v>
      </c>
      <c r="F79" s="31">
        <f t="shared" si="23"/>
        <v>448489999999.99994</v>
      </c>
      <c r="G79" s="27">
        <v>614437259550.4353</v>
      </c>
      <c r="H79" s="32">
        <v>0.22</v>
      </c>
      <c r="I79" s="32">
        <v>0.22</v>
      </c>
      <c r="J79" s="27">
        <f t="shared" si="24"/>
        <v>-0.27008007240943338</v>
      </c>
      <c r="K79" s="32">
        <f t="shared" si="25"/>
        <v>0.16058238406992467</v>
      </c>
      <c r="L79" s="32">
        <f t="shared" si="26"/>
        <v>0.16058238406992467</v>
      </c>
      <c r="M79" s="27">
        <v>479000000000</v>
      </c>
      <c r="N79" s="32">
        <f t="shared" si="27"/>
        <v>-0.2204248805639335</v>
      </c>
      <c r="O79" s="31">
        <v>473962920765.24005</v>
      </c>
      <c r="P79" s="27">
        <f t="shared" si="28"/>
        <v>1.0627580796040538E-2</v>
      </c>
      <c r="Q79" s="27">
        <f t="shared" si="29"/>
        <v>-5.3744543400383801E-2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113"/>
  <sheetViews>
    <sheetView workbookViewId="0">
      <selection activeCell="A69" sqref="A69:C96"/>
    </sheetView>
  </sheetViews>
  <sheetFormatPr defaultRowHeight="14.5" x14ac:dyDescent="0.35"/>
  <cols>
    <col min="1" max="1" width="17.81640625" bestFit="1" customWidth="1"/>
    <col min="3" max="3" width="15.7265625" bestFit="1" customWidth="1"/>
  </cols>
  <sheetData>
    <row r="1" spans="1:3" x14ac:dyDescent="0.35">
      <c r="A1" t="s">
        <v>10</v>
      </c>
    </row>
    <row r="2" spans="1:3" x14ac:dyDescent="0.35">
      <c r="A2" s="6" t="s">
        <v>12</v>
      </c>
      <c r="B2" s="6" t="s">
        <v>25</v>
      </c>
      <c r="C2" s="6" t="s">
        <v>24</v>
      </c>
    </row>
    <row r="3" spans="1:3" x14ac:dyDescent="0.35">
      <c r="A3" s="6">
        <v>298</v>
      </c>
      <c r="B3" s="6">
        <v>50</v>
      </c>
      <c r="C3" s="21">
        <f>0.0000000000000314*6.02E+23</f>
        <v>18902800000</v>
      </c>
    </row>
    <row r="4" spans="1:3" x14ac:dyDescent="0.35">
      <c r="A4" s="6">
        <v>298</v>
      </c>
      <c r="B4" s="6">
        <v>250</v>
      </c>
      <c r="C4" s="21">
        <f>0.0000000000001284*6.02E+23</f>
        <v>77296799999.999985</v>
      </c>
    </row>
    <row r="6" spans="1:3" x14ac:dyDescent="0.35">
      <c r="A6" t="s">
        <v>11</v>
      </c>
    </row>
    <row r="7" spans="1:3" x14ac:dyDescent="0.35">
      <c r="A7" s="6" t="s">
        <v>12</v>
      </c>
      <c r="B7" s="6" t="s">
        <v>25</v>
      </c>
      <c r="C7" s="6" t="s">
        <v>24</v>
      </c>
    </row>
    <row r="8" spans="1:3" x14ac:dyDescent="0.35">
      <c r="A8" s="7">
        <v>298</v>
      </c>
      <c r="B8" s="7">
        <v>20</v>
      </c>
      <c r="C8" s="9">
        <f>2.04E-32*6.02E+23*20/760*101325*6.02E+23/1000000/298/8.314</f>
        <v>7956643164.7384462</v>
      </c>
    </row>
    <row r="9" spans="1:3" x14ac:dyDescent="0.35">
      <c r="A9" s="7">
        <v>298</v>
      </c>
      <c r="B9" s="7">
        <v>50</v>
      </c>
      <c r="C9" s="9">
        <f>2.19E-32*6.02E+23*50/760*101325*6.02E+23/1000000/298/8.314</f>
        <v>21354226140.658337</v>
      </c>
    </row>
    <row r="10" spans="1:3" x14ac:dyDescent="0.35">
      <c r="A10" s="7">
        <v>298</v>
      </c>
      <c r="B10" s="7">
        <v>150</v>
      </c>
      <c r="C10" s="9">
        <f>2.02E-32*6.02E+23*150/760*101325*6.02E+23/1000000/298/8.314</f>
        <v>59089776444.013481</v>
      </c>
    </row>
    <row r="11" spans="1:3" x14ac:dyDescent="0.35">
      <c r="A11" s="7">
        <v>298</v>
      </c>
      <c r="B11" s="7">
        <v>300</v>
      </c>
      <c r="C11" s="9">
        <f>2.02E-32*6.02E+23*300/760*101325*6.02E+23/1000000/298/8.314</f>
        <v>118179552888.02696</v>
      </c>
    </row>
    <row r="12" spans="1:3" x14ac:dyDescent="0.35">
      <c r="A12" s="7">
        <v>360</v>
      </c>
      <c r="B12" s="7">
        <v>50</v>
      </c>
      <c r="C12" s="9">
        <f>1.76E-32*6.02E+23*50/760*101325*6.02E+23/1000000/360/8.314</f>
        <v>14205814974.952419</v>
      </c>
    </row>
    <row r="13" spans="1:3" x14ac:dyDescent="0.35">
      <c r="A13" s="7">
        <v>360</v>
      </c>
      <c r="B13" s="7">
        <v>150</v>
      </c>
      <c r="C13" s="9">
        <f>1.81E-32*6.02E+23*150/760*101325*6.02E+23/1000000/360/8.314</f>
        <v>43828167792.040688</v>
      </c>
    </row>
    <row r="14" spans="1:3" x14ac:dyDescent="0.35">
      <c r="A14" s="7">
        <v>360</v>
      </c>
      <c r="B14" s="7">
        <v>500</v>
      </c>
      <c r="C14" s="9">
        <f>1.81E-32*6.02E+23*500/760*101325*6.02E+23/1000000/360/8.314</f>
        <v>146093892640.13559</v>
      </c>
    </row>
    <row r="15" spans="1:3" x14ac:dyDescent="0.35">
      <c r="A15" s="7">
        <v>260</v>
      </c>
      <c r="B15" s="7">
        <v>50</v>
      </c>
      <c r="C15" s="9">
        <f>2.4E-32*6.02E+23*50/760*101325*6.02E+23/1000000/260/8.314</f>
        <v>26822168134.525547</v>
      </c>
    </row>
    <row r="16" spans="1:3" x14ac:dyDescent="0.35">
      <c r="A16" s="7">
        <v>220</v>
      </c>
      <c r="B16" s="7">
        <v>30</v>
      </c>
      <c r="C16" s="9">
        <f>3.1E-32*6.02E+23*30/760*101325*6.02E+23/1000000/220/8.314</f>
        <v>24566667632.304081</v>
      </c>
    </row>
    <row r="17" spans="1:3" x14ac:dyDescent="0.35">
      <c r="A17" s="7">
        <v>220</v>
      </c>
      <c r="B17" s="7">
        <v>50</v>
      </c>
      <c r="C17" s="9">
        <f>3.14E-32*6.02E+23*50/760*101325*6.02E+23/1000000/220/8.314</f>
        <v>41472761486.7929</v>
      </c>
    </row>
    <row r="18" spans="1:3" x14ac:dyDescent="0.35">
      <c r="A18" s="7">
        <v>220</v>
      </c>
      <c r="B18" s="7">
        <v>200</v>
      </c>
      <c r="C18" s="9">
        <f>3.37E-32*6.02E+23*200/760*101325*6.02E+23/1000000/220/8.314</f>
        <v>178042300905.08545</v>
      </c>
    </row>
    <row r="19" spans="1:3" x14ac:dyDescent="0.35">
      <c r="A19" t="s">
        <v>31</v>
      </c>
    </row>
    <row r="20" spans="1:3" x14ac:dyDescent="0.35">
      <c r="A20" s="6" t="s">
        <v>12</v>
      </c>
      <c r="B20" s="6" t="s">
        <v>25</v>
      </c>
      <c r="C20" s="6" t="s">
        <v>24</v>
      </c>
    </row>
    <row r="21" spans="1:3" x14ac:dyDescent="0.35">
      <c r="A21" s="7">
        <v>298</v>
      </c>
      <c r="B21" s="7">
        <v>800</v>
      </c>
      <c r="C21" s="9">
        <f>5900000000000000*800/760*101325/1000000/8.314/298</f>
        <v>253991237771.24078</v>
      </c>
    </row>
    <row r="23" spans="1:3" x14ac:dyDescent="0.35">
      <c r="A23" t="s">
        <v>30</v>
      </c>
    </row>
    <row r="24" spans="1:3" x14ac:dyDescent="0.35">
      <c r="A24" s="6" t="s">
        <v>12</v>
      </c>
      <c r="B24" s="6" t="s">
        <v>25</v>
      </c>
      <c r="C24" s="6" t="s">
        <v>24</v>
      </c>
    </row>
    <row r="25" spans="1:3" x14ac:dyDescent="0.35">
      <c r="A25" s="7">
        <v>298</v>
      </c>
      <c r="B25" s="7">
        <v>760</v>
      </c>
      <c r="C25" s="22">
        <f>0.00000000000041*6.02E+23</f>
        <v>246820000000</v>
      </c>
    </row>
    <row r="26" spans="1:3" x14ac:dyDescent="0.35">
      <c r="A26" s="7">
        <v>298</v>
      </c>
      <c r="B26" s="7">
        <v>1520</v>
      </c>
      <c r="C26" s="9">
        <f>0.00000000000091*6.02E+23</f>
        <v>547820000000</v>
      </c>
    </row>
    <row r="27" spans="1:3" x14ac:dyDescent="0.35">
      <c r="A27" s="7">
        <v>298</v>
      </c>
      <c r="B27" s="7">
        <v>3800</v>
      </c>
      <c r="C27" s="9">
        <f>0.0000000000023*6.02E+23</f>
        <v>1384600000000</v>
      </c>
    </row>
    <row r="28" spans="1:3" x14ac:dyDescent="0.35">
      <c r="A28" s="7">
        <v>298</v>
      </c>
      <c r="B28" s="7">
        <v>7600</v>
      </c>
      <c r="C28" s="9">
        <f>0.0000000000039*6.02E+23</f>
        <v>2347800000000</v>
      </c>
    </row>
    <row r="29" spans="1:3" x14ac:dyDescent="0.35">
      <c r="A29" s="7">
        <v>298</v>
      </c>
      <c r="B29" s="7">
        <v>19000</v>
      </c>
      <c r="C29" s="9">
        <f>0.0000000000064*6.02E+23</f>
        <v>3852800000000</v>
      </c>
    </row>
    <row r="30" spans="1:3" x14ac:dyDescent="0.35">
      <c r="A30" s="7">
        <v>298</v>
      </c>
      <c r="B30" s="7">
        <v>38000</v>
      </c>
      <c r="C30" s="9">
        <f>0.000000000012*6.02E+23</f>
        <v>7224000000000</v>
      </c>
    </row>
    <row r="31" spans="1:3" x14ac:dyDescent="0.35">
      <c r="A31" s="7">
        <v>298</v>
      </c>
      <c r="B31" s="7">
        <v>76000</v>
      </c>
      <c r="C31" s="9">
        <f>0.000000000017*6.02E+23</f>
        <v>10234000000000</v>
      </c>
    </row>
    <row r="32" spans="1:3" x14ac:dyDescent="0.35">
      <c r="A32" s="7">
        <v>298</v>
      </c>
      <c r="B32" s="7">
        <v>129200</v>
      </c>
      <c r="C32" s="9">
        <f>0.000000000023*6.02E+23</f>
        <v>13846000000000</v>
      </c>
    </row>
    <row r="33" spans="1:3" x14ac:dyDescent="0.35">
      <c r="A33" t="s">
        <v>29</v>
      </c>
    </row>
    <row r="34" spans="1:3" x14ac:dyDescent="0.35">
      <c r="A34" s="6" t="s">
        <v>12</v>
      </c>
      <c r="B34" s="6" t="s">
        <v>25</v>
      </c>
      <c r="C34" s="6" t="s">
        <v>24</v>
      </c>
    </row>
    <row r="35" spans="1:3" ht="15.5" x14ac:dyDescent="0.35">
      <c r="A35" s="23">
        <v>819</v>
      </c>
      <c r="B35" s="7">
        <f>10*760</f>
        <v>7600</v>
      </c>
      <c r="C35" s="7">
        <f>2400000000000000*10*101325/8.314/820/1000000</f>
        <v>356700716393.74078</v>
      </c>
    </row>
    <row r="36" spans="1:3" ht="15.5" x14ac:dyDescent="0.35">
      <c r="A36" s="23">
        <v>820</v>
      </c>
      <c r="B36" s="7">
        <f>14*760</f>
        <v>10640</v>
      </c>
      <c r="C36" s="7">
        <f>2350000000000000*14*101325/8.314/820/1000000</f>
        <v>488977232056.41968</v>
      </c>
    </row>
    <row r="37" spans="1:3" ht="15.5" x14ac:dyDescent="0.35">
      <c r="A37" s="23">
        <v>823</v>
      </c>
      <c r="B37" s="7">
        <v>7600</v>
      </c>
      <c r="C37" s="7">
        <f>2460000000000000*10*101325/8.314/820/1000000</f>
        <v>365618234303.58423</v>
      </c>
    </row>
    <row r="38" spans="1:3" ht="15.5" x14ac:dyDescent="0.35">
      <c r="A38" s="23">
        <v>826</v>
      </c>
      <c r="B38" s="7">
        <f>12*760</f>
        <v>9120</v>
      </c>
      <c r="C38" s="7">
        <f>2370000000000000*12*101325/8.314/820/1000000</f>
        <v>422690348926.58276</v>
      </c>
    </row>
    <row r="39" spans="1:3" x14ac:dyDescent="0.35">
      <c r="A39" t="s">
        <v>27</v>
      </c>
    </row>
    <row r="40" spans="1:3" x14ac:dyDescent="0.35">
      <c r="A40" s="6" t="s">
        <v>12</v>
      </c>
      <c r="B40" s="6" t="s">
        <v>25</v>
      </c>
      <c r="C40" s="6" t="s">
        <v>24</v>
      </c>
    </row>
    <row r="41" spans="1:3" ht="15.5" x14ac:dyDescent="0.35">
      <c r="A41" s="23">
        <v>900</v>
      </c>
      <c r="B41" s="7">
        <v>760</v>
      </c>
      <c r="C41" s="9">
        <f t="shared" ref="C41:C47" si="0">A41*B41</f>
        <v>684000</v>
      </c>
    </row>
    <row r="42" spans="1:3" ht="15.5" x14ac:dyDescent="0.35">
      <c r="A42" s="23">
        <v>849</v>
      </c>
      <c r="B42" s="7">
        <v>760</v>
      </c>
      <c r="C42" s="9">
        <f t="shared" si="0"/>
        <v>645240</v>
      </c>
    </row>
    <row r="43" spans="1:3" ht="15.5" x14ac:dyDescent="0.35">
      <c r="A43" s="23">
        <v>825</v>
      </c>
      <c r="B43" s="7">
        <v>760</v>
      </c>
      <c r="C43" s="9">
        <f t="shared" si="0"/>
        <v>627000</v>
      </c>
    </row>
    <row r="44" spans="1:3" ht="15.5" x14ac:dyDescent="0.35">
      <c r="A44" s="23">
        <v>800</v>
      </c>
      <c r="B44" s="7">
        <v>760</v>
      </c>
      <c r="C44" s="9">
        <f t="shared" si="0"/>
        <v>608000</v>
      </c>
    </row>
    <row r="45" spans="1:3" ht="15.5" x14ac:dyDescent="0.35">
      <c r="A45" s="23">
        <v>775</v>
      </c>
      <c r="B45" s="7">
        <v>760</v>
      </c>
      <c r="C45" s="9">
        <f t="shared" si="0"/>
        <v>589000</v>
      </c>
    </row>
    <row r="46" spans="1:3" ht="15.5" x14ac:dyDescent="0.35">
      <c r="A46" s="23">
        <v>750</v>
      </c>
      <c r="B46" s="7">
        <v>760</v>
      </c>
      <c r="C46" s="9">
        <f t="shared" si="0"/>
        <v>570000</v>
      </c>
    </row>
    <row r="47" spans="1:3" ht="15.5" x14ac:dyDescent="0.35">
      <c r="A47" s="23">
        <v>725</v>
      </c>
      <c r="B47" s="7">
        <v>760</v>
      </c>
      <c r="C47" s="9">
        <f t="shared" si="0"/>
        <v>551000</v>
      </c>
    </row>
    <row r="48" spans="1:3" x14ac:dyDescent="0.35">
      <c r="A48" t="s">
        <v>26</v>
      </c>
      <c r="B48" t="s">
        <v>34</v>
      </c>
    </row>
    <row r="49" spans="1:3" x14ac:dyDescent="0.35">
      <c r="A49" s="6" t="s">
        <v>12</v>
      </c>
      <c r="B49" s="6" t="s">
        <v>25</v>
      </c>
      <c r="C49" s="6" t="s">
        <v>24</v>
      </c>
    </row>
    <row r="50" spans="1:3" x14ac:dyDescent="0.35">
      <c r="A50" s="25">
        <v>294.75382337064298</v>
      </c>
      <c r="B50" s="7">
        <v>250</v>
      </c>
      <c r="C50" s="9">
        <v>106861934658.22092</v>
      </c>
    </row>
    <row r="51" spans="1:3" x14ac:dyDescent="0.35">
      <c r="A51" s="25">
        <v>481.2363222904853</v>
      </c>
      <c r="B51" s="7">
        <v>250</v>
      </c>
      <c r="C51" s="9">
        <v>40551568213.579437</v>
      </c>
    </row>
    <row r="52" spans="1:3" x14ac:dyDescent="0.35">
      <c r="A52" s="25">
        <v>485.70620371080264</v>
      </c>
      <c r="B52" s="7">
        <v>250</v>
      </c>
      <c r="C52" s="9">
        <v>36744237423.890015</v>
      </c>
    </row>
    <row r="53" spans="1:3" x14ac:dyDescent="0.35">
      <c r="A53" s="25">
        <v>507.6398550111478</v>
      </c>
      <c r="B53" s="7">
        <v>250</v>
      </c>
      <c r="C53" s="9">
        <v>32506153327.605309</v>
      </c>
    </row>
    <row r="54" spans="1:3" x14ac:dyDescent="0.35">
      <c r="A54" s="25">
        <v>522.30199474515166</v>
      </c>
      <c r="B54" s="7">
        <v>250</v>
      </c>
      <c r="C54" s="9">
        <v>32740947099.516972</v>
      </c>
    </row>
    <row r="55" spans="1:3" x14ac:dyDescent="0.35">
      <c r="A55" s="25">
        <v>543.88647745933167</v>
      </c>
      <c r="B55" s="7">
        <v>250</v>
      </c>
      <c r="C55" s="9">
        <v>28923770378.387711</v>
      </c>
    </row>
    <row r="56" spans="1:3" x14ac:dyDescent="0.35">
      <c r="A56" s="25">
        <v>552.51461352792978</v>
      </c>
      <c r="B56" s="7">
        <v>250</v>
      </c>
      <c r="C56" s="9">
        <v>23575140765.488247</v>
      </c>
    </row>
    <row r="57" spans="1:3" x14ac:dyDescent="0.35">
      <c r="A57" s="25">
        <v>574.24128209163018</v>
      </c>
      <c r="B57" s="7">
        <v>250</v>
      </c>
      <c r="C57" s="9">
        <v>24106407875.955246</v>
      </c>
    </row>
    <row r="58" spans="1:3" x14ac:dyDescent="0.35">
      <c r="A58" s="25">
        <v>586.53161341510668</v>
      </c>
      <c r="B58" s="7">
        <v>250</v>
      </c>
      <c r="C58" s="9">
        <v>22246140676.982094</v>
      </c>
    </row>
    <row r="59" spans="1:3" x14ac:dyDescent="0.35">
      <c r="A59" s="25">
        <v>604.59902117949275</v>
      </c>
      <c r="B59" s="7">
        <v>250</v>
      </c>
      <c r="C59" s="9">
        <v>21386227840.47171</v>
      </c>
    </row>
    <row r="60" spans="1:3" x14ac:dyDescent="0.35">
      <c r="A60" s="25">
        <v>619.20002592338699</v>
      </c>
      <c r="B60" s="7">
        <v>250</v>
      </c>
      <c r="C60" s="9">
        <v>22182749629.020565</v>
      </c>
    </row>
    <row r="61" spans="1:3" x14ac:dyDescent="0.35">
      <c r="A61" s="25">
        <v>620.28390839285669</v>
      </c>
      <c r="B61" s="7">
        <v>250</v>
      </c>
      <c r="C61" s="9">
        <v>25712398503.673664</v>
      </c>
    </row>
    <row r="62" spans="1:3" x14ac:dyDescent="0.35">
      <c r="A62" s="25">
        <v>641.78064076975375</v>
      </c>
      <c r="B62" s="7">
        <v>250</v>
      </c>
      <c r="C62" s="9">
        <v>22517999414.053257</v>
      </c>
    </row>
    <row r="63" spans="1:3" x14ac:dyDescent="0.35">
      <c r="A63" s="25">
        <v>656.68157024116533</v>
      </c>
      <c r="B63" s="7">
        <v>250</v>
      </c>
      <c r="C63" s="9">
        <v>23030767945.443443</v>
      </c>
    </row>
    <row r="64" spans="1:3" x14ac:dyDescent="0.35">
      <c r="A64" s="25">
        <v>706.79001328679431</v>
      </c>
      <c r="B64" s="7">
        <v>250</v>
      </c>
      <c r="C64" s="9">
        <v>21443393156.333824</v>
      </c>
    </row>
    <row r="65" spans="1:6" x14ac:dyDescent="0.35">
      <c r="A65" s="25">
        <v>680.69194267067974</v>
      </c>
      <c r="B65" s="7">
        <v>250</v>
      </c>
      <c r="C65" s="9">
        <v>20033500456.816105</v>
      </c>
    </row>
    <row r="66" spans="1:6" x14ac:dyDescent="0.35">
      <c r="A66" s="25">
        <v>712.10627428250189</v>
      </c>
      <c r="B66" s="7">
        <v>250</v>
      </c>
      <c r="C66" s="9">
        <v>16846562579.34387</v>
      </c>
    </row>
    <row r="67" spans="1:6" x14ac:dyDescent="0.35">
      <c r="A67" s="25">
        <v>695.29791762103264</v>
      </c>
      <c r="B67" s="7">
        <v>250</v>
      </c>
      <c r="C67" s="9">
        <v>16901975490.568996</v>
      </c>
    </row>
    <row r="68" spans="1:6" x14ac:dyDescent="0.35">
      <c r="A68" s="25">
        <v>691.56043253597977</v>
      </c>
      <c r="B68" s="7">
        <v>250</v>
      </c>
      <c r="C68" s="9">
        <v>13784784019.627522</v>
      </c>
    </row>
    <row r="69" spans="1:6" x14ac:dyDescent="0.35">
      <c r="A69" t="s">
        <v>28</v>
      </c>
    </row>
    <row r="70" spans="1:6" x14ac:dyDescent="0.35">
      <c r="A70" t="s">
        <v>12</v>
      </c>
      <c r="B70" t="s">
        <v>25</v>
      </c>
      <c r="C70" t="s">
        <v>24</v>
      </c>
      <c r="D70" s="7"/>
      <c r="E70" s="7"/>
      <c r="F70" s="7"/>
    </row>
    <row r="71" spans="1:6" x14ac:dyDescent="0.35">
      <c r="A71">
        <v>300</v>
      </c>
      <c r="B71">
        <v>1900</v>
      </c>
      <c r="C71">
        <v>487620000000</v>
      </c>
      <c r="D71" s="7"/>
      <c r="E71" s="7"/>
      <c r="F71" s="24"/>
    </row>
    <row r="72" spans="1:6" x14ac:dyDescent="0.35">
      <c r="B72">
        <v>3800</v>
      </c>
      <c r="C72">
        <v>842800000000</v>
      </c>
      <c r="D72" s="7"/>
      <c r="E72" s="7"/>
      <c r="F72" s="24"/>
    </row>
    <row r="73" spans="1:6" x14ac:dyDescent="0.35">
      <c r="B73">
        <v>6611.9999999999991</v>
      </c>
      <c r="C73">
        <v>1505000000000</v>
      </c>
      <c r="D73" s="7"/>
      <c r="E73" s="7"/>
      <c r="F73" s="24"/>
    </row>
    <row r="74" spans="1:6" x14ac:dyDescent="0.35">
      <c r="B74">
        <v>22800</v>
      </c>
      <c r="C74">
        <v>4876200000000</v>
      </c>
      <c r="D74" s="7"/>
      <c r="E74" s="7"/>
      <c r="F74" s="24"/>
    </row>
    <row r="75" spans="1:6" x14ac:dyDescent="0.35">
      <c r="B75">
        <v>76000</v>
      </c>
      <c r="C75">
        <v>10234000000000</v>
      </c>
      <c r="D75" s="7"/>
      <c r="E75" s="7"/>
      <c r="F75" s="24"/>
    </row>
    <row r="76" spans="1:6" x14ac:dyDescent="0.35">
      <c r="B76">
        <v>228000</v>
      </c>
      <c r="C76">
        <v>19866000000000</v>
      </c>
      <c r="D76" s="7"/>
      <c r="E76" s="7"/>
      <c r="F76" s="24"/>
    </row>
    <row r="77" spans="1:6" x14ac:dyDescent="0.35">
      <c r="B77">
        <v>684000</v>
      </c>
      <c r="C77">
        <v>28896000000000</v>
      </c>
      <c r="D77" s="7"/>
      <c r="E77" s="7"/>
      <c r="F77" s="24"/>
    </row>
    <row r="78" spans="1:6" x14ac:dyDescent="0.35">
      <c r="A78">
        <v>400</v>
      </c>
      <c r="B78">
        <v>5320</v>
      </c>
      <c r="C78">
        <v>842800000000</v>
      </c>
      <c r="D78" s="7"/>
      <c r="E78" s="7"/>
      <c r="F78" s="24"/>
    </row>
    <row r="79" spans="1:6" x14ac:dyDescent="0.35">
      <c r="B79">
        <v>8360</v>
      </c>
      <c r="C79">
        <v>1324400000000</v>
      </c>
      <c r="D79" s="7"/>
      <c r="E79" s="7"/>
      <c r="F79" s="24"/>
    </row>
    <row r="80" spans="1:6" x14ac:dyDescent="0.35">
      <c r="B80">
        <v>30400</v>
      </c>
      <c r="C80">
        <v>3973200000000</v>
      </c>
      <c r="D80" s="7"/>
      <c r="E80" s="7"/>
      <c r="F80" s="24"/>
    </row>
    <row r="81" spans="1:6" x14ac:dyDescent="0.35">
      <c r="B81">
        <v>76000</v>
      </c>
      <c r="C81">
        <v>7224000000000</v>
      </c>
      <c r="D81" s="7"/>
      <c r="E81" s="7"/>
      <c r="F81" s="24"/>
    </row>
    <row r="82" spans="1:6" x14ac:dyDescent="0.35">
      <c r="B82">
        <v>228000</v>
      </c>
      <c r="C82">
        <v>15050000000000</v>
      </c>
      <c r="D82" s="7"/>
      <c r="E82" s="7"/>
      <c r="F82" s="24"/>
    </row>
    <row r="83" spans="1:6" x14ac:dyDescent="0.35">
      <c r="B83">
        <v>684000</v>
      </c>
      <c r="C83">
        <v>25284000000000</v>
      </c>
      <c r="D83" s="7"/>
      <c r="E83" s="7"/>
      <c r="F83" s="24"/>
    </row>
    <row r="84" spans="1:6" x14ac:dyDescent="0.35">
      <c r="A84">
        <v>500</v>
      </c>
      <c r="B84">
        <v>6080</v>
      </c>
      <c r="C84">
        <v>722400000000</v>
      </c>
    </row>
    <row r="85" spans="1:6" x14ac:dyDescent="0.35">
      <c r="B85">
        <v>38000</v>
      </c>
      <c r="C85">
        <v>3431400000000</v>
      </c>
      <c r="D85" s="7"/>
      <c r="E85" s="7"/>
      <c r="F85" s="7"/>
    </row>
    <row r="86" spans="1:6" x14ac:dyDescent="0.35">
      <c r="B86">
        <v>76000</v>
      </c>
      <c r="C86">
        <v>4695600000000</v>
      </c>
      <c r="D86" s="7"/>
      <c r="E86" s="7"/>
      <c r="F86" s="24"/>
    </row>
    <row r="87" spans="1:6" x14ac:dyDescent="0.35">
      <c r="B87">
        <v>228000</v>
      </c>
      <c r="C87">
        <v>11438000000000</v>
      </c>
      <c r="D87" s="7"/>
      <c r="E87" s="7"/>
      <c r="F87" s="24"/>
    </row>
    <row r="88" spans="1:6" x14ac:dyDescent="0.35">
      <c r="B88">
        <v>684000</v>
      </c>
      <c r="C88">
        <v>17458000000000</v>
      </c>
      <c r="D88" s="7"/>
      <c r="E88" s="7"/>
      <c r="F88" s="24"/>
    </row>
    <row r="89" spans="1:6" x14ac:dyDescent="0.35">
      <c r="A89">
        <v>600</v>
      </c>
      <c r="B89">
        <v>7600</v>
      </c>
      <c r="C89">
        <v>662200000000</v>
      </c>
      <c r="D89" s="7"/>
      <c r="E89" s="7"/>
      <c r="F89" s="24"/>
    </row>
    <row r="90" spans="1:6" x14ac:dyDescent="0.35">
      <c r="B90">
        <v>45600</v>
      </c>
      <c r="C90">
        <v>2769200000000</v>
      </c>
      <c r="D90" s="7"/>
      <c r="E90" s="7"/>
      <c r="F90" s="24"/>
    </row>
    <row r="91" spans="1:6" x14ac:dyDescent="0.35">
      <c r="B91">
        <v>76000</v>
      </c>
      <c r="C91">
        <v>3551800000000</v>
      </c>
      <c r="D91" s="7"/>
      <c r="E91" s="7"/>
      <c r="F91" s="24"/>
    </row>
    <row r="92" spans="1:6" x14ac:dyDescent="0.35">
      <c r="B92">
        <v>91200</v>
      </c>
      <c r="C92">
        <v>4093600000000</v>
      </c>
      <c r="D92" s="7"/>
      <c r="E92" s="7"/>
      <c r="F92" s="24"/>
    </row>
    <row r="93" spans="1:6" x14ac:dyDescent="0.35">
      <c r="B93">
        <v>228000</v>
      </c>
      <c r="C93">
        <v>7826000000000</v>
      </c>
      <c r="D93" s="7"/>
      <c r="E93" s="7"/>
      <c r="F93" s="24"/>
    </row>
    <row r="94" spans="1:6" x14ac:dyDescent="0.35">
      <c r="B94">
        <v>684000</v>
      </c>
      <c r="C94">
        <v>13244000000000</v>
      </c>
      <c r="D94" s="7"/>
      <c r="E94" s="7"/>
      <c r="F94" s="24"/>
    </row>
    <row r="95" spans="1:6" x14ac:dyDescent="0.35">
      <c r="A95">
        <v>700</v>
      </c>
      <c r="B95">
        <v>8360</v>
      </c>
      <c r="C95">
        <v>493640000000</v>
      </c>
      <c r="D95" s="7"/>
      <c r="E95" s="7"/>
      <c r="F95" s="24"/>
    </row>
    <row r="96" spans="1:6" x14ac:dyDescent="0.35">
      <c r="B96">
        <v>304000</v>
      </c>
      <c r="C96">
        <v>7826000000000</v>
      </c>
      <c r="D96" s="7"/>
      <c r="E96" s="7"/>
      <c r="F96" s="24"/>
    </row>
    <row r="97" spans="1:3" x14ac:dyDescent="0.35">
      <c r="B97">
        <v>722000</v>
      </c>
      <c r="C97">
        <v>12642000000000</v>
      </c>
    </row>
    <row r="98" spans="1:3" x14ac:dyDescent="0.35">
      <c r="A98" t="s">
        <v>32</v>
      </c>
      <c r="B98" t="s">
        <v>33</v>
      </c>
    </row>
    <row r="99" spans="1:3" x14ac:dyDescent="0.35">
      <c r="A99" t="s">
        <v>12</v>
      </c>
      <c r="B99" t="s">
        <v>25</v>
      </c>
      <c r="C99" t="s">
        <v>24</v>
      </c>
    </row>
    <row r="100" spans="1:3" x14ac:dyDescent="0.35">
      <c r="A100">
        <v>1175</v>
      </c>
      <c r="B100">
        <v>1520</v>
      </c>
      <c r="C100">
        <v>36845073283.62989</v>
      </c>
    </row>
    <row r="101" spans="1:3" x14ac:dyDescent="0.35">
      <c r="A101">
        <v>1225</v>
      </c>
      <c r="B101">
        <v>1520</v>
      </c>
      <c r="C101">
        <v>33856342057.658516</v>
      </c>
    </row>
    <row r="102" spans="1:3" x14ac:dyDescent="0.35">
      <c r="A102">
        <v>1275</v>
      </c>
      <c r="B102">
        <v>1520</v>
      </c>
      <c r="C102">
        <v>31215523221.323006</v>
      </c>
    </row>
    <row r="103" spans="1:3" x14ac:dyDescent="0.35">
      <c r="A103">
        <v>1325</v>
      </c>
      <c r="B103">
        <v>1520</v>
      </c>
      <c r="C103">
        <v>28870749661.825073</v>
      </c>
    </row>
    <row r="104" spans="1:3" x14ac:dyDescent="0.35">
      <c r="A104">
        <v>1375</v>
      </c>
      <c r="B104">
        <v>1520</v>
      </c>
      <c r="C104">
        <v>26779460077.106174</v>
      </c>
    </row>
    <row r="105" spans="1:3" x14ac:dyDescent="0.35">
      <c r="A105">
        <v>1425</v>
      </c>
      <c r="B105">
        <v>1520</v>
      </c>
      <c r="C105">
        <v>24906466559.903522</v>
      </c>
    </row>
    <row r="106" spans="1:3" x14ac:dyDescent="0.35">
      <c r="A106">
        <v>1475</v>
      </c>
      <c r="B106">
        <v>1520</v>
      </c>
      <c r="C106">
        <v>23222474391.427223</v>
      </c>
    </row>
    <row r="107" spans="1:3" x14ac:dyDescent="0.35">
      <c r="A107">
        <v>1525</v>
      </c>
      <c r="B107">
        <v>1520</v>
      </c>
      <c r="C107">
        <v>21702937073.296474</v>
      </c>
    </row>
    <row r="108" spans="1:3" x14ac:dyDescent="0.35">
      <c r="A108">
        <v>1575</v>
      </c>
      <c r="B108">
        <v>1520</v>
      </c>
      <c r="C108">
        <v>20327162586.313957</v>
      </c>
    </row>
    <row r="109" spans="1:3" x14ac:dyDescent="0.35">
      <c r="A109">
        <v>1625</v>
      </c>
      <c r="B109">
        <v>1520</v>
      </c>
      <c r="C109">
        <v>19077609821.65094</v>
      </c>
    </row>
    <row r="110" spans="1:3" x14ac:dyDescent="0.35">
      <c r="A110">
        <v>1675</v>
      </c>
      <c r="B110">
        <v>1520</v>
      </c>
      <c r="C110">
        <v>17939330324.227901</v>
      </c>
    </row>
    <row r="111" spans="1:3" x14ac:dyDescent="0.35">
      <c r="A111">
        <v>1725</v>
      </c>
      <c r="B111">
        <v>1520</v>
      </c>
      <c r="C111">
        <v>16899522047.680805</v>
      </c>
    </row>
    <row r="112" spans="1:3" x14ac:dyDescent="0.35">
      <c r="A112">
        <v>1775</v>
      </c>
      <c r="B112">
        <v>1520</v>
      </c>
      <c r="C112">
        <v>15947170163.363682</v>
      </c>
    </row>
    <row r="113" spans="1:3" x14ac:dyDescent="0.35">
      <c r="A113">
        <v>1825</v>
      </c>
      <c r="B113">
        <v>1520</v>
      </c>
      <c r="C113">
        <v>15072756049.98497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Rate_Comparison_N2</vt:lpstr>
      <vt:lpstr>Rate_Comparison_AR</vt:lpstr>
      <vt:lpstr>Other Data used H+O2+AR fitting</vt:lpstr>
      <vt:lpstr>Fig_Rate_comparison_N2</vt:lpstr>
      <vt:lpstr>Fig_Rate_comparison_AR_Updated</vt:lpstr>
      <vt:lpstr>Fig_Rate_comparison_AR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 Yang</dc:creator>
  <cp:lastModifiedBy>Xueliang Yang</cp:lastModifiedBy>
  <dcterms:created xsi:type="dcterms:W3CDTF">2018-09-13T00:40:00Z</dcterms:created>
  <dcterms:modified xsi:type="dcterms:W3CDTF">2020-03-22T12:41:20Z</dcterms:modified>
</cp:coreProperties>
</file>