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840" windowWidth="16380" windowHeight="7350" tabRatio="783" firstSheet="6" activeTab="10"/>
  </bookViews>
  <sheets>
    <sheet name="H+O2+M Troe-Formula" sheetId="5" r:id="rId1"/>
    <sheet name="Kurylo 1972" sheetId="16" r:id="rId2"/>
    <sheet name="Wong and Davis" sheetId="17" r:id="rId3"/>
    <sheet name="Hikida et al" sheetId="18" r:id="rId4"/>
    <sheet name="Cobos" sheetId="19" r:id="rId5"/>
    <sheet name="Mueller et al 1998" sheetId="20" r:id="rId6"/>
    <sheet name="Ashman and heyes" sheetId="21" r:id="rId7"/>
    <sheet name="Michael et al" sheetId="22" r:id="rId8"/>
    <sheet name="Davidson 1996" sheetId="23" r:id="rId9"/>
    <sheet name="Shao 2018" sheetId="24" r:id="rId10"/>
    <sheet name="Fernandes 2008" sheetId="25" r:id="rId11"/>
  </sheets>
  <definedNames>
    <definedName name="solver_adj" localSheetId="0" hidden="1">'H+O2+M Troe-Formula'!$B$7:$B$13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'H+O2+M Troe-Formula'!$B$8</definedName>
    <definedName name="solver_lhs1" localSheetId="0" hidden="1">'H+O2+M Troe-Formula'!$B$11</definedName>
    <definedName name="solver_lhs10" localSheetId="0" hidden="1">'H+O2+M Troe-Formula'!$B$5</definedName>
    <definedName name="solver_lhs2" localSheetId="0" hidden="1">'H+O2+M Troe-Formula'!$B$8</definedName>
    <definedName name="solver_lhs3" localSheetId="0" hidden="1">'H+O2+M Troe-Formula'!$B$8</definedName>
    <definedName name="solver_lhs4" localSheetId="0" hidden="1">'H+O2+M Troe-Formula'!$B$8</definedName>
    <definedName name="solver_lhs5" localSheetId="0" hidden="1">'H+O2+M Troe-Formula'!$B$8</definedName>
    <definedName name="solver_lhs6" localSheetId="0" hidden="1">'H+O2+M Troe-Formula'!$B$8</definedName>
    <definedName name="solver_lhs7" localSheetId="0" hidden="1">'H+O2+M Troe-Formula'!$B$8</definedName>
    <definedName name="solver_lhs8" localSheetId="0" hidden="1">'H+O2+M Troe-Formula'!$B$8</definedName>
    <definedName name="solver_lhs9" localSheetId="0" hidden="1">'H+O2+M Troe-Formula'!$B$5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'H+O2+M Troe-Formula'!$S$3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3</definedName>
    <definedName name="solver_rel10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0" localSheetId="0" hidden="1">-1.8</definedName>
    <definedName name="solver_rhs1" localSheetId="0" hidden="1">0.1</definedName>
    <definedName name="solver_rhs10" localSheetId="0" hidden="1">-2</definedName>
    <definedName name="solver_rhs2" localSheetId="0" hidden="1">-3</definedName>
    <definedName name="solver_rhs3" localSheetId="0" hidden="1">-1.8</definedName>
    <definedName name="solver_rhs4" localSheetId="0" hidden="1">-1.8</definedName>
    <definedName name="solver_rhs5" localSheetId="0" hidden="1">-1.8</definedName>
    <definedName name="solver_rhs6" localSheetId="0" hidden="1">-1.8</definedName>
    <definedName name="solver_rhs7" localSheetId="0" hidden="1">-1.8</definedName>
    <definedName name="solver_rhs8" localSheetId="0" hidden="1">-1.8</definedName>
    <definedName name="solver_rhs9" localSheetId="0" hidden="1">-2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0.5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3" i="25" l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" i="25"/>
  <c r="E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" i="25"/>
  <c r="P90" i="5" l="1"/>
  <c r="P62" i="5"/>
  <c r="P48" i="5"/>
  <c r="P34" i="5"/>
  <c r="P20" i="5"/>
  <c r="P6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189" i="5"/>
  <c r="P188" i="5"/>
  <c r="B3" i="24"/>
  <c r="B4" i="24"/>
  <c r="B5" i="24"/>
  <c r="B6" i="24"/>
  <c r="B7" i="24"/>
  <c r="B8" i="24"/>
  <c r="B9" i="24"/>
  <c r="B10" i="24"/>
  <c r="B11" i="24"/>
  <c r="B12" i="24"/>
  <c r="B2" i="24"/>
  <c r="B3" i="23"/>
  <c r="B4" i="23"/>
  <c r="B5" i="23"/>
  <c r="B6" i="23"/>
  <c r="B7" i="23"/>
  <c r="B8" i="23"/>
  <c r="B9" i="23"/>
  <c r="B10" i="23"/>
  <c r="B11" i="23"/>
  <c r="B12" i="23"/>
  <c r="B13" i="23"/>
  <c r="B14" i="23"/>
  <c r="B2" i="23"/>
  <c r="C8" i="21"/>
  <c r="C7" i="21"/>
  <c r="C6" i="21"/>
  <c r="C5" i="21"/>
  <c r="C4" i="21"/>
  <c r="C3" i="21"/>
  <c r="C2" i="21"/>
  <c r="C5" i="20"/>
  <c r="C4" i="20"/>
  <c r="C3" i="20"/>
  <c r="C2" i="20"/>
  <c r="C9" i="19"/>
  <c r="C8" i="19"/>
  <c r="C7" i="19"/>
  <c r="C6" i="19"/>
  <c r="C5" i="19"/>
  <c r="C4" i="19"/>
  <c r="C3" i="19"/>
  <c r="C2" i="19"/>
  <c r="C2" i="18"/>
  <c r="C12" i="17"/>
  <c r="C11" i="17"/>
  <c r="C10" i="17"/>
  <c r="C9" i="17"/>
  <c r="C8" i="17"/>
  <c r="C7" i="17"/>
  <c r="C6" i="17"/>
  <c r="C5" i="17"/>
  <c r="C4" i="17"/>
  <c r="C3" i="17"/>
  <c r="C2" i="17"/>
  <c r="C3" i="16"/>
  <c r="C2" i="16"/>
  <c r="K157" i="5" l="1"/>
  <c r="K156" i="5"/>
  <c r="K155" i="5"/>
  <c r="K154" i="5"/>
  <c r="K158" i="5"/>
  <c r="K131" i="5"/>
  <c r="K130" i="5"/>
  <c r="K129" i="5"/>
  <c r="K128" i="5"/>
  <c r="K127" i="5"/>
  <c r="K122" i="5"/>
  <c r="K100" i="5"/>
  <c r="M100" i="5"/>
  <c r="G100" i="5"/>
  <c r="J100" i="5"/>
  <c r="H100" i="5"/>
  <c r="F100" i="5"/>
  <c r="I100" i="5"/>
  <c r="E100" i="5"/>
  <c r="D100" i="5"/>
  <c r="Q100" i="5"/>
  <c r="K84" i="5"/>
  <c r="M122" i="5"/>
  <c r="J122" i="5"/>
  <c r="G122" i="5"/>
  <c r="H122" i="5"/>
  <c r="F122" i="5"/>
  <c r="I122" i="5"/>
  <c r="E122" i="5"/>
  <c r="D122" i="5"/>
  <c r="Q122" i="5"/>
  <c r="M121" i="5"/>
  <c r="J121" i="5"/>
  <c r="G121" i="5"/>
  <c r="H121" i="5"/>
  <c r="F121" i="5"/>
  <c r="I121" i="5"/>
  <c r="E121" i="5"/>
  <c r="D121" i="5"/>
  <c r="Q121" i="5"/>
  <c r="M117" i="5"/>
  <c r="J117" i="5"/>
  <c r="G117" i="5"/>
  <c r="H117" i="5"/>
  <c r="F117" i="5"/>
  <c r="I117" i="5"/>
  <c r="E117" i="5"/>
  <c r="D117" i="5"/>
  <c r="Q117" i="5"/>
  <c r="M111" i="5"/>
  <c r="J111" i="5"/>
  <c r="G111" i="5"/>
  <c r="H111" i="5"/>
  <c r="F111" i="5"/>
  <c r="I111" i="5"/>
  <c r="E111" i="5"/>
  <c r="D111" i="5"/>
  <c r="Q111" i="5"/>
  <c r="L122" i="5"/>
  <c r="K121" i="5"/>
  <c r="L121" i="5"/>
  <c r="M120" i="5"/>
  <c r="J120" i="5"/>
  <c r="P118" i="5"/>
  <c r="K120" i="5"/>
  <c r="L120" i="5"/>
  <c r="G120" i="5"/>
  <c r="H120" i="5"/>
  <c r="F120" i="5"/>
  <c r="I120" i="5"/>
  <c r="E120" i="5"/>
  <c r="D120" i="5"/>
  <c r="Q120" i="5"/>
  <c r="K117" i="5"/>
  <c r="L117" i="5"/>
  <c r="M116" i="5"/>
  <c r="J116" i="5"/>
  <c r="K116" i="5"/>
  <c r="L116" i="5"/>
  <c r="G116" i="5"/>
  <c r="H116" i="5"/>
  <c r="F116" i="5"/>
  <c r="I116" i="5"/>
  <c r="E116" i="5"/>
  <c r="D116" i="5"/>
  <c r="Q116" i="5"/>
  <c r="M115" i="5"/>
  <c r="J115" i="5"/>
  <c r="K115" i="5"/>
  <c r="L115" i="5"/>
  <c r="G115" i="5"/>
  <c r="H115" i="5"/>
  <c r="F115" i="5"/>
  <c r="I115" i="5"/>
  <c r="E115" i="5"/>
  <c r="D115" i="5"/>
  <c r="Q115" i="5"/>
  <c r="M114" i="5"/>
  <c r="J114" i="5"/>
  <c r="K114" i="5"/>
  <c r="L114" i="5"/>
  <c r="G114" i="5"/>
  <c r="H114" i="5"/>
  <c r="F114" i="5"/>
  <c r="I114" i="5"/>
  <c r="E114" i="5"/>
  <c r="D114" i="5"/>
  <c r="Q114" i="5"/>
  <c r="M112" i="5"/>
  <c r="J112" i="5"/>
  <c r="K112" i="5"/>
  <c r="L112" i="5"/>
  <c r="G112" i="5"/>
  <c r="H112" i="5"/>
  <c r="F112" i="5"/>
  <c r="I112" i="5"/>
  <c r="E112" i="5"/>
  <c r="D112" i="5"/>
  <c r="Q112" i="5"/>
  <c r="K111" i="5"/>
  <c r="L111" i="5"/>
  <c r="M113" i="5"/>
  <c r="J113" i="5"/>
  <c r="K113" i="5"/>
  <c r="L113" i="5"/>
  <c r="G113" i="5"/>
  <c r="H113" i="5"/>
  <c r="F113" i="5"/>
  <c r="I113" i="5"/>
  <c r="E113" i="5"/>
  <c r="D113" i="5"/>
  <c r="Q113" i="5"/>
  <c r="M110" i="5"/>
  <c r="J110" i="5"/>
  <c r="K110" i="5"/>
  <c r="L110" i="5"/>
  <c r="G110" i="5"/>
  <c r="H110" i="5"/>
  <c r="F110" i="5"/>
  <c r="I110" i="5"/>
  <c r="E110" i="5"/>
  <c r="D110" i="5"/>
  <c r="Q110" i="5"/>
  <c r="M109" i="5"/>
  <c r="J109" i="5"/>
  <c r="K109" i="5"/>
  <c r="L109" i="5"/>
  <c r="G109" i="5"/>
  <c r="H109" i="5"/>
  <c r="F109" i="5"/>
  <c r="I109" i="5"/>
  <c r="E109" i="5"/>
  <c r="D109" i="5"/>
  <c r="Q109" i="5"/>
  <c r="M108" i="5"/>
  <c r="J108" i="5"/>
  <c r="K108" i="5"/>
  <c r="L108" i="5"/>
  <c r="G108" i="5"/>
  <c r="H108" i="5"/>
  <c r="F108" i="5"/>
  <c r="I108" i="5"/>
  <c r="E108" i="5"/>
  <c r="D108" i="5"/>
  <c r="Q108" i="5"/>
  <c r="M107" i="5"/>
  <c r="J107" i="5"/>
  <c r="K107" i="5"/>
  <c r="L107" i="5"/>
  <c r="G107" i="5"/>
  <c r="H107" i="5"/>
  <c r="F107" i="5"/>
  <c r="I107" i="5"/>
  <c r="E107" i="5"/>
  <c r="D107" i="5"/>
  <c r="Q107" i="5"/>
  <c r="M106" i="5"/>
  <c r="J106" i="5"/>
  <c r="K106" i="5"/>
  <c r="L106" i="5"/>
  <c r="G106" i="5"/>
  <c r="H106" i="5"/>
  <c r="F106" i="5"/>
  <c r="I106" i="5"/>
  <c r="E106" i="5"/>
  <c r="D106" i="5"/>
  <c r="Q106" i="5"/>
  <c r="M194" i="5"/>
  <c r="G194" i="5" s="1"/>
  <c r="J194" i="5"/>
  <c r="H194" i="5" s="1"/>
  <c r="L194" i="5"/>
  <c r="M193" i="5"/>
  <c r="J193" i="5"/>
  <c r="L193" i="5"/>
  <c r="G193" i="5"/>
  <c r="F193" i="5" s="1"/>
  <c r="H193" i="5"/>
  <c r="M192" i="5"/>
  <c r="G192" i="5" s="1"/>
  <c r="J192" i="5"/>
  <c r="H192" i="5" s="1"/>
  <c r="L192" i="5"/>
  <c r="M191" i="5"/>
  <c r="J191" i="5"/>
  <c r="L191" i="5"/>
  <c r="G191" i="5"/>
  <c r="F191" i="5" s="1"/>
  <c r="H191" i="5"/>
  <c r="M190" i="5"/>
  <c r="G190" i="5" s="1"/>
  <c r="J190" i="5"/>
  <c r="H190" i="5" s="1"/>
  <c r="L190" i="5"/>
  <c r="M189" i="5"/>
  <c r="J189" i="5"/>
  <c r="L189" i="5"/>
  <c r="G189" i="5"/>
  <c r="F189" i="5" s="1"/>
  <c r="H189" i="5"/>
  <c r="M198" i="5"/>
  <c r="G198" i="5" s="1"/>
  <c r="J198" i="5"/>
  <c r="H198" i="5" s="1"/>
  <c r="L198" i="5"/>
  <c r="M197" i="5"/>
  <c r="J197" i="5"/>
  <c r="L197" i="5"/>
  <c r="G197" i="5"/>
  <c r="F197" i="5" s="1"/>
  <c r="H197" i="5"/>
  <c r="M196" i="5"/>
  <c r="G196" i="5" s="1"/>
  <c r="J196" i="5"/>
  <c r="H196" i="5" s="1"/>
  <c r="L196" i="5"/>
  <c r="L201" i="5"/>
  <c r="M201" i="5"/>
  <c r="G201" i="5" s="1"/>
  <c r="F201" i="5" s="1"/>
  <c r="E201" i="5" s="1"/>
  <c r="D201" i="5" s="1"/>
  <c r="Q201" i="5" s="1"/>
  <c r="J201" i="5"/>
  <c r="I201" i="5" s="1"/>
  <c r="H201" i="5"/>
  <c r="N201" i="5"/>
  <c r="M7" i="5"/>
  <c r="J7" i="5"/>
  <c r="K7" i="5"/>
  <c r="G7" i="5" s="1"/>
  <c r="F7" i="5" s="1"/>
  <c r="E7" i="5" s="1"/>
  <c r="D7" i="5" s="1"/>
  <c r="Q7" i="5" s="1"/>
  <c r="L7" i="5"/>
  <c r="H7" i="5"/>
  <c r="I7" i="5"/>
  <c r="M21" i="5"/>
  <c r="J21" i="5"/>
  <c r="K21" i="5"/>
  <c r="L21" i="5"/>
  <c r="H21" i="5"/>
  <c r="I21" i="5"/>
  <c r="M36" i="5"/>
  <c r="J36" i="5"/>
  <c r="K36" i="5"/>
  <c r="L36" i="5"/>
  <c r="G36" i="5"/>
  <c r="F36" i="5" s="1"/>
  <c r="E36" i="5" s="1"/>
  <c r="D36" i="5" s="1"/>
  <c r="Q36" i="5" s="1"/>
  <c r="H36" i="5"/>
  <c r="I36" i="5"/>
  <c r="M51" i="5"/>
  <c r="J51" i="5"/>
  <c r="K51" i="5"/>
  <c r="G51" i="5" s="1"/>
  <c r="F51" i="5" s="1"/>
  <c r="E51" i="5" s="1"/>
  <c r="D51" i="5" s="1"/>
  <c r="Q51" i="5" s="1"/>
  <c r="L51" i="5"/>
  <c r="H51" i="5"/>
  <c r="I51" i="5"/>
  <c r="M63" i="5"/>
  <c r="J63" i="5"/>
  <c r="K63" i="5"/>
  <c r="L63" i="5"/>
  <c r="G63" i="5"/>
  <c r="F63" i="5" s="1"/>
  <c r="E63" i="5" s="1"/>
  <c r="D63" i="5" s="1"/>
  <c r="Q63" i="5" s="1"/>
  <c r="H63" i="5"/>
  <c r="I63" i="5"/>
  <c r="M80" i="5"/>
  <c r="J80" i="5"/>
  <c r="P76" i="5"/>
  <c r="K80" i="5"/>
  <c r="L80" i="5"/>
  <c r="G80" i="5"/>
  <c r="H80" i="5"/>
  <c r="F80" i="5"/>
  <c r="I80" i="5"/>
  <c r="E80" i="5"/>
  <c r="D80" i="5"/>
  <c r="Q80" i="5"/>
  <c r="M84" i="5"/>
  <c r="J84" i="5"/>
  <c r="L84" i="5"/>
  <c r="G84" i="5"/>
  <c r="H84" i="5"/>
  <c r="F84" i="5"/>
  <c r="I84" i="5"/>
  <c r="E84" i="5"/>
  <c r="D84" i="5"/>
  <c r="Q84" i="5"/>
  <c r="M92" i="5"/>
  <c r="J92" i="5"/>
  <c r="K92" i="5"/>
  <c r="L92" i="5"/>
  <c r="G92" i="5"/>
  <c r="F92" i="5" s="1"/>
  <c r="E92" i="5" s="1"/>
  <c r="D92" i="5" s="1"/>
  <c r="Q92" i="5" s="1"/>
  <c r="H92" i="5"/>
  <c r="I92" i="5"/>
  <c r="M95" i="5"/>
  <c r="J95" i="5"/>
  <c r="K95" i="5"/>
  <c r="G95" i="5" s="1"/>
  <c r="F95" i="5" s="1"/>
  <c r="E95" i="5" s="1"/>
  <c r="D95" i="5" s="1"/>
  <c r="Q95" i="5" s="1"/>
  <c r="L95" i="5"/>
  <c r="H95" i="5"/>
  <c r="I95" i="5"/>
  <c r="M98" i="5"/>
  <c r="J98" i="5"/>
  <c r="K98" i="5"/>
  <c r="L98" i="5"/>
  <c r="G98" i="5"/>
  <c r="F98" i="5" s="1"/>
  <c r="E98" i="5" s="1"/>
  <c r="D98" i="5" s="1"/>
  <c r="Q98" i="5" s="1"/>
  <c r="H98" i="5"/>
  <c r="I98" i="5"/>
  <c r="M99" i="5"/>
  <c r="J99" i="5"/>
  <c r="K99" i="5"/>
  <c r="G99" i="5" s="1"/>
  <c r="F99" i="5" s="1"/>
  <c r="E99" i="5" s="1"/>
  <c r="D99" i="5" s="1"/>
  <c r="Q99" i="5" s="1"/>
  <c r="L99" i="5"/>
  <c r="H99" i="5"/>
  <c r="I99" i="5"/>
  <c r="M105" i="5"/>
  <c r="J105" i="5"/>
  <c r="P104" i="5"/>
  <c r="K105" i="5"/>
  <c r="L105" i="5"/>
  <c r="G105" i="5"/>
  <c r="H105" i="5"/>
  <c r="F105" i="5"/>
  <c r="I105" i="5"/>
  <c r="E105" i="5"/>
  <c r="D105" i="5"/>
  <c r="Q105" i="5"/>
  <c r="M123" i="5"/>
  <c r="J123" i="5"/>
  <c r="K123" i="5"/>
  <c r="L123" i="5"/>
  <c r="G123" i="5"/>
  <c r="H123" i="5"/>
  <c r="F123" i="5"/>
  <c r="I123" i="5"/>
  <c r="E123" i="5"/>
  <c r="D123" i="5"/>
  <c r="Q123" i="5"/>
  <c r="M124" i="5"/>
  <c r="J124" i="5"/>
  <c r="K124" i="5"/>
  <c r="L124" i="5"/>
  <c r="G124" i="5"/>
  <c r="H124" i="5"/>
  <c r="F124" i="5"/>
  <c r="I124" i="5"/>
  <c r="E124" i="5"/>
  <c r="D124" i="5"/>
  <c r="Q124" i="5"/>
  <c r="M125" i="5"/>
  <c r="J125" i="5"/>
  <c r="K125" i="5"/>
  <c r="L125" i="5"/>
  <c r="G125" i="5"/>
  <c r="H125" i="5"/>
  <c r="F125" i="5"/>
  <c r="I125" i="5"/>
  <c r="E125" i="5"/>
  <c r="D125" i="5"/>
  <c r="Q125" i="5"/>
  <c r="M126" i="5"/>
  <c r="J126" i="5"/>
  <c r="K126" i="5"/>
  <c r="L126" i="5"/>
  <c r="G126" i="5"/>
  <c r="H126" i="5"/>
  <c r="F126" i="5"/>
  <c r="I126" i="5"/>
  <c r="E126" i="5"/>
  <c r="D126" i="5"/>
  <c r="Q126" i="5"/>
  <c r="M127" i="5"/>
  <c r="J127" i="5"/>
  <c r="L127" i="5"/>
  <c r="G127" i="5"/>
  <c r="H127" i="5"/>
  <c r="F127" i="5"/>
  <c r="I127" i="5"/>
  <c r="E127" i="5"/>
  <c r="D127" i="5"/>
  <c r="Q127" i="5"/>
  <c r="M128" i="5"/>
  <c r="J128" i="5"/>
  <c r="L128" i="5"/>
  <c r="G128" i="5"/>
  <c r="H128" i="5"/>
  <c r="F128" i="5"/>
  <c r="I128" i="5"/>
  <c r="E128" i="5"/>
  <c r="D128" i="5"/>
  <c r="Q128" i="5"/>
  <c r="M129" i="5"/>
  <c r="J129" i="5"/>
  <c r="L129" i="5"/>
  <c r="G129" i="5"/>
  <c r="H129" i="5"/>
  <c r="F129" i="5"/>
  <c r="I129" i="5"/>
  <c r="E129" i="5"/>
  <c r="D129" i="5"/>
  <c r="Q129" i="5"/>
  <c r="M130" i="5"/>
  <c r="J130" i="5"/>
  <c r="L130" i="5"/>
  <c r="G130" i="5"/>
  <c r="H130" i="5"/>
  <c r="F130" i="5"/>
  <c r="I130" i="5"/>
  <c r="E130" i="5"/>
  <c r="D130" i="5"/>
  <c r="Q130" i="5"/>
  <c r="M131" i="5"/>
  <c r="J131" i="5"/>
  <c r="L131" i="5"/>
  <c r="G131" i="5"/>
  <c r="H131" i="5"/>
  <c r="F131" i="5"/>
  <c r="I131" i="5"/>
  <c r="E131" i="5"/>
  <c r="D131" i="5"/>
  <c r="Q131" i="5"/>
  <c r="M135" i="5"/>
  <c r="J135" i="5"/>
  <c r="P132" i="5"/>
  <c r="K135" i="5"/>
  <c r="L135" i="5"/>
  <c r="G135" i="5"/>
  <c r="H135" i="5"/>
  <c r="F135" i="5"/>
  <c r="I135" i="5"/>
  <c r="E135" i="5"/>
  <c r="D135" i="5"/>
  <c r="Q135" i="5"/>
  <c r="M147" i="5"/>
  <c r="J147" i="5"/>
  <c r="P146" i="5"/>
  <c r="K147" i="5"/>
  <c r="L147" i="5"/>
  <c r="G147" i="5"/>
  <c r="H147" i="5"/>
  <c r="F147" i="5"/>
  <c r="I147" i="5"/>
  <c r="E147" i="5"/>
  <c r="D147" i="5"/>
  <c r="Q147" i="5"/>
  <c r="M148" i="5"/>
  <c r="J148" i="5"/>
  <c r="K148" i="5"/>
  <c r="L148" i="5"/>
  <c r="G148" i="5"/>
  <c r="H148" i="5"/>
  <c r="F148" i="5"/>
  <c r="I148" i="5"/>
  <c r="E148" i="5"/>
  <c r="D148" i="5"/>
  <c r="Q148" i="5"/>
  <c r="M149" i="5"/>
  <c r="J149" i="5"/>
  <c r="K149" i="5"/>
  <c r="L149" i="5"/>
  <c r="G149" i="5"/>
  <c r="H149" i="5"/>
  <c r="F149" i="5"/>
  <c r="I149" i="5"/>
  <c r="E149" i="5"/>
  <c r="D149" i="5"/>
  <c r="Q149" i="5"/>
  <c r="M150" i="5"/>
  <c r="J150" i="5"/>
  <c r="K150" i="5"/>
  <c r="L150" i="5"/>
  <c r="G150" i="5"/>
  <c r="H150" i="5"/>
  <c r="F150" i="5"/>
  <c r="I150" i="5"/>
  <c r="E150" i="5"/>
  <c r="D150" i="5"/>
  <c r="Q150" i="5"/>
  <c r="M151" i="5"/>
  <c r="J151" i="5"/>
  <c r="K151" i="5"/>
  <c r="L151" i="5"/>
  <c r="G151" i="5"/>
  <c r="H151" i="5"/>
  <c r="F151" i="5"/>
  <c r="I151" i="5"/>
  <c r="E151" i="5"/>
  <c r="D151" i="5"/>
  <c r="Q151" i="5"/>
  <c r="M152" i="5"/>
  <c r="J152" i="5"/>
  <c r="K152" i="5"/>
  <c r="L152" i="5"/>
  <c r="G152" i="5"/>
  <c r="H152" i="5"/>
  <c r="F152" i="5"/>
  <c r="I152" i="5"/>
  <c r="E152" i="5"/>
  <c r="D152" i="5"/>
  <c r="Q152" i="5"/>
  <c r="M153" i="5"/>
  <c r="J153" i="5"/>
  <c r="K153" i="5"/>
  <c r="L153" i="5"/>
  <c r="G153" i="5"/>
  <c r="H153" i="5"/>
  <c r="F153" i="5"/>
  <c r="I153" i="5"/>
  <c r="E153" i="5"/>
  <c r="D153" i="5"/>
  <c r="Q153" i="5"/>
  <c r="M154" i="5"/>
  <c r="J154" i="5"/>
  <c r="L154" i="5"/>
  <c r="G154" i="5"/>
  <c r="H154" i="5"/>
  <c r="F154" i="5"/>
  <c r="I154" i="5"/>
  <c r="E154" i="5"/>
  <c r="D154" i="5"/>
  <c r="Q154" i="5"/>
  <c r="M155" i="5"/>
  <c r="J155" i="5"/>
  <c r="L155" i="5"/>
  <c r="G155" i="5"/>
  <c r="H155" i="5"/>
  <c r="F155" i="5"/>
  <c r="I155" i="5"/>
  <c r="E155" i="5"/>
  <c r="D155" i="5"/>
  <c r="Q155" i="5"/>
  <c r="M156" i="5"/>
  <c r="J156" i="5"/>
  <c r="L156" i="5"/>
  <c r="G156" i="5"/>
  <c r="H156" i="5"/>
  <c r="F156" i="5"/>
  <c r="I156" i="5"/>
  <c r="E156" i="5"/>
  <c r="D156" i="5"/>
  <c r="Q156" i="5"/>
  <c r="M157" i="5"/>
  <c r="J157" i="5"/>
  <c r="L157" i="5"/>
  <c r="G157" i="5"/>
  <c r="H157" i="5"/>
  <c r="F157" i="5"/>
  <c r="I157" i="5"/>
  <c r="E157" i="5"/>
  <c r="D157" i="5"/>
  <c r="Q157" i="5"/>
  <c r="M161" i="5"/>
  <c r="J161" i="5"/>
  <c r="P160" i="5"/>
  <c r="K161" i="5"/>
  <c r="L161" i="5"/>
  <c r="G161" i="5"/>
  <c r="H161" i="5"/>
  <c r="F161" i="5"/>
  <c r="I161" i="5"/>
  <c r="E161" i="5"/>
  <c r="D161" i="5"/>
  <c r="Q161" i="5"/>
  <c r="M162" i="5"/>
  <c r="J162" i="5"/>
  <c r="K162" i="5"/>
  <c r="L162" i="5"/>
  <c r="G162" i="5"/>
  <c r="H162" i="5"/>
  <c r="F162" i="5"/>
  <c r="I162" i="5"/>
  <c r="E162" i="5"/>
  <c r="D162" i="5"/>
  <c r="Q162" i="5"/>
  <c r="M163" i="5"/>
  <c r="J163" i="5"/>
  <c r="K163" i="5"/>
  <c r="L163" i="5"/>
  <c r="G163" i="5"/>
  <c r="H163" i="5"/>
  <c r="F163" i="5"/>
  <c r="I163" i="5"/>
  <c r="E163" i="5"/>
  <c r="D163" i="5"/>
  <c r="Q163" i="5"/>
  <c r="M164" i="5"/>
  <c r="J164" i="5"/>
  <c r="K164" i="5"/>
  <c r="L164" i="5"/>
  <c r="G164" i="5"/>
  <c r="H164" i="5"/>
  <c r="F164" i="5"/>
  <c r="I164" i="5"/>
  <c r="E164" i="5"/>
  <c r="D164" i="5"/>
  <c r="Q164" i="5"/>
  <c r="M175" i="5"/>
  <c r="J175" i="5"/>
  <c r="P174" i="5"/>
  <c r="K175" i="5"/>
  <c r="L175" i="5"/>
  <c r="G175" i="5"/>
  <c r="H175" i="5"/>
  <c r="F175" i="5"/>
  <c r="I175" i="5"/>
  <c r="E175" i="5"/>
  <c r="D175" i="5"/>
  <c r="Q175" i="5"/>
  <c r="M176" i="5"/>
  <c r="J176" i="5"/>
  <c r="K176" i="5"/>
  <c r="L176" i="5"/>
  <c r="G176" i="5"/>
  <c r="H176" i="5"/>
  <c r="F176" i="5"/>
  <c r="I176" i="5"/>
  <c r="E176" i="5"/>
  <c r="D176" i="5"/>
  <c r="Q176" i="5"/>
  <c r="M177" i="5"/>
  <c r="J177" i="5"/>
  <c r="K177" i="5"/>
  <c r="L177" i="5"/>
  <c r="G177" i="5"/>
  <c r="H177" i="5"/>
  <c r="F177" i="5"/>
  <c r="I177" i="5"/>
  <c r="E177" i="5"/>
  <c r="D177" i="5"/>
  <c r="Q177" i="5"/>
  <c r="M178" i="5"/>
  <c r="J178" i="5"/>
  <c r="K178" i="5"/>
  <c r="L178" i="5"/>
  <c r="G178" i="5"/>
  <c r="H178" i="5"/>
  <c r="F178" i="5"/>
  <c r="I178" i="5"/>
  <c r="E178" i="5"/>
  <c r="D178" i="5"/>
  <c r="Q178" i="5"/>
  <c r="M179" i="5"/>
  <c r="J179" i="5"/>
  <c r="K179" i="5"/>
  <c r="L179" i="5"/>
  <c r="G179" i="5"/>
  <c r="H179" i="5"/>
  <c r="F179" i="5"/>
  <c r="I179" i="5"/>
  <c r="E179" i="5"/>
  <c r="D179" i="5"/>
  <c r="Q179" i="5"/>
  <c r="M199" i="5"/>
  <c r="J199" i="5"/>
  <c r="L199" i="5"/>
  <c r="G199" i="5"/>
  <c r="F199" i="5" s="1"/>
  <c r="H199" i="5"/>
  <c r="M200" i="5"/>
  <c r="G200" i="5" s="1"/>
  <c r="F200" i="5" s="1"/>
  <c r="J200" i="5"/>
  <c r="H200" i="5" s="1"/>
  <c r="L200" i="5"/>
  <c r="L195" i="5"/>
  <c r="M195" i="5"/>
  <c r="G195" i="5" s="1"/>
  <c r="F195" i="5" s="1"/>
  <c r="J195" i="5"/>
  <c r="H195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J187" i="5"/>
  <c r="H187" i="5"/>
  <c r="J186" i="5"/>
  <c r="I186" i="5"/>
  <c r="J185" i="5"/>
  <c r="I185" i="5"/>
  <c r="J184" i="5"/>
  <c r="H184" i="5"/>
  <c r="J183" i="5"/>
  <c r="H183" i="5"/>
  <c r="J182" i="5"/>
  <c r="H182" i="5"/>
  <c r="J181" i="5"/>
  <c r="I181" i="5"/>
  <c r="J180" i="5"/>
  <c r="H180" i="5"/>
  <c r="J173" i="5"/>
  <c r="I173" i="5"/>
  <c r="J172" i="5"/>
  <c r="I172" i="5"/>
  <c r="J171" i="5"/>
  <c r="H171" i="5"/>
  <c r="J170" i="5"/>
  <c r="H170" i="5"/>
  <c r="J169" i="5"/>
  <c r="I169" i="5"/>
  <c r="J168" i="5"/>
  <c r="H168" i="5"/>
  <c r="J167" i="5"/>
  <c r="I167" i="5"/>
  <c r="J166" i="5"/>
  <c r="H166" i="5"/>
  <c r="J165" i="5"/>
  <c r="H165" i="5"/>
  <c r="J159" i="5"/>
  <c r="I159" i="5"/>
  <c r="J158" i="5"/>
  <c r="I158" i="5"/>
  <c r="J145" i="5"/>
  <c r="I145" i="5"/>
  <c r="J144" i="5"/>
  <c r="H144" i="5"/>
  <c r="J143" i="5"/>
  <c r="H143" i="5"/>
  <c r="J142" i="5"/>
  <c r="I142" i="5"/>
  <c r="J141" i="5"/>
  <c r="I141" i="5"/>
  <c r="J140" i="5"/>
  <c r="H140" i="5"/>
  <c r="J139" i="5"/>
  <c r="I139" i="5"/>
  <c r="J138" i="5"/>
  <c r="I138" i="5"/>
  <c r="J137" i="5"/>
  <c r="I137" i="5"/>
  <c r="J136" i="5"/>
  <c r="H136" i="5"/>
  <c r="J134" i="5"/>
  <c r="H134" i="5"/>
  <c r="J133" i="5"/>
  <c r="I133" i="5"/>
  <c r="J119" i="5"/>
  <c r="I119" i="5"/>
  <c r="J103" i="5"/>
  <c r="H103" i="5"/>
  <c r="J102" i="5"/>
  <c r="I102" i="5"/>
  <c r="J101" i="5"/>
  <c r="H101" i="5"/>
  <c r="J97" i="5"/>
  <c r="H97" i="5"/>
  <c r="J96" i="5"/>
  <c r="I96" i="5"/>
  <c r="J94" i="5"/>
  <c r="H94" i="5"/>
  <c r="J93" i="5"/>
  <c r="H93" i="5"/>
  <c r="J91" i="5"/>
  <c r="H91" i="5"/>
  <c r="J89" i="5"/>
  <c r="H89" i="5"/>
  <c r="J88" i="5"/>
  <c r="H88" i="5"/>
  <c r="J87" i="5"/>
  <c r="I87" i="5"/>
  <c r="J86" i="5"/>
  <c r="I86" i="5"/>
  <c r="J85" i="5"/>
  <c r="H85" i="5"/>
  <c r="J83" i="5"/>
  <c r="H83" i="5"/>
  <c r="J82" i="5"/>
  <c r="I82" i="5"/>
  <c r="J81" i="5"/>
  <c r="I81" i="5"/>
  <c r="J79" i="5"/>
  <c r="I79" i="5"/>
  <c r="J78" i="5"/>
  <c r="I78" i="5"/>
  <c r="J77" i="5"/>
  <c r="H77" i="5"/>
  <c r="J75" i="5"/>
  <c r="I75" i="5"/>
  <c r="J74" i="5"/>
  <c r="I74" i="5"/>
  <c r="J73" i="5"/>
  <c r="I73" i="5"/>
  <c r="J72" i="5"/>
  <c r="H72" i="5"/>
  <c r="J71" i="5"/>
  <c r="H71" i="5"/>
  <c r="J70" i="5"/>
  <c r="H70" i="5"/>
  <c r="J69" i="5"/>
  <c r="H69" i="5"/>
  <c r="J68" i="5"/>
  <c r="I68" i="5"/>
  <c r="J67" i="5"/>
  <c r="H67" i="5"/>
  <c r="J66" i="5"/>
  <c r="I66" i="5"/>
  <c r="J65" i="5"/>
  <c r="I65" i="5"/>
  <c r="J64" i="5"/>
  <c r="H64" i="5"/>
  <c r="J61" i="5"/>
  <c r="H61" i="5"/>
  <c r="J60" i="5"/>
  <c r="H60" i="5"/>
  <c r="J59" i="5"/>
  <c r="I59" i="5"/>
  <c r="J58" i="5"/>
  <c r="H58" i="5"/>
  <c r="J57" i="5"/>
  <c r="H57" i="5"/>
  <c r="J56" i="5"/>
  <c r="I56" i="5"/>
  <c r="J55" i="5"/>
  <c r="J54" i="5"/>
  <c r="H54" i="5"/>
  <c r="J53" i="5"/>
  <c r="I53" i="5"/>
  <c r="J52" i="5"/>
  <c r="J50" i="5"/>
  <c r="H50" i="5"/>
  <c r="J49" i="5"/>
  <c r="I49" i="5"/>
  <c r="J47" i="5"/>
  <c r="I47" i="5"/>
  <c r="J46" i="5"/>
  <c r="I46" i="5"/>
  <c r="J45" i="5"/>
  <c r="I45" i="5"/>
  <c r="J44" i="5"/>
  <c r="H44" i="5"/>
  <c r="J43" i="5"/>
  <c r="H43" i="5"/>
  <c r="J42" i="5"/>
  <c r="H42" i="5"/>
  <c r="J41" i="5"/>
  <c r="H41" i="5"/>
  <c r="J40" i="5"/>
  <c r="H40" i="5"/>
  <c r="J39" i="5"/>
  <c r="H39" i="5"/>
  <c r="J38" i="5"/>
  <c r="H38" i="5"/>
  <c r="J37" i="5"/>
  <c r="H37" i="5"/>
  <c r="J35" i="5"/>
  <c r="I35" i="5"/>
  <c r="J33" i="5"/>
  <c r="H33" i="5"/>
  <c r="J32" i="5"/>
  <c r="H32" i="5"/>
  <c r="J31" i="5"/>
  <c r="H31" i="5"/>
  <c r="J30" i="5"/>
  <c r="H30" i="5"/>
  <c r="J29" i="5"/>
  <c r="H29" i="5"/>
  <c r="J28" i="5"/>
  <c r="I28" i="5"/>
  <c r="J27" i="5"/>
  <c r="I27" i="5"/>
  <c r="J26" i="5"/>
  <c r="I26" i="5"/>
  <c r="J25" i="5"/>
  <c r="H25" i="5"/>
  <c r="J24" i="5"/>
  <c r="H24" i="5"/>
  <c r="J23" i="5"/>
  <c r="H23" i="5"/>
  <c r="J22" i="5"/>
  <c r="I22" i="5"/>
  <c r="J8" i="5"/>
  <c r="H8" i="5"/>
  <c r="J9" i="5"/>
  <c r="H9" i="5"/>
  <c r="J10" i="5"/>
  <c r="H10" i="5"/>
  <c r="J11" i="5"/>
  <c r="H11" i="5"/>
  <c r="J12" i="5"/>
  <c r="I12" i="5"/>
  <c r="J13" i="5"/>
  <c r="I13" i="5"/>
  <c r="J14" i="5"/>
  <c r="I14" i="5"/>
  <c r="J15" i="5"/>
  <c r="H15" i="5"/>
  <c r="J16" i="5"/>
  <c r="I16" i="5"/>
  <c r="J17" i="5"/>
  <c r="I17" i="5"/>
  <c r="J18" i="5"/>
  <c r="H18" i="5"/>
  <c r="J19" i="5"/>
  <c r="H19" i="5"/>
  <c r="K184" i="5"/>
  <c r="N187" i="5"/>
  <c r="M187" i="5"/>
  <c r="L187" i="5"/>
  <c r="N186" i="5"/>
  <c r="M186" i="5"/>
  <c r="L186" i="5"/>
  <c r="N185" i="5"/>
  <c r="M185" i="5"/>
  <c r="L185" i="5"/>
  <c r="N184" i="5"/>
  <c r="M184" i="5"/>
  <c r="L184" i="5"/>
  <c r="N183" i="5"/>
  <c r="M183" i="5"/>
  <c r="L183" i="5"/>
  <c r="N182" i="5"/>
  <c r="M182" i="5"/>
  <c r="L182" i="5"/>
  <c r="N181" i="5"/>
  <c r="M181" i="5"/>
  <c r="L181" i="5"/>
  <c r="N180" i="5"/>
  <c r="M180" i="5"/>
  <c r="L180" i="5"/>
  <c r="N179" i="5"/>
  <c r="N178" i="5"/>
  <c r="N177" i="5"/>
  <c r="N176" i="5"/>
  <c r="N175" i="5"/>
  <c r="K166" i="5"/>
  <c r="K172" i="5"/>
  <c r="N173" i="5"/>
  <c r="M173" i="5"/>
  <c r="L173" i="5"/>
  <c r="N172" i="5"/>
  <c r="M172" i="5"/>
  <c r="L172" i="5"/>
  <c r="G172" i="5"/>
  <c r="N171" i="5"/>
  <c r="M171" i="5"/>
  <c r="L171" i="5"/>
  <c r="N170" i="5"/>
  <c r="M170" i="5"/>
  <c r="L170" i="5"/>
  <c r="N169" i="5"/>
  <c r="M169" i="5"/>
  <c r="L169" i="5"/>
  <c r="N168" i="5"/>
  <c r="M168" i="5"/>
  <c r="L168" i="5"/>
  <c r="N167" i="5"/>
  <c r="M167" i="5"/>
  <c r="L167" i="5"/>
  <c r="N166" i="5"/>
  <c r="M166" i="5"/>
  <c r="L166" i="5"/>
  <c r="N165" i="5"/>
  <c r="M165" i="5"/>
  <c r="L165" i="5"/>
  <c r="N164" i="5"/>
  <c r="N163" i="5"/>
  <c r="N162" i="5"/>
  <c r="N161" i="5"/>
  <c r="K141" i="5"/>
  <c r="K139" i="5"/>
  <c r="K119" i="5"/>
  <c r="K85" i="5"/>
  <c r="K43" i="5"/>
  <c r="K27" i="5"/>
  <c r="K24" i="5"/>
  <c r="K11" i="5"/>
  <c r="K29" i="5"/>
  <c r="K30" i="5"/>
  <c r="N159" i="5"/>
  <c r="M159" i="5"/>
  <c r="L159" i="5"/>
  <c r="N158" i="5"/>
  <c r="L158" i="5"/>
  <c r="N157" i="5"/>
  <c r="N156" i="5"/>
  <c r="N155" i="5"/>
  <c r="N154" i="5"/>
  <c r="N153" i="5"/>
  <c r="N152" i="5"/>
  <c r="N151" i="5"/>
  <c r="N150" i="5"/>
  <c r="N149" i="5"/>
  <c r="N148" i="5"/>
  <c r="N147" i="5"/>
  <c r="N145" i="5"/>
  <c r="L145" i="5"/>
  <c r="N144" i="5"/>
  <c r="M144" i="5"/>
  <c r="L144" i="5"/>
  <c r="N143" i="5"/>
  <c r="M143" i="5"/>
  <c r="L143" i="5"/>
  <c r="N142" i="5"/>
  <c r="M142" i="5"/>
  <c r="L142" i="5"/>
  <c r="N141" i="5"/>
  <c r="M141" i="5"/>
  <c r="L141" i="5"/>
  <c r="N140" i="5"/>
  <c r="M140" i="5"/>
  <c r="L140" i="5"/>
  <c r="N139" i="5"/>
  <c r="L139" i="5"/>
  <c r="N138" i="5"/>
  <c r="M138" i="5"/>
  <c r="L138" i="5"/>
  <c r="N137" i="5"/>
  <c r="M137" i="5"/>
  <c r="L137" i="5"/>
  <c r="N136" i="5"/>
  <c r="L136" i="5"/>
  <c r="N135" i="5"/>
  <c r="N134" i="5"/>
  <c r="M134" i="5"/>
  <c r="L134" i="5"/>
  <c r="N133" i="5"/>
  <c r="L133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M119" i="5"/>
  <c r="L119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3" i="5"/>
  <c r="M103" i="5"/>
  <c r="L103" i="5"/>
  <c r="N102" i="5"/>
  <c r="M102" i="5"/>
  <c r="L102" i="5"/>
  <c r="N101" i="5"/>
  <c r="M101" i="5"/>
  <c r="L101" i="5"/>
  <c r="N100" i="5"/>
  <c r="L100" i="5"/>
  <c r="N99" i="5"/>
  <c r="N98" i="5"/>
  <c r="N97" i="5"/>
  <c r="M97" i="5"/>
  <c r="L97" i="5"/>
  <c r="N96" i="5"/>
  <c r="M96" i="5"/>
  <c r="L96" i="5"/>
  <c r="N95" i="5"/>
  <c r="N94" i="5"/>
  <c r="M94" i="5"/>
  <c r="L94" i="5"/>
  <c r="N93" i="5"/>
  <c r="M93" i="5"/>
  <c r="L93" i="5"/>
  <c r="N92" i="5"/>
  <c r="N91" i="5"/>
  <c r="M91" i="5"/>
  <c r="L91" i="5"/>
  <c r="N89" i="5"/>
  <c r="M89" i="5"/>
  <c r="L89" i="5"/>
  <c r="N88" i="5"/>
  <c r="M88" i="5"/>
  <c r="K88" i="5"/>
  <c r="L88" i="5"/>
  <c r="G88" i="5"/>
  <c r="N87" i="5"/>
  <c r="M87" i="5"/>
  <c r="L87" i="5"/>
  <c r="N86" i="5"/>
  <c r="M86" i="5"/>
  <c r="L86" i="5"/>
  <c r="N85" i="5"/>
  <c r="M85" i="5"/>
  <c r="L85" i="5"/>
  <c r="N84" i="5"/>
  <c r="N83" i="5"/>
  <c r="M83" i="5"/>
  <c r="L83" i="5"/>
  <c r="N82" i="5"/>
  <c r="M82" i="5"/>
  <c r="L82" i="5"/>
  <c r="N81" i="5"/>
  <c r="L81" i="5"/>
  <c r="K81" i="5"/>
  <c r="N80" i="5"/>
  <c r="N79" i="5"/>
  <c r="M79" i="5"/>
  <c r="L79" i="5"/>
  <c r="K79" i="5"/>
  <c r="N78" i="5"/>
  <c r="M78" i="5"/>
  <c r="L78" i="5"/>
  <c r="N77" i="5"/>
  <c r="L77" i="5"/>
  <c r="N75" i="5"/>
  <c r="M75" i="5"/>
  <c r="L75" i="5"/>
  <c r="N74" i="5"/>
  <c r="M74" i="5"/>
  <c r="L74" i="5"/>
  <c r="N73" i="5"/>
  <c r="M73" i="5"/>
  <c r="L73" i="5"/>
  <c r="N72" i="5"/>
  <c r="M72" i="5"/>
  <c r="L72" i="5"/>
  <c r="N71" i="5"/>
  <c r="M71" i="5"/>
  <c r="L71" i="5"/>
  <c r="N70" i="5"/>
  <c r="M70" i="5"/>
  <c r="L70" i="5"/>
  <c r="N69" i="5"/>
  <c r="M69" i="5"/>
  <c r="L69" i="5"/>
  <c r="N68" i="5"/>
  <c r="M68" i="5"/>
  <c r="L68" i="5"/>
  <c r="N67" i="5"/>
  <c r="M67" i="5"/>
  <c r="L67" i="5"/>
  <c r="N66" i="5"/>
  <c r="M66" i="5"/>
  <c r="L66" i="5"/>
  <c r="N65" i="5"/>
  <c r="M65" i="5"/>
  <c r="L65" i="5"/>
  <c r="N64" i="5"/>
  <c r="M64" i="5"/>
  <c r="L64" i="5"/>
  <c r="N63" i="5"/>
  <c r="N61" i="5"/>
  <c r="M61" i="5"/>
  <c r="L61" i="5"/>
  <c r="N60" i="5"/>
  <c r="M60" i="5"/>
  <c r="L60" i="5"/>
  <c r="K60" i="5"/>
  <c r="G60" i="5" s="1"/>
  <c r="F60" i="5" s="1"/>
  <c r="E60" i="5" s="1"/>
  <c r="D60" i="5" s="1"/>
  <c r="Q60" i="5" s="1"/>
  <c r="N59" i="5"/>
  <c r="M59" i="5"/>
  <c r="L59" i="5"/>
  <c r="N58" i="5"/>
  <c r="M58" i="5"/>
  <c r="L58" i="5"/>
  <c r="N57" i="5"/>
  <c r="M57" i="5"/>
  <c r="L57" i="5"/>
  <c r="N56" i="5"/>
  <c r="M56" i="5"/>
  <c r="L56" i="5"/>
  <c r="N55" i="5"/>
  <c r="M55" i="5"/>
  <c r="L55" i="5"/>
  <c r="N54" i="5"/>
  <c r="M54" i="5"/>
  <c r="L54" i="5"/>
  <c r="K54" i="5"/>
  <c r="N53" i="5"/>
  <c r="M53" i="5"/>
  <c r="L53" i="5"/>
  <c r="N52" i="5"/>
  <c r="M52" i="5"/>
  <c r="L52" i="5"/>
  <c r="K52" i="5"/>
  <c r="N51" i="5"/>
  <c r="N50" i="5"/>
  <c r="M50" i="5"/>
  <c r="L50" i="5"/>
  <c r="N49" i="5"/>
  <c r="M49" i="5"/>
  <c r="L49" i="5"/>
  <c r="N47" i="5"/>
  <c r="M47" i="5"/>
  <c r="L47" i="5"/>
  <c r="K47" i="5"/>
  <c r="N46" i="5"/>
  <c r="M46" i="5"/>
  <c r="L46" i="5"/>
  <c r="N45" i="5"/>
  <c r="M45" i="5"/>
  <c r="L45" i="5"/>
  <c r="N44" i="5"/>
  <c r="M44" i="5"/>
  <c r="L44" i="5"/>
  <c r="N43" i="5"/>
  <c r="M43" i="5"/>
  <c r="L43" i="5"/>
  <c r="N42" i="5"/>
  <c r="M42" i="5"/>
  <c r="L42" i="5"/>
  <c r="N41" i="5"/>
  <c r="M41" i="5"/>
  <c r="L41" i="5"/>
  <c r="K41" i="5"/>
  <c r="G41" i="5" s="1"/>
  <c r="F41" i="5" s="1"/>
  <c r="E41" i="5" s="1"/>
  <c r="D41" i="5" s="1"/>
  <c r="Q41" i="5" s="1"/>
  <c r="N40" i="5"/>
  <c r="M40" i="5"/>
  <c r="L40" i="5"/>
  <c r="N39" i="5"/>
  <c r="M39" i="5"/>
  <c r="L39" i="5"/>
  <c r="N38" i="5"/>
  <c r="M38" i="5"/>
  <c r="L38" i="5"/>
  <c r="N37" i="5"/>
  <c r="M37" i="5"/>
  <c r="L37" i="5"/>
  <c r="K37" i="5"/>
  <c r="N36" i="5"/>
  <c r="N35" i="5"/>
  <c r="M35" i="5"/>
  <c r="L35" i="5"/>
  <c r="N33" i="5"/>
  <c r="M33" i="5"/>
  <c r="L33" i="5"/>
  <c r="N32" i="5"/>
  <c r="M32" i="5"/>
  <c r="L32" i="5"/>
  <c r="N31" i="5"/>
  <c r="M31" i="5"/>
  <c r="L31" i="5"/>
  <c r="N30" i="5"/>
  <c r="M30" i="5"/>
  <c r="L30" i="5"/>
  <c r="N29" i="5"/>
  <c r="M29" i="5"/>
  <c r="L29" i="5"/>
  <c r="N28" i="5"/>
  <c r="M28" i="5"/>
  <c r="L28" i="5"/>
  <c r="N27" i="5"/>
  <c r="M27" i="5"/>
  <c r="L27" i="5"/>
  <c r="N26" i="5"/>
  <c r="M26" i="5"/>
  <c r="L26" i="5"/>
  <c r="N25" i="5"/>
  <c r="M25" i="5"/>
  <c r="L25" i="5"/>
  <c r="N24" i="5"/>
  <c r="M24" i="5"/>
  <c r="L24" i="5"/>
  <c r="N23" i="5"/>
  <c r="M23" i="5"/>
  <c r="L23" i="5"/>
  <c r="N22" i="5"/>
  <c r="M22" i="5"/>
  <c r="K22" i="5"/>
  <c r="L22" i="5"/>
  <c r="G22" i="5"/>
  <c r="N21" i="5"/>
  <c r="N19" i="5"/>
  <c r="M19" i="5"/>
  <c r="L19" i="5"/>
  <c r="N18" i="5"/>
  <c r="M18" i="5"/>
  <c r="L18" i="5"/>
  <c r="N17" i="5"/>
  <c r="M17" i="5"/>
  <c r="L17" i="5"/>
  <c r="N16" i="5"/>
  <c r="M16" i="5"/>
  <c r="L16" i="5"/>
  <c r="N15" i="5"/>
  <c r="M15" i="5"/>
  <c r="L15" i="5"/>
  <c r="N14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7" i="5"/>
  <c r="K77" i="5"/>
  <c r="G77" i="5"/>
  <c r="M81" i="5"/>
  <c r="M133" i="5"/>
  <c r="M136" i="5"/>
  <c r="K136" i="5"/>
  <c r="G136" i="5"/>
  <c r="M139" i="5"/>
  <c r="G139" i="5"/>
  <c r="M145" i="5"/>
  <c r="M158" i="5"/>
  <c r="K26" i="5"/>
  <c r="G26" i="5" s="1"/>
  <c r="F26" i="5" s="1"/>
  <c r="E26" i="5" s="1"/>
  <c r="D26" i="5" s="1"/>
  <c r="Q26" i="5" s="1"/>
  <c r="K101" i="5"/>
  <c r="K33" i="5"/>
  <c r="K31" i="5"/>
  <c r="K57" i="5"/>
  <c r="K59" i="5"/>
  <c r="G59" i="5" s="1"/>
  <c r="F59" i="5" s="1"/>
  <c r="E59" i="5" s="1"/>
  <c r="D59" i="5" s="1"/>
  <c r="Q59" i="5" s="1"/>
  <c r="K53" i="5"/>
  <c r="G53" i="5" s="1"/>
  <c r="F53" i="5" s="1"/>
  <c r="E53" i="5" s="1"/>
  <c r="D53" i="5" s="1"/>
  <c r="Q53" i="5" s="1"/>
  <c r="K61" i="5"/>
  <c r="K49" i="5"/>
  <c r="K50" i="5"/>
  <c r="K56" i="5"/>
  <c r="K42" i="5"/>
  <c r="K45" i="5"/>
  <c r="G45" i="5" s="1"/>
  <c r="F45" i="5" s="1"/>
  <c r="E45" i="5" s="1"/>
  <c r="D45" i="5" s="1"/>
  <c r="K87" i="5"/>
  <c r="K140" i="5"/>
  <c r="K144" i="5"/>
  <c r="K138" i="5"/>
  <c r="K143" i="5"/>
  <c r="K134" i="5"/>
  <c r="K145" i="5"/>
  <c r="K137" i="5"/>
  <c r="K142" i="5"/>
  <c r="K133" i="5"/>
  <c r="K180" i="5"/>
  <c r="K185" i="5"/>
  <c r="K10" i="5"/>
  <c r="K15" i="5"/>
  <c r="K19" i="5"/>
  <c r="K14" i="5"/>
  <c r="K8" i="5"/>
  <c r="K12" i="5"/>
  <c r="G12" i="5" s="1"/>
  <c r="F12" i="5" s="1"/>
  <c r="E12" i="5" s="1"/>
  <c r="D12" i="5" s="1"/>
  <c r="Q12" i="5" s="1"/>
  <c r="K17" i="5"/>
  <c r="K16" i="5"/>
  <c r="K9" i="5"/>
  <c r="K18" i="5"/>
  <c r="K39" i="5"/>
  <c r="K35" i="5"/>
  <c r="K46" i="5"/>
  <c r="K94" i="5"/>
  <c r="K171" i="5"/>
  <c r="K167" i="5"/>
  <c r="K173" i="5"/>
  <c r="K183" i="5"/>
  <c r="K71" i="5"/>
  <c r="K73" i="5"/>
  <c r="K25" i="5"/>
  <c r="G25" i="5" s="1"/>
  <c r="F25" i="5" s="1"/>
  <c r="E25" i="5" s="1"/>
  <c r="D25" i="5" s="1"/>
  <c r="K86" i="5"/>
  <c r="K65" i="5"/>
  <c r="Q65" i="5" s="1"/>
  <c r="K182" i="5"/>
  <c r="K28" i="5"/>
  <c r="K75" i="5"/>
  <c r="K32" i="5"/>
  <c r="G32" i="5" s="1"/>
  <c r="F32" i="5" s="1"/>
  <c r="E32" i="5" s="1"/>
  <c r="D32" i="5" s="1"/>
  <c r="Q32" i="5" s="1"/>
  <c r="K78" i="5"/>
  <c r="K66" i="5"/>
  <c r="G66" i="5" s="1"/>
  <c r="F66" i="5" s="1"/>
  <c r="E66" i="5" s="1"/>
  <c r="D66" i="5" s="1"/>
  <c r="K38" i="5"/>
  <c r="G38" i="5" s="1"/>
  <c r="F38" i="5" s="1"/>
  <c r="E38" i="5" s="1"/>
  <c r="D38" i="5" s="1"/>
  <c r="K55" i="5"/>
  <c r="K96" i="5"/>
  <c r="K93" i="5"/>
  <c r="G93" i="5" s="1"/>
  <c r="F93" i="5" s="1"/>
  <c r="E93" i="5" s="1"/>
  <c r="D93" i="5" s="1"/>
  <c r="Q93" i="5" s="1"/>
  <c r="K64" i="5"/>
  <c r="K58" i="5"/>
  <c r="K165" i="5"/>
  <c r="K69" i="5"/>
  <c r="K186" i="5"/>
  <c r="K89" i="5"/>
  <c r="K67" i="5"/>
  <c r="K82" i="5"/>
  <c r="K74" i="5"/>
  <c r="K181" i="5"/>
  <c r="K23" i="5"/>
  <c r="K68" i="5"/>
  <c r="K169" i="5"/>
  <c r="K91" i="5"/>
  <c r="K40" i="5"/>
  <c r="K187" i="5"/>
  <c r="K44" i="5"/>
  <c r="K102" i="5"/>
  <c r="K83" i="5"/>
  <c r="G61" i="5"/>
  <c r="F61" i="5" s="1"/>
  <c r="E61" i="5" s="1"/>
  <c r="D61" i="5" s="1"/>
  <c r="Q61" i="5" s="1"/>
  <c r="G55" i="5"/>
  <c r="F55" i="5" s="1"/>
  <c r="E55" i="5" s="1"/>
  <c r="D55" i="5" s="1"/>
  <c r="Q55" i="5" s="1"/>
  <c r="G31" i="5"/>
  <c r="F31" i="5"/>
  <c r="E31" i="5" s="1"/>
  <c r="D31" i="5" s="1"/>
  <c r="Q31" i="5" s="1"/>
  <c r="G47" i="5"/>
  <c r="F47" i="5" s="1"/>
  <c r="E47" i="5" s="1"/>
  <c r="D47" i="5" s="1"/>
  <c r="Q47" i="5" s="1"/>
  <c r="G119" i="5"/>
  <c r="G167" i="5"/>
  <c r="G85" i="5"/>
  <c r="F85" i="5"/>
  <c r="G185" i="5"/>
  <c r="G30" i="5"/>
  <c r="F30" i="5"/>
  <c r="H13" i="5"/>
  <c r="H49" i="5"/>
  <c r="I31" i="5"/>
  <c r="H181" i="5"/>
  <c r="G144" i="5"/>
  <c r="F144" i="5"/>
  <c r="I140" i="5"/>
  <c r="G49" i="5"/>
  <c r="F49" i="5" s="1"/>
  <c r="E49" i="5" s="1"/>
  <c r="D49" i="5" s="1"/>
  <c r="Q49" i="5" s="1"/>
  <c r="I85" i="5"/>
  <c r="H17" i="5"/>
  <c r="I71" i="5"/>
  <c r="I39" i="5"/>
  <c r="I32" i="5"/>
  <c r="H96" i="5"/>
  <c r="F88" i="5"/>
  <c r="I25" i="5"/>
  <c r="I170" i="5"/>
  <c r="I11" i="5"/>
  <c r="H158" i="5"/>
  <c r="I38" i="5"/>
  <c r="I103" i="5"/>
  <c r="H12" i="5"/>
  <c r="H79" i="5"/>
  <c r="I182" i="5"/>
  <c r="I24" i="5"/>
  <c r="I57" i="5"/>
  <c r="H73" i="5"/>
  <c r="H142" i="5"/>
  <c r="H16" i="5"/>
  <c r="I69" i="5"/>
  <c r="I60" i="5"/>
  <c r="H82" i="5"/>
  <c r="I136" i="5"/>
  <c r="H59" i="5"/>
  <c r="H137" i="5"/>
  <c r="G165" i="5"/>
  <c r="F165" i="5"/>
  <c r="G181" i="5"/>
  <c r="G71" i="5"/>
  <c r="F71" i="5" s="1"/>
  <c r="E71" i="5" s="1"/>
  <c r="D71" i="5" s="1"/>
  <c r="Q71" i="5" s="1"/>
  <c r="I91" i="5"/>
  <c r="I168" i="5"/>
  <c r="H66" i="5"/>
  <c r="I166" i="5"/>
  <c r="H46" i="5"/>
  <c r="F136" i="5"/>
  <c r="I42" i="5"/>
  <c r="I144" i="5"/>
  <c r="H119" i="5"/>
  <c r="G89" i="5"/>
  <c r="F89" i="5"/>
  <c r="H145" i="5"/>
  <c r="G15" i="5"/>
  <c r="F15" i="5" s="1"/>
  <c r="E15" i="5" s="1"/>
  <c r="D15" i="5" s="1"/>
  <c r="Q15" i="5" s="1"/>
  <c r="I184" i="5"/>
  <c r="H65" i="5"/>
  <c r="H45" i="5"/>
  <c r="H75" i="5"/>
  <c r="H186" i="5"/>
  <c r="I15" i="5"/>
  <c r="I72" i="5"/>
  <c r="I43" i="5"/>
  <c r="H56" i="5"/>
  <c r="I33" i="5"/>
  <c r="I40" i="5"/>
  <c r="I83" i="5"/>
  <c r="I89" i="5"/>
  <c r="I171" i="5"/>
  <c r="H53" i="5"/>
  <c r="G83" i="5"/>
  <c r="F83" i="5"/>
  <c r="H138" i="5"/>
  <c r="H22" i="5"/>
  <c r="F22" i="5"/>
  <c r="E22" i="5" s="1"/>
  <c r="D22" i="5" s="1"/>
  <c r="Q22" i="5" s="1"/>
  <c r="I41" i="5"/>
  <c r="I18" i="5"/>
  <c r="I134" i="5"/>
  <c r="I9" i="5"/>
  <c r="G78" i="5"/>
  <c r="H74" i="5"/>
  <c r="H81" i="5"/>
  <c r="G9" i="5"/>
  <c r="F9" i="5" s="1"/>
  <c r="E9" i="5" s="1"/>
  <c r="D9" i="5" s="1"/>
  <c r="Q9" i="5" s="1"/>
  <c r="I58" i="5"/>
  <c r="G75" i="5"/>
  <c r="G145" i="5"/>
  <c r="G33" i="5"/>
  <c r="F33" i="5"/>
  <c r="E33" i="5" s="1"/>
  <c r="D33" i="5" s="1"/>
  <c r="Q33" i="5" s="1"/>
  <c r="I165" i="5"/>
  <c r="I8" i="5"/>
  <c r="H28" i="5"/>
  <c r="H78" i="5"/>
  <c r="H68" i="5"/>
  <c r="G171" i="5"/>
  <c r="F171" i="5"/>
  <c r="G18" i="5"/>
  <c r="F18" i="5" s="1"/>
  <c r="E18" i="5" s="1"/>
  <c r="D18" i="5" s="1"/>
  <c r="Q18" i="5" s="1"/>
  <c r="G101" i="5"/>
  <c r="F101" i="5" s="1"/>
  <c r="E101" i="5" s="1"/>
  <c r="D101" i="5" s="1"/>
  <c r="Q101" i="5" s="1"/>
  <c r="F77" i="5"/>
  <c r="G11" i="5"/>
  <c r="F11" i="5"/>
  <c r="G52" i="5"/>
  <c r="F52" i="5" s="1"/>
  <c r="E52" i="5" s="1"/>
  <c r="D52" i="5" s="1"/>
  <c r="Q52" i="5" s="1"/>
  <c r="I50" i="5"/>
  <c r="H169" i="5"/>
  <c r="H47" i="5"/>
  <c r="I183" i="5"/>
  <c r="I23" i="5"/>
  <c r="I67" i="5"/>
  <c r="G10" i="5"/>
  <c r="F10" i="5"/>
  <c r="E10" i="5" s="1"/>
  <c r="D10" i="5" s="1"/>
  <c r="Q10" i="5" s="1"/>
  <c r="I77" i="5"/>
  <c r="H86" i="5"/>
  <c r="G39" i="5"/>
  <c r="F39" i="5" s="1"/>
  <c r="E39" i="5" s="1"/>
  <c r="D39" i="5" s="1"/>
  <c r="Q39" i="5" s="1"/>
  <c r="H14" i="5"/>
  <c r="H167" i="5"/>
  <c r="I97" i="5"/>
  <c r="I93" i="5"/>
  <c r="I10" i="5"/>
  <c r="I180" i="5"/>
  <c r="G87" i="5"/>
  <c r="H27" i="5"/>
  <c r="I37" i="5"/>
  <c r="I187" i="5"/>
  <c r="H139" i="5"/>
  <c r="F139" i="5"/>
  <c r="E139" i="5"/>
  <c r="D139" i="5"/>
  <c r="Q139" i="5"/>
  <c r="H87" i="5"/>
  <c r="H185" i="5"/>
  <c r="I29" i="5"/>
  <c r="H141" i="5"/>
  <c r="G166" i="5"/>
  <c r="F166" i="5"/>
  <c r="H35" i="5"/>
  <c r="I70" i="5"/>
  <c r="I55" i="5"/>
  <c r="H173" i="5"/>
  <c r="I101" i="5"/>
  <c r="G183" i="5"/>
  <c r="F183" i="5"/>
  <c r="I30" i="5"/>
  <c r="H55" i="5"/>
  <c r="I54" i="5"/>
  <c r="G16" i="5"/>
  <c r="I44" i="5"/>
  <c r="H102" i="5"/>
  <c r="H26" i="5"/>
  <c r="G102" i="5"/>
  <c r="F102" i="5" s="1"/>
  <c r="E102" i="5" s="1"/>
  <c r="D102" i="5" s="1"/>
  <c r="Q102" i="5" s="1"/>
  <c r="G173" i="5"/>
  <c r="G79" i="5"/>
  <c r="I94" i="5"/>
  <c r="I61" i="5"/>
  <c r="H172" i="5"/>
  <c r="F172" i="5"/>
  <c r="E172" i="5"/>
  <c r="D172" i="5"/>
  <c r="Q172" i="5"/>
  <c r="H159" i="5"/>
  <c r="G19" i="5"/>
  <c r="F19" i="5"/>
  <c r="I143" i="5"/>
  <c r="I19" i="5"/>
  <c r="I88" i="5"/>
  <c r="H133" i="5"/>
  <c r="I64" i="5"/>
  <c r="G73" i="5"/>
  <c r="G140" i="5"/>
  <c r="F140" i="5"/>
  <c r="G169" i="5"/>
  <c r="G67" i="5"/>
  <c r="F67" i="5"/>
  <c r="G65" i="5"/>
  <c r="F65" i="5" s="1"/>
  <c r="E65" i="5" s="1"/>
  <c r="D65" i="5" s="1"/>
  <c r="G133" i="5"/>
  <c r="G81" i="5"/>
  <c r="I52" i="5"/>
  <c r="H52" i="5"/>
  <c r="G142" i="5"/>
  <c r="G68" i="5"/>
  <c r="F68" i="5" s="1"/>
  <c r="E68" i="5" s="1"/>
  <c r="D68" i="5" s="1"/>
  <c r="G82" i="5"/>
  <c r="G14" i="5"/>
  <c r="F14" i="5" s="1"/>
  <c r="E14" i="5" s="1"/>
  <c r="D14" i="5" s="1"/>
  <c r="Q14" i="5" s="1"/>
  <c r="G23" i="5"/>
  <c r="F23" i="5"/>
  <c r="E23" i="5" s="1"/>
  <c r="D23" i="5" s="1"/>
  <c r="Q23" i="5" s="1"/>
  <c r="G28" i="5"/>
  <c r="G187" i="5"/>
  <c r="F187" i="5"/>
  <c r="G91" i="5"/>
  <c r="F91" i="5" s="1"/>
  <c r="E91" i="5" s="1"/>
  <c r="D91" i="5" s="1"/>
  <c r="Q91" i="5" s="1"/>
  <c r="K70" i="5"/>
  <c r="G70" i="5" s="1"/>
  <c r="F70" i="5" s="1"/>
  <c r="E70" i="5" s="1"/>
  <c r="D70" i="5" s="1"/>
  <c r="Q70" i="5" s="1"/>
  <c r="K72" i="5"/>
  <c r="G86" i="5"/>
  <c r="G24" i="5"/>
  <c r="F24" i="5"/>
  <c r="E24" i="5" s="1"/>
  <c r="D24" i="5" s="1"/>
  <c r="Q24" i="5" s="1"/>
  <c r="G29" i="5"/>
  <c r="F29" i="5"/>
  <c r="G37" i="5"/>
  <c r="F37" i="5" s="1"/>
  <c r="E37" i="5" s="1"/>
  <c r="D37" i="5" s="1"/>
  <c r="Q37" i="5" s="1"/>
  <c r="G44" i="5"/>
  <c r="F44" i="5"/>
  <c r="E44" i="5" s="1"/>
  <c r="D44" i="5" s="1"/>
  <c r="Q44" i="5" s="1"/>
  <c r="G94" i="5"/>
  <c r="F94" i="5" s="1"/>
  <c r="E94" i="5" s="1"/>
  <c r="D94" i="5" s="1"/>
  <c r="Q94" i="5" s="1"/>
  <c r="G143" i="5"/>
  <c r="F143" i="5"/>
  <c r="K159" i="5"/>
  <c r="G159" i="5"/>
  <c r="G8" i="5"/>
  <c r="F8" i="5" s="1"/>
  <c r="E8" i="5" s="1"/>
  <c r="D8" i="5" s="1"/>
  <c r="Q8" i="5" s="1"/>
  <c r="G27" i="5"/>
  <c r="G58" i="5"/>
  <c r="F58" i="5"/>
  <c r="E58" i="5" s="1"/>
  <c r="D58" i="5" s="1"/>
  <c r="Q58" i="5" s="1"/>
  <c r="G64" i="5"/>
  <c r="F64" i="5"/>
  <c r="G138" i="5"/>
  <c r="G141" i="5"/>
  <c r="K103" i="5"/>
  <c r="K97" i="5"/>
  <c r="G186" i="5"/>
  <c r="G56" i="5"/>
  <c r="F56" i="5" s="1"/>
  <c r="E56" i="5" s="1"/>
  <c r="D56" i="5" s="1"/>
  <c r="Q56" i="5" s="1"/>
  <c r="G42" i="5"/>
  <c r="F42" i="5"/>
  <c r="E42" i="5" s="1"/>
  <c r="D42" i="5" s="1"/>
  <c r="Q42" i="5" s="1"/>
  <c r="G74" i="5"/>
  <c r="G134" i="5"/>
  <c r="F134" i="5"/>
  <c r="K168" i="5"/>
  <c r="G184" i="5"/>
  <c r="F184" i="5"/>
  <c r="G40" i="5"/>
  <c r="F40" i="5"/>
  <c r="G57" i="5"/>
  <c r="F57" i="5"/>
  <c r="E57" i="5" s="1"/>
  <c r="D57" i="5" s="1"/>
  <c r="Q57" i="5" s="1"/>
  <c r="G96" i="5"/>
  <c r="G137" i="5"/>
  <c r="G182" i="5"/>
  <c r="F182" i="5"/>
  <c r="K170" i="5"/>
  <c r="G180" i="5"/>
  <c r="F180" i="5"/>
  <c r="K13" i="5"/>
  <c r="F185" i="5"/>
  <c r="E185" i="5"/>
  <c r="D185" i="5"/>
  <c r="Q185" i="5"/>
  <c r="F167" i="5"/>
  <c r="E167" i="5"/>
  <c r="D167" i="5"/>
  <c r="Q167" i="5"/>
  <c r="F119" i="5"/>
  <c r="E119" i="5"/>
  <c r="D119" i="5"/>
  <c r="Q119" i="5"/>
  <c r="F181" i="5"/>
  <c r="E181" i="5"/>
  <c r="D181" i="5"/>
  <c r="Q181" i="5"/>
  <c r="E85" i="5"/>
  <c r="D85" i="5"/>
  <c r="Q85" i="5"/>
  <c r="E140" i="5"/>
  <c r="D140" i="5"/>
  <c r="Q140" i="5"/>
  <c r="E40" i="5"/>
  <c r="D40" i="5" s="1"/>
  <c r="Q40" i="5" s="1"/>
  <c r="E88" i="5"/>
  <c r="D88" i="5"/>
  <c r="Q88" i="5"/>
  <c r="F73" i="5"/>
  <c r="E73" i="5" s="1"/>
  <c r="D73" i="5" s="1"/>
  <c r="Q73" i="5" s="1"/>
  <c r="F142" i="5"/>
  <c r="E142" i="5"/>
  <c r="D142" i="5"/>
  <c r="Q142" i="5"/>
  <c r="E11" i="5"/>
  <c r="D11" i="5" s="1"/>
  <c r="Q11" i="5" s="1"/>
  <c r="F138" i="5"/>
  <c r="E138" i="5"/>
  <c r="D138" i="5"/>
  <c r="Q138" i="5"/>
  <c r="E183" i="5"/>
  <c r="D183" i="5"/>
  <c r="Q183" i="5"/>
  <c r="F74" i="5"/>
  <c r="E74" i="5" s="1"/>
  <c r="D74" i="5" s="1"/>
  <c r="Q74" i="5" s="1"/>
  <c r="F16" i="5"/>
  <c r="E16" i="5"/>
  <c r="D16" i="5" s="1"/>
  <c r="Q16" i="5" s="1"/>
  <c r="F96" i="5"/>
  <c r="E96" i="5"/>
  <c r="D96" i="5" s="1"/>
  <c r="Q96" i="5" s="1"/>
  <c r="F145" i="5"/>
  <c r="E145" i="5"/>
  <c r="D145" i="5"/>
  <c r="Q145" i="5"/>
  <c r="F81" i="5"/>
  <c r="E81" i="5"/>
  <c r="D81" i="5"/>
  <c r="Q81" i="5"/>
  <c r="F141" i="5"/>
  <c r="E141" i="5"/>
  <c r="D141" i="5"/>
  <c r="Q141" i="5"/>
  <c r="F79" i="5"/>
  <c r="E79" i="5"/>
  <c r="D79" i="5"/>
  <c r="Q79" i="5"/>
  <c r="F75" i="5"/>
  <c r="E75" i="5" s="1"/>
  <c r="D75" i="5" s="1"/>
  <c r="Q75" i="5" s="1"/>
  <c r="E180" i="5"/>
  <c r="D180" i="5"/>
  <c r="Q180" i="5"/>
  <c r="E182" i="5"/>
  <c r="D182" i="5"/>
  <c r="Q182" i="5"/>
  <c r="E134" i="5"/>
  <c r="D134" i="5"/>
  <c r="Q134" i="5"/>
  <c r="E187" i="5"/>
  <c r="D187" i="5"/>
  <c r="Q187" i="5"/>
  <c r="E83" i="5"/>
  <c r="D83" i="5"/>
  <c r="Q83" i="5"/>
  <c r="E184" i="5"/>
  <c r="D184" i="5"/>
  <c r="Q184" i="5"/>
  <c r="E166" i="5"/>
  <c r="D166" i="5"/>
  <c r="Q166" i="5"/>
  <c r="E89" i="5"/>
  <c r="D89" i="5"/>
  <c r="Q89" i="5"/>
  <c r="F186" i="5"/>
  <c r="E186" i="5"/>
  <c r="D186" i="5"/>
  <c r="Q186" i="5"/>
  <c r="F86" i="5"/>
  <c r="E86" i="5"/>
  <c r="D86" i="5"/>
  <c r="Q86" i="5"/>
  <c r="F28" i="5"/>
  <c r="E28" i="5" s="1"/>
  <c r="D28" i="5" s="1"/>
  <c r="Q28" i="5" s="1"/>
  <c r="E171" i="5"/>
  <c r="D171" i="5"/>
  <c r="Q171" i="5"/>
  <c r="E136" i="5"/>
  <c r="D136" i="5"/>
  <c r="Q136" i="5"/>
  <c r="E165" i="5"/>
  <c r="D165" i="5"/>
  <c r="Q165" i="5"/>
  <c r="F82" i="5"/>
  <c r="E82" i="5"/>
  <c r="D82" i="5"/>
  <c r="Q82" i="5"/>
  <c r="F137" i="5"/>
  <c r="E137" i="5"/>
  <c r="D137" i="5"/>
  <c r="Q137" i="5"/>
  <c r="F133" i="5"/>
  <c r="E133" i="5"/>
  <c r="D133" i="5"/>
  <c r="Q133" i="5"/>
  <c r="F169" i="5"/>
  <c r="E169" i="5"/>
  <c r="D169" i="5"/>
  <c r="Q169" i="5"/>
  <c r="E30" i="5"/>
  <c r="D30" i="5"/>
  <c r="Q30" i="5"/>
  <c r="E144" i="5"/>
  <c r="D144" i="5"/>
  <c r="Q144" i="5"/>
  <c r="E77" i="5"/>
  <c r="D77" i="5"/>
  <c r="Q77" i="5"/>
  <c r="E67" i="5"/>
  <c r="D67" i="5" s="1"/>
  <c r="Q67" i="5" s="1"/>
  <c r="F27" i="5"/>
  <c r="E27" i="5" s="1"/>
  <c r="D27" i="5" s="1"/>
  <c r="Q27" i="5" s="1"/>
  <c r="E19" i="5"/>
  <c r="D19" i="5" s="1"/>
  <c r="Q19" i="5" s="1"/>
  <c r="F173" i="5"/>
  <c r="E173" i="5"/>
  <c r="D173" i="5"/>
  <c r="Q173" i="5"/>
  <c r="F78" i="5"/>
  <c r="E78" i="5"/>
  <c r="D78" i="5"/>
  <c r="Q78" i="5"/>
  <c r="E64" i="5"/>
  <c r="D64" i="5" s="1"/>
  <c r="Q64" i="5" s="1"/>
  <c r="E143" i="5"/>
  <c r="D143" i="5"/>
  <c r="Q143" i="5"/>
  <c r="F87" i="5"/>
  <c r="E87" i="5"/>
  <c r="D87" i="5"/>
  <c r="Q87" i="5"/>
  <c r="E29" i="5"/>
  <c r="D29" i="5"/>
  <c r="Q29" i="5"/>
  <c r="F159" i="5"/>
  <c r="E159" i="5"/>
  <c r="D159" i="5"/>
  <c r="Q159" i="5"/>
  <c r="G103" i="5"/>
  <c r="F103" i="5"/>
  <c r="E103" i="5"/>
  <c r="D103" i="5" s="1"/>
  <c r="Q103" i="5" s="1"/>
  <c r="G158" i="5"/>
  <c r="F158" i="5"/>
  <c r="E158" i="5"/>
  <c r="D158" i="5"/>
  <c r="Q158" i="5"/>
  <c r="G13" i="5"/>
  <c r="F13" i="5" s="1"/>
  <c r="E13" i="5" s="1"/>
  <c r="D13" i="5" s="1"/>
  <c r="Q13" i="5" s="1"/>
  <c r="G170" i="5"/>
  <c r="F170" i="5"/>
  <c r="E170" i="5"/>
  <c r="D170" i="5"/>
  <c r="Q170" i="5"/>
  <c r="G168" i="5"/>
  <c r="F168" i="5"/>
  <c r="E168" i="5"/>
  <c r="D168" i="5"/>
  <c r="Q168" i="5"/>
  <c r="G72" i="5"/>
  <c r="F72" i="5" s="1"/>
  <c r="E72" i="5" s="1"/>
  <c r="D72" i="5" s="1"/>
  <c r="Q72" i="5" s="1"/>
  <c r="G97" i="5"/>
  <c r="F97" i="5" s="1"/>
  <c r="E97" i="5" s="1"/>
  <c r="D97" i="5" s="1"/>
  <c r="Q97" i="5" s="1"/>
  <c r="Q68" i="5" l="1"/>
  <c r="G69" i="5"/>
  <c r="F69" i="5" s="1"/>
  <c r="E69" i="5" s="1"/>
  <c r="D69" i="5" s="1"/>
  <c r="Q69" i="5" s="1"/>
  <c r="Q66" i="5"/>
  <c r="Q38" i="5"/>
  <c r="G54" i="5"/>
  <c r="F54" i="5" s="1"/>
  <c r="E54" i="5" s="1"/>
  <c r="D54" i="5" s="1"/>
  <c r="Q54" i="5" s="1"/>
  <c r="G50" i="5"/>
  <c r="F50" i="5" s="1"/>
  <c r="E50" i="5" s="1"/>
  <c r="D50" i="5" s="1"/>
  <c r="Q50" i="5" s="1"/>
  <c r="G35" i="5"/>
  <c r="F35" i="5" s="1"/>
  <c r="E35" i="5" s="1"/>
  <c r="D35" i="5" s="1"/>
  <c r="Q35" i="5" s="1"/>
  <c r="Q45" i="5"/>
  <c r="G46" i="5"/>
  <c r="F46" i="5" s="1"/>
  <c r="E46" i="5" s="1"/>
  <c r="D46" i="5" s="1"/>
  <c r="Q46" i="5" s="1"/>
  <c r="G43" i="5"/>
  <c r="F43" i="5" s="1"/>
  <c r="E43" i="5" s="1"/>
  <c r="D43" i="5" s="1"/>
  <c r="Q43" i="5" s="1"/>
  <c r="G21" i="5"/>
  <c r="F21" i="5" s="1"/>
  <c r="E21" i="5" s="1"/>
  <c r="D21" i="5" s="1"/>
  <c r="Q21" i="5" s="1"/>
  <c r="Q25" i="5"/>
  <c r="G17" i="5"/>
  <c r="F17" i="5" s="1"/>
  <c r="E17" i="5" s="1"/>
  <c r="D17" i="5" s="1"/>
  <c r="Q17" i="5" s="1"/>
  <c r="E191" i="5"/>
  <c r="D191" i="5" s="1"/>
  <c r="Q191" i="5" s="1"/>
  <c r="F196" i="5"/>
  <c r="F190" i="5"/>
  <c r="F194" i="5"/>
  <c r="E193" i="5"/>
  <c r="D193" i="5" s="1"/>
  <c r="Q193" i="5" s="1"/>
  <c r="F198" i="5"/>
  <c r="E198" i="5" s="1"/>
  <c r="D198" i="5" s="1"/>
  <c r="Q198" i="5" s="1"/>
  <c r="F192" i="5"/>
  <c r="E192" i="5" s="1"/>
  <c r="D192" i="5" s="1"/>
  <c r="Q192" i="5" s="1"/>
  <c r="I195" i="5"/>
  <c r="E195" i="5" s="1"/>
  <c r="D195" i="5" s="1"/>
  <c r="Q195" i="5" s="1"/>
  <c r="I199" i="5"/>
  <c r="E199" i="5" s="1"/>
  <c r="D199" i="5" s="1"/>
  <c r="Q199" i="5" s="1"/>
  <c r="I197" i="5"/>
  <c r="E197" i="5" s="1"/>
  <c r="D197" i="5" s="1"/>
  <c r="Q197" i="5" s="1"/>
  <c r="I189" i="5"/>
  <c r="E189" i="5" s="1"/>
  <c r="D189" i="5" s="1"/>
  <c r="Q189" i="5" s="1"/>
  <c r="I191" i="5"/>
  <c r="I193" i="5"/>
  <c r="E200" i="5"/>
  <c r="D200" i="5" s="1"/>
  <c r="Q200" i="5" s="1"/>
  <c r="E196" i="5"/>
  <c r="D196" i="5" s="1"/>
  <c r="Q196" i="5" s="1"/>
  <c r="E194" i="5"/>
  <c r="D194" i="5" s="1"/>
  <c r="Q194" i="5" s="1"/>
  <c r="I200" i="5"/>
  <c r="I196" i="5"/>
  <c r="I198" i="5"/>
  <c r="I190" i="5"/>
  <c r="I192" i="5"/>
  <c r="I194" i="5"/>
  <c r="E190" i="5" l="1"/>
  <c r="D190" i="5" s="1"/>
  <c r="Q190" i="5" s="1"/>
</calcChain>
</file>

<file path=xl/sharedStrings.xml><?xml version="1.0" encoding="utf-8"?>
<sst xmlns="http://schemas.openxmlformats.org/spreadsheetml/2006/main" count="217" uniqueCount="29">
  <si>
    <t>Simulation of Troe form</t>
  </si>
  <si>
    <t>F</t>
  </si>
  <si>
    <t>log F</t>
  </si>
  <si>
    <t>log Pr +C</t>
  </si>
  <si>
    <t>Pr</t>
  </si>
  <si>
    <t>c</t>
  </si>
  <si>
    <t>N</t>
  </si>
  <si>
    <t>Fc</t>
  </si>
  <si>
    <t>[M]</t>
  </si>
  <si>
    <t>kinf</t>
  </si>
  <si>
    <t>k0</t>
  </si>
  <si>
    <t>10000/T</t>
  </si>
  <si>
    <t>T</t>
  </si>
  <si>
    <t>k</t>
  </si>
  <si>
    <t>b</t>
  </si>
  <si>
    <t>d</t>
  </si>
  <si>
    <t>rate(cm3/mol/s)</t>
  </si>
  <si>
    <t>T(K)</t>
  </si>
  <si>
    <t>P(Torr)</t>
  </si>
  <si>
    <t>Original</t>
  </si>
  <si>
    <t>P(atm)</t>
  </si>
  <si>
    <t>k (cm3/mol/s)</t>
  </si>
  <si>
    <t>Ainf</t>
  </si>
  <si>
    <t>Ninf</t>
  </si>
  <si>
    <t>Einf</t>
  </si>
  <si>
    <t>A0</t>
  </si>
  <si>
    <t>n0</t>
  </si>
  <si>
    <t>E0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</si>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</sst>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E+000"/>
    <numFmt numFmtId="165" formatCode="0.000"/>
    <numFmt numFmtId="166" formatCode="0.000E+00"/>
    <numFmt numFmtId="167" formatCode="0.0000E+00"/>
  </numFmts>
  <fonts count="20" x14ac:knownFonts="1">
    <font>
      <sz val="10"/>
      <name val="Arial"/>
      <family val="2"/>
    </font>
    <font>
      <sz val="10"/>
      <color indexed="18"/>
      <name val="Arial"/>
      <family val="2"/>
    </font>
    <font>
      <sz val="10"/>
      <color indexed="16"/>
      <name val="Arial"/>
      <family val="2"/>
    </font>
    <font>
      <sz val="12"/>
      <name val="Times New Roman"/>
      <family val="1"/>
    </font>
    <font>
      <sz val="10"/>
      <color indexed="10"/>
      <name val="Arial"/>
      <family val="2"/>
    </font>
    <font>
      <sz val="12"/>
      <color indexed="10"/>
      <name val="Times New Roman"/>
      <family val="1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sz val="10"/>
      <color rgb="FFFFC000"/>
      <name val="Arial"/>
      <family val="2"/>
    </font>
    <font>
      <sz val="12"/>
      <color rgb="FFFF0000"/>
      <name val="Times New Roman"/>
      <family val="1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b/>
      <sz val="12"/>
      <color rgb="FFFF0000"/>
      <name val="Times New Roman"/>
      <family val="1"/>
    </font>
    <font>
      <b/>
      <sz val="10"/>
      <color theme="3"/>
      <name val="Arial"/>
      <family val="2"/>
    </font>
    <font>
      <b/>
      <sz val="12"/>
      <color theme="3"/>
      <name val="Times New Roman"/>
      <family val="1"/>
    </font>
    <font>
      <sz val="10"/>
      <color theme="5"/>
      <name val="Arial"/>
      <family val="2"/>
    </font>
    <font>
      <sz val="12"/>
      <color theme="5"/>
      <name val="Times New Roman"/>
      <family val="1"/>
    </font>
    <font>
      <sz val="10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" fontId="0" fillId="0" borderId="0" xfId="0" applyNumberFormat="1" applyFont="1"/>
    <xf numFmtId="2" fontId="1" fillId="0" borderId="0" xfId="0" applyNumberFormat="1" applyFont="1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11" fontId="2" fillId="0" borderId="0" xfId="0" applyNumberFormat="1" applyFont="1"/>
    <xf numFmtId="11" fontId="0" fillId="0" borderId="0" xfId="0" applyNumberFormat="1" applyAlignment="1">
      <alignment vertical="center"/>
    </xf>
    <xf numFmtId="2" fontId="0" fillId="0" borderId="0" xfId="0" applyNumberFormat="1"/>
    <xf numFmtId="165" fontId="0" fillId="0" borderId="0" xfId="0" applyNumberFormat="1"/>
    <xf numFmtId="0" fontId="3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11" fontId="4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11" fontId="6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6" fillId="0" borderId="0" xfId="0" applyFont="1"/>
    <xf numFmtId="0" fontId="6" fillId="0" borderId="1" xfId="0" applyFont="1" applyBorder="1"/>
    <xf numFmtId="2" fontId="7" fillId="0" borderId="0" xfId="0" applyNumberFormat="1" applyFont="1"/>
    <xf numFmtId="11" fontId="7" fillId="0" borderId="0" xfId="0" applyNumberFormat="1" applyFont="1"/>
    <xf numFmtId="11" fontId="7" fillId="0" borderId="0" xfId="0" applyNumberFormat="1" applyFont="1" applyAlignment="1">
      <alignment vertical="center"/>
    </xf>
    <xf numFmtId="0" fontId="8" fillId="0" borderId="0" xfId="0" applyNumberFormat="1" applyFont="1" applyAlignment="1">
      <alignment vertical="center"/>
    </xf>
    <xf numFmtId="11" fontId="8" fillId="0" borderId="0" xfId="0" applyNumberFormat="1" applyFont="1" applyAlignment="1">
      <alignment vertical="center"/>
    </xf>
    <xf numFmtId="0" fontId="9" fillId="0" borderId="0" xfId="0" applyFont="1"/>
    <xf numFmtId="0" fontId="7" fillId="0" borderId="0" xfId="0" applyFont="1"/>
    <xf numFmtId="0" fontId="7" fillId="0" borderId="0" xfId="0" applyNumberFormat="1" applyFont="1"/>
    <xf numFmtId="11" fontId="10" fillId="0" borderId="0" xfId="0" applyNumberFormat="1" applyFont="1"/>
    <xf numFmtId="2" fontId="6" fillId="0" borderId="0" xfId="0" applyNumberFormat="1" applyFont="1"/>
    <xf numFmtId="11" fontId="6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11" fontId="11" fillId="0" borderId="0" xfId="0" applyNumberFormat="1" applyFont="1" applyAlignment="1">
      <alignment vertical="center"/>
    </xf>
    <xf numFmtId="0" fontId="12" fillId="0" borderId="0" xfId="0" applyFont="1"/>
    <xf numFmtId="11" fontId="12" fillId="0" borderId="0" xfId="0" applyNumberFormat="1" applyFont="1"/>
    <xf numFmtId="11" fontId="13" fillId="0" borderId="0" xfId="0" applyNumberFormat="1" applyFont="1"/>
    <xf numFmtId="11" fontId="9" fillId="0" borderId="0" xfId="0" applyNumberFormat="1" applyFont="1"/>
    <xf numFmtId="2" fontId="9" fillId="0" borderId="0" xfId="0" applyNumberFormat="1" applyFont="1"/>
    <xf numFmtId="11" fontId="9" fillId="0" borderId="0" xfId="0" applyNumberFormat="1" applyFont="1" applyAlignment="1">
      <alignment vertical="center"/>
    </xf>
    <xf numFmtId="11" fontId="14" fillId="0" borderId="0" xfId="0" applyNumberFormat="1" applyFont="1" applyAlignment="1">
      <alignment vertical="center"/>
    </xf>
    <xf numFmtId="0" fontId="15" fillId="0" borderId="0" xfId="0" applyFont="1"/>
    <xf numFmtId="11" fontId="15" fillId="0" borderId="0" xfId="0" applyNumberFormat="1" applyFont="1"/>
    <xf numFmtId="2" fontId="15" fillId="0" borderId="0" xfId="0" applyNumberFormat="1" applyFont="1"/>
    <xf numFmtId="11" fontId="15" fillId="0" borderId="0" xfId="0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1" fontId="16" fillId="0" borderId="0" xfId="0" applyNumberFormat="1" applyFont="1" applyAlignment="1">
      <alignment vertical="center"/>
    </xf>
    <xf numFmtId="2" fontId="17" fillId="0" borderId="0" xfId="0" applyNumberFormat="1" applyFont="1"/>
    <xf numFmtId="11" fontId="17" fillId="0" borderId="0" xfId="0" applyNumberFormat="1" applyFont="1"/>
    <xf numFmtId="11" fontId="17" fillId="0" borderId="0" xfId="0" applyNumberFormat="1" applyFont="1" applyAlignment="1">
      <alignment vertical="center"/>
    </xf>
    <xf numFmtId="0" fontId="18" fillId="0" borderId="0" xfId="0" applyNumberFormat="1" applyFont="1" applyAlignment="1">
      <alignment vertical="center"/>
    </xf>
    <xf numFmtId="11" fontId="18" fillId="0" borderId="0" xfId="0" applyNumberFormat="1" applyFont="1" applyAlignment="1">
      <alignment vertical="center"/>
    </xf>
    <xf numFmtId="0" fontId="17" fillId="0" borderId="0" xfId="0" applyFont="1"/>
    <xf numFmtId="0" fontId="19" fillId="0" borderId="0" xfId="0" applyFont="1"/>
    <xf numFmtId="1" fontId="9" fillId="0" borderId="0" xfId="0" applyNumberFormat="1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11" fontId="0" fillId="0" borderId="0" xfId="0" applyNumberFormat="1" applyFont="1" applyFill="1"/>
    <xf numFmtId="11" fontId="0" fillId="0" borderId="0" xfId="0" applyNumberFormat="1" applyFont="1"/>
    <xf numFmtId="11" fontId="0" fillId="0" borderId="0" xfId="0" applyNumberFormat="1" applyFont="1" applyAlignment="1">
      <alignment vertical="center"/>
    </xf>
    <xf numFmtId="167" fontId="0" fillId="0" borderId="0" xfId="0" applyNumberFormat="1" applyFont="1"/>
    <xf numFmtId="0" fontId="0" fillId="0" borderId="0" xfId="0" applyNumberFormat="1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4"/>
  <sheetViews>
    <sheetView workbookViewId="0">
      <selection activeCell="D6" sqref="D6"/>
    </sheetView>
  </sheetViews>
  <sheetFormatPr defaultColWidth="11.5703125" defaultRowHeight="12.75" x14ac:dyDescent="0.2"/>
  <cols>
    <col min="1" max="1" width="12.5703125" bestFit="1" customWidth="1"/>
    <col min="2" max="2" width="14.28515625" customWidth="1"/>
    <col min="3" max="3" width="12.42578125" bestFit="1" customWidth="1"/>
    <col min="4" max="4" width="12.5703125" bestFit="1" customWidth="1"/>
    <col min="5" max="6" width="12.42578125" bestFit="1" customWidth="1"/>
    <col min="7" max="7" width="9.7109375" customWidth="1"/>
    <col min="8" max="9" width="12.5703125" bestFit="1" customWidth="1"/>
    <col min="10" max="10" width="12.28515625" bestFit="1" customWidth="1"/>
    <col min="11" max="11" width="9.140625" bestFit="1" customWidth="1"/>
    <col min="12" max="12" width="14.7109375" bestFit="1" customWidth="1"/>
    <col min="13" max="14" width="12.42578125" bestFit="1" customWidth="1"/>
    <col min="15" max="15" width="13.85546875" bestFit="1" customWidth="1"/>
    <col min="16" max="16" width="10.140625" bestFit="1" customWidth="1"/>
    <col min="17" max="17" width="11.85546875" bestFit="1" customWidth="1"/>
    <col min="18" max="18" width="12.42578125" bestFit="1" customWidth="1"/>
    <col min="21" max="22" width="15.7109375" bestFit="1" customWidth="1"/>
    <col min="23" max="23" width="13.42578125" customWidth="1"/>
    <col min="24" max="24" width="10" customWidth="1"/>
    <col min="25" max="26" width="12.42578125" bestFit="1" customWidth="1"/>
    <col min="27" max="27" width="10" customWidth="1"/>
    <col min="29" max="29" width="12.42578125" bestFit="1" customWidth="1"/>
  </cols>
  <sheetData>
    <row r="1" spans="1:37" x14ac:dyDescent="0.2">
      <c r="A1" t="s">
        <v>0</v>
      </c>
    </row>
    <row r="2" spans="1:37" x14ac:dyDescent="0.2">
      <c r="C2" s="20"/>
      <c r="E2" s="6"/>
    </row>
    <row r="3" spans="1:37" x14ac:dyDescent="0.2">
      <c r="S3" s="6"/>
      <c r="T3" s="6"/>
    </row>
    <row r="4" spans="1:37" x14ac:dyDescent="0.2">
      <c r="A4" t="s">
        <v>22</v>
      </c>
      <c r="B4" s="20">
        <v>1025148010484.856</v>
      </c>
      <c r="D4" s="1"/>
      <c r="E4" s="1"/>
      <c r="F4" s="1"/>
      <c r="Z4" s="6"/>
      <c r="AA4" s="6"/>
      <c r="AI4" s="6"/>
    </row>
    <row r="5" spans="1:37" x14ac:dyDescent="0.2">
      <c r="A5" t="s">
        <v>23</v>
      </c>
      <c r="B5">
        <v>0.60443536309435009</v>
      </c>
      <c r="S5" s="13"/>
      <c r="T5" s="13"/>
      <c r="U5" s="13"/>
      <c r="V5" s="13"/>
      <c r="Z5" s="9"/>
    </row>
    <row r="6" spans="1:37" ht="15.75" x14ac:dyDescent="0.25">
      <c r="A6" t="s">
        <v>24</v>
      </c>
      <c r="B6">
        <v>-241.07912523649858</v>
      </c>
      <c r="C6" s="22"/>
      <c r="D6" s="2" t="s">
        <v>1</v>
      </c>
      <c r="E6" s="2" t="s">
        <v>2</v>
      </c>
      <c r="F6" s="58" t="s">
        <v>3</v>
      </c>
      <c r="G6" s="58" t="s">
        <v>4</v>
      </c>
      <c r="H6" s="58" t="s">
        <v>5</v>
      </c>
      <c r="I6" s="58" t="s">
        <v>6</v>
      </c>
      <c r="J6" s="58" t="s">
        <v>7</v>
      </c>
      <c r="K6" s="58" t="s">
        <v>8</v>
      </c>
      <c r="L6" s="58" t="s">
        <v>9</v>
      </c>
      <c r="M6" s="58" t="s">
        <v>10</v>
      </c>
      <c r="N6" s="58" t="s">
        <v>11</v>
      </c>
      <c r="O6" s="58" t="s">
        <v>12</v>
      </c>
      <c r="P6" s="58">
        <f>76*0.1</f>
        <v>7.6000000000000005</v>
      </c>
      <c r="Q6" s="58" t="s">
        <v>21</v>
      </c>
      <c r="S6" s="14"/>
      <c r="T6" s="14"/>
      <c r="U6" s="17"/>
      <c r="V6" s="16"/>
      <c r="Z6" s="9"/>
      <c r="AD6" s="6"/>
      <c r="AK6" s="6"/>
    </row>
    <row r="7" spans="1:37" ht="15.75" x14ac:dyDescent="0.25">
      <c r="A7" t="s">
        <v>25</v>
      </c>
      <c r="B7" s="6">
        <v>8.8678682271160617E+18</v>
      </c>
      <c r="C7" s="19"/>
      <c r="D7" s="2">
        <f>10^E7</f>
        <v>0.90249345755904431</v>
      </c>
      <c r="E7" s="2">
        <f t="shared" ref="E7:E17" si="0">LOG(J7)/(1+(F7/(I7-0.14*F7))^2)</f>
        <v>-4.4555937739538858E-2</v>
      </c>
      <c r="F7" s="2">
        <f t="shared" ref="F7:F17" si="1">LOG(G7)+H7</f>
        <v>-4.3582226264261559</v>
      </c>
      <c r="G7" s="62">
        <f t="shared" ref="G7:G17" si="2">M7*K7/L7</f>
        <v>6.751909560733245E-5</v>
      </c>
      <c r="H7" s="2">
        <f>-0.4-0.67*LOG(J7)</f>
        <v>-0.18764924287290854</v>
      </c>
      <c r="I7" s="2">
        <f t="shared" ref="I7:I17" si="3">0.75-1.27*LOG(J7)</f>
        <v>1.1525156142558302</v>
      </c>
      <c r="J7" s="62">
        <f>(1-$B$10)*EXP(-O7/$B$11)+$B$10*EXP(-O7/$B$12)+EXP(-B$13/O7)</f>
        <v>0.48201280026072907</v>
      </c>
      <c r="K7" s="62">
        <f t="shared" ref="K7:K19" si="4">$P$6*101325/760/8.314/O7/1000000</f>
        <v>4.0624248255953807E-7</v>
      </c>
      <c r="L7" s="63">
        <f>B$4*O7^B$5*EXP(-B$6/1.987/O7)</f>
        <v>48271057302442.148</v>
      </c>
      <c r="M7" s="62">
        <f t="shared" ref="M7:M17" si="5">$B$7*O7^$B$8*EXP(-$B$9/1.987/O7)</f>
        <v>8022839247475676</v>
      </c>
      <c r="N7" s="2">
        <f t="shared" ref="N7:N17" si="6">10000/O7</f>
        <v>33.333333333333336</v>
      </c>
      <c r="O7" s="11">
        <v>300</v>
      </c>
      <c r="P7" s="12"/>
      <c r="Q7" s="62">
        <f t="shared" ref="Q7:Q17" si="7">L7/(1+L7/M7/K7)*D7</f>
        <v>2941224453.0389853</v>
      </c>
      <c r="R7" s="19"/>
      <c r="S7" s="19"/>
      <c r="T7" s="19"/>
      <c r="U7" s="18"/>
      <c r="V7" s="16"/>
      <c r="W7" s="5"/>
      <c r="X7" s="8"/>
      <c r="Y7" s="4"/>
      <c r="Z7" s="6"/>
      <c r="AB7" s="6"/>
      <c r="AD7" s="6"/>
      <c r="AG7" s="6"/>
      <c r="AH7" s="6"/>
      <c r="AI7" s="6"/>
      <c r="AJ7" s="6"/>
      <c r="AK7" s="6"/>
    </row>
    <row r="8" spans="1:37" ht="15.75" x14ac:dyDescent="0.25">
      <c r="A8" t="s">
        <v>26</v>
      </c>
      <c r="B8" s="10">
        <v>-1.1838585859855348</v>
      </c>
      <c r="D8" s="2">
        <f>10^E8</f>
        <v>0.90867218129485539</v>
      </c>
      <c r="E8" s="2">
        <f t="shared" si="0"/>
        <v>-4.1592767529160968E-2</v>
      </c>
      <c r="F8" s="2">
        <f t="shared" si="1"/>
        <v>-4.6349459427206767</v>
      </c>
      <c r="G8" s="62">
        <f t="shared" si="2"/>
        <v>3.5702884104850329E-5</v>
      </c>
      <c r="H8" s="2">
        <f t="shared" ref="H8:H17" si="8">-0.4-0.67*LOG(J8)</f>
        <v>-0.18764924287290854</v>
      </c>
      <c r="I8" s="2">
        <f t="shared" si="3"/>
        <v>1.1525156142558302</v>
      </c>
      <c r="J8" s="62">
        <f t="shared" ref="J8:J19" si="9">(1-$B$10)*EXP(-O8/$B$11)+$B$10*EXP(-O8/$B$12)+EXP(-B$13/O8)</f>
        <v>0.48201280026072907</v>
      </c>
      <c r="K8" s="62">
        <f t="shared" si="4"/>
        <v>3.0468186191965356E-7</v>
      </c>
      <c r="L8" s="63">
        <f t="shared" ref="L8:L19" si="10">B$4*O8^B$5*EXP(-B$6/1.987/O8)</f>
        <v>51915144096005.555</v>
      </c>
      <c r="M8" s="62">
        <f t="shared" si="5"/>
        <v>6083461487560017</v>
      </c>
      <c r="N8" s="2">
        <f t="shared" si="6"/>
        <v>25</v>
      </c>
      <c r="O8" s="11">
        <v>400</v>
      </c>
      <c r="P8" s="12"/>
      <c r="Q8" s="62">
        <f t="shared" si="7"/>
        <v>1684182270.1951561</v>
      </c>
      <c r="R8" s="4"/>
      <c r="U8" s="18"/>
      <c r="V8" s="16"/>
      <c r="W8" s="5"/>
      <c r="X8" s="8"/>
      <c r="Y8" s="4"/>
      <c r="Z8" s="6"/>
      <c r="AB8" s="6"/>
      <c r="AD8" s="6"/>
      <c r="AG8" s="6"/>
      <c r="AH8" s="6"/>
      <c r="AI8" s="6"/>
      <c r="AJ8" s="6"/>
      <c r="AK8" s="6"/>
    </row>
    <row r="9" spans="1:37" ht="15.75" x14ac:dyDescent="0.25">
      <c r="A9" t="s">
        <v>27</v>
      </c>
      <c r="B9" s="9">
        <v>152.25912620259132</v>
      </c>
      <c r="C9" s="1"/>
      <c r="D9" s="2">
        <f t="shared" ref="D9:D17" si="11">10^E9</f>
        <v>0.91317145512013154</v>
      </c>
      <c r="E9" s="2">
        <f t="shared" si="0"/>
        <v>-3.9447672606209849E-2</v>
      </c>
      <c r="F9" s="2">
        <f t="shared" si="1"/>
        <v>-4.8621739813986409</v>
      </c>
      <c r="G9" s="62">
        <f t="shared" si="2"/>
        <v>2.1158031602425964E-5</v>
      </c>
      <c r="H9" s="2">
        <f t="shared" si="8"/>
        <v>-0.18764924287290854</v>
      </c>
      <c r="I9" s="2">
        <f t="shared" si="3"/>
        <v>1.1525156142558302</v>
      </c>
      <c r="J9" s="62">
        <f t="shared" si="9"/>
        <v>0.48201280026072907</v>
      </c>
      <c r="K9" s="62">
        <f t="shared" si="4"/>
        <v>2.4374548953572287E-7</v>
      </c>
      <c r="L9" s="63">
        <f t="shared" si="10"/>
        <v>55914419404048.281</v>
      </c>
      <c r="M9" s="62">
        <f t="shared" si="5"/>
        <v>4853583362857548</v>
      </c>
      <c r="N9" s="2">
        <f t="shared" si="6"/>
        <v>20</v>
      </c>
      <c r="O9" s="11">
        <v>500</v>
      </c>
      <c r="P9" s="12"/>
      <c r="Q9" s="62">
        <f t="shared" si="7"/>
        <v>1080294636.3849645</v>
      </c>
      <c r="R9" s="19"/>
      <c r="S9" s="6"/>
      <c r="T9" s="6"/>
      <c r="U9" s="18"/>
      <c r="V9" s="16"/>
      <c r="W9" s="5"/>
      <c r="X9" s="8"/>
      <c r="Y9" s="4"/>
      <c r="Z9" s="6"/>
      <c r="AB9" s="6"/>
      <c r="AD9" s="6"/>
      <c r="AG9" s="6"/>
      <c r="AH9" s="6"/>
      <c r="AI9" s="6"/>
      <c r="AJ9" s="6"/>
      <c r="AK9" s="6"/>
    </row>
    <row r="10" spans="1:37" ht="15.75" x14ac:dyDescent="0.25">
      <c r="A10" t="s">
        <v>28</v>
      </c>
      <c r="B10" s="10">
        <v>0.48201280026072907</v>
      </c>
      <c r="D10" s="2">
        <f t="shared" si="11"/>
        <v>0.91662771075147598</v>
      </c>
      <c r="E10" s="2">
        <f t="shared" si="0"/>
        <v>-3.7807017651407857E-2</v>
      </c>
      <c r="F10" s="2">
        <f t="shared" si="1"/>
        <v>-5.0542975278354039</v>
      </c>
      <c r="G10" s="62">
        <f t="shared" si="2"/>
        <v>1.3594139274508019E-5</v>
      </c>
      <c r="H10" s="2">
        <f t="shared" si="8"/>
        <v>-0.18764924287290854</v>
      </c>
      <c r="I10" s="2">
        <f t="shared" si="3"/>
        <v>1.1525156142558302</v>
      </c>
      <c r="J10" s="62">
        <f t="shared" si="9"/>
        <v>0.48201280026072907</v>
      </c>
      <c r="K10" s="62">
        <f t="shared" si="4"/>
        <v>2.0312124127976904E-7</v>
      </c>
      <c r="L10" s="63">
        <f t="shared" si="10"/>
        <v>59954213423504.078</v>
      </c>
      <c r="M10" s="62">
        <f t="shared" si="5"/>
        <v>4012509584116398.5</v>
      </c>
      <c r="N10" s="2">
        <f t="shared" si="6"/>
        <v>16.666666666666668</v>
      </c>
      <c r="O10" s="11">
        <v>600</v>
      </c>
      <c r="P10" s="12"/>
      <c r="Q10" s="62">
        <f t="shared" si="7"/>
        <v>747065194.30243158</v>
      </c>
      <c r="R10" s="4"/>
      <c r="S10" s="6"/>
      <c r="T10" s="6"/>
      <c r="U10" s="18"/>
      <c r="V10" s="16"/>
      <c r="W10" s="5"/>
      <c r="X10" s="8"/>
      <c r="Y10" s="4"/>
      <c r="Z10" s="6"/>
      <c r="AB10" s="6"/>
      <c r="AD10" s="6"/>
      <c r="AG10" s="6"/>
      <c r="AH10" s="6"/>
      <c r="AI10" s="6"/>
      <c r="AJ10" s="6"/>
      <c r="AK10" s="6"/>
    </row>
    <row r="11" spans="1:37" ht="15.75" x14ac:dyDescent="0.25">
      <c r="A11" t="s">
        <v>14</v>
      </c>
      <c r="B11" s="9">
        <v>1E-4</v>
      </c>
      <c r="D11" s="2">
        <f t="shared" si="11"/>
        <v>0.91938983597384905</v>
      </c>
      <c r="E11" s="2">
        <f t="shared" si="0"/>
        <v>-3.6500301765686319E-2</v>
      </c>
      <c r="F11" s="2">
        <f t="shared" si="1"/>
        <v>-5.2204955399881703</v>
      </c>
      <c r="G11" s="62">
        <f t="shared" si="2"/>
        <v>9.2715789945465058E-6</v>
      </c>
      <c r="H11" s="2">
        <f t="shared" si="8"/>
        <v>-0.18764924287290854</v>
      </c>
      <c r="I11" s="2">
        <f t="shared" si="3"/>
        <v>1.1525156142558302</v>
      </c>
      <c r="J11" s="62">
        <f t="shared" si="9"/>
        <v>0.48201280026072907</v>
      </c>
      <c r="K11" s="62">
        <f t="shared" si="4"/>
        <v>1.7410392109694492E-7</v>
      </c>
      <c r="L11" s="63">
        <f t="shared" si="10"/>
        <v>63935043186733.742</v>
      </c>
      <c r="M11" s="62">
        <f t="shared" si="5"/>
        <v>3404741258500846</v>
      </c>
      <c r="N11" s="2">
        <f t="shared" si="6"/>
        <v>14.285714285714286</v>
      </c>
      <c r="O11" s="11">
        <v>700</v>
      </c>
      <c r="P11" s="12"/>
      <c r="Q11" s="62">
        <f t="shared" si="7"/>
        <v>544989753.93463075</v>
      </c>
      <c r="R11" s="4"/>
      <c r="S11" s="15"/>
      <c r="T11" s="15"/>
      <c r="U11" s="18"/>
      <c r="V11" s="16"/>
      <c r="W11" s="5"/>
      <c r="X11" s="8"/>
      <c r="Y11" s="4"/>
      <c r="Z11" s="6"/>
      <c r="AB11" s="6"/>
      <c r="AD11" s="6"/>
      <c r="AG11" s="6"/>
      <c r="AH11" s="6"/>
      <c r="AI11" s="6"/>
      <c r="AJ11" s="6"/>
      <c r="AK11" s="6"/>
    </row>
    <row r="12" spans="1:37" ht="15.75" x14ac:dyDescent="0.25">
      <c r="A12" t="s">
        <v>5</v>
      </c>
      <c r="B12" s="6">
        <v>1E+30</v>
      </c>
      <c r="D12" s="2">
        <f t="shared" si="11"/>
        <v>0.9216640556010427</v>
      </c>
      <c r="E12" s="2">
        <f t="shared" si="0"/>
        <v>-3.5427349429395939E-2</v>
      </c>
      <c r="F12" s="2">
        <f t="shared" si="1"/>
        <v>-5.3668421476279686</v>
      </c>
      <c r="G12" s="62">
        <f t="shared" si="2"/>
        <v>6.6192242594768856E-6</v>
      </c>
      <c r="H12" s="2">
        <f t="shared" si="8"/>
        <v>-0.18764924287290854</v>
      </c>
      <c r="I12" s="2">
        <f t="shared" si="3"/>
        <v>1.1525156142558302</v>
      </c>
      <c r="J12" s="62">
        <f t="shared" si="9"/>
        <v>0.48201280026072907</v>
      </c>
      <c r="K12" s="62">
        <f t="shared" si="4"/>
        <v>1.5234093095982678E-7</v>
      </c>
      <c r="L12" s="63">
        <f t="shared" si="10"/>
        <v>67823786331033.422</v>
      </c>
      <c r="M12" s="62">
        <f t="shared" si="5"/>
        <v>2946948328485281.5</v>
      </c>
      <c r="N12" s="2">
        <f t="shared" si="6"/>
        <v>12.5</v>
      </c>
      <c r="O12" s="11">
        <v>800</v>
      </c>
      <c r="P12" s="12"/>
      <c r="Q12" s="62">
        <f t="shared" si="7"/>
        <v>413769907.40704912</v>
      </c>
      <c r="R12" s="4"/>
      <c r="S12" s="16"/>
      <c r="T12" s="16"/>
      <c r="U12" s="18"/>
      <c r="V12" s="16"/>
      <c r="W12" s="5"/>
      <c r="X12" s="8"/>
      <c r="Y12" s="4"/>
      <c r="Z12" s="6"/>
      <c r="AB12" s="6"/>
      <c r="AD12" s="6"/>
      <c r="AG12" s="6"/>
      <c r="AH12" s="6"/>
      <c r="AI12" s="6"/>
      <c r="AJ12" s="6"/>
      <c r="AK12" s="6"/>
    </row>
    <row r="13" spans="1:37" ht="15.75" x14ac:dyDescent="0.25">
      <c r="A13" t="s">
        <v>15</v>
      </c>
      <c r="B13" s="6">
        <v>1E+30</v>
      </c>
      <c r="D13" s="2">
        <f t="shared" si="11"/>
        <v>0.92358033424414365</v>
      </c>
      <c r="E13" s="2">
        <f t="shared" si="0"/>
        <v>-3.4525323069909887E-2</v>
      </c>
      <c r="F13" s="2">
        <f t="shared" si="1"/>
        <v>-5.4975299819488272</v>
      </c>
      <c r="G13" s="62">
        <f t="shared" si="2"/>
        <v>4.899133352278541E-6</v>
      </c>
      <c r="H13" s="2">
        <f t="shared" si="8"/>
        <v>-0.18764924287290854</v>
      </c>
      <c r="I13" s="2">
        <f t="shared" si="3"/>
        <v>1.1525156142558302</v>
      </c>
      <c r="J13" s="62">
        <f t="shared" si="9"/>
        <v>0.48201280026072907</v>
      </c>
      <c r="K13" s="62">
        <f t="shared" si="4"/>
        <v>1.3541416085317936E-7</v>
      </c>
      <c r="L13" s="63">
        <f t="shared" si="10"/>
        <v>71611384152110.969</v>
      </c>
      <c r="M13" s="62">
        <f t="shared" si="5"/>
        <v>2590820031612673.5</v>
      </c>
      <c r="N13" s="2">
        <f t="shared" si="6"/>
        <v>11.111111111111111</v>
      </c>
      <c r="O13" s="11">
        <v>900</v>
      </c>
      <c r="P13" s="12"/>
      <c r="Q13" s="62">
        <f t="shared" si="7"/>
        <v>324021537.42103714</v>
      </c>
      <c r="R13" s="4"/>
      <c r="S13" s="6"/>
      <c r="T13" s="6"/>
      <c r="U13" s="18"/>
      <c r="V13" s="16"/>
      <c r="W13" s="5"/>
      <c r="X13" s="8"/>
      <c r="Y13" s="4"/>
      <c r="Z13" s="6"/>
      <c r="AB13" s="6"/>
      <c r="AD13" s="6"/>
      <c r="AG13" s="6"/>
      <c r="AH13" s="6"/>
      <c r="AI13" s="6"/>
      <c r="AJ13" s="6"/>
      <c r="AK13" s="6"/>
    </row>
    <row r="14" spans="1:37" ht="15.75" x14ac:dyDescent="0.25">
      <c r="D14" s="2">
        <f t="shared" si="11"/>
        <v>0.9252249382542983</v>
      </c>
      <c r="E14" s="2">
        <f t="shared" si="0"/>
        <v>-3.3752669891618195E-2</v>
      </c>
      <c r="F14" s="2">
        <f t="shared" si="1"/>
        <v>-5.6155629684047597</v>
      </c>
      <c r="G14" s="62">
        <f t="shared" si="2"/>
        <v>3.7332431291150764E-6</v>
      </c>
      <c r="H14" s="2">
        <f t="shared" si="8"/>
        <v>-0.18764924287290854</v>
      </c>
      <c r="I14" s="2">
        <f t="shared" si="3"/>
        <v>1.1525156142558302</v>
      </c>
      <c r="J14" s="62">
        <f t="shared" si="9"/>
        <v>0.48201280026072907</v>
      </c>
      <c r="K14" s="62">
        <f t="shared" si="4"/>
        <v>1.2187274476786143E-7</v>
      </c>
      <c r="L14" s="63">
        <f t="shared" si="10"/>
        <v>75298240556451.203</v>
      </c>
      <c r="M14" s="62">
        <f t="shared" si="5"/>
        <v>2306558695525130.5</v>
      </c>
      <c r="N14" s="2">
        <f t="shared" si="6"/>
        <v>10</v>
      </c>
      <c r="O14" s="11">
        <v>1000</v>
      </c>
      <c r="P14" s="12"/>
      <c r="Q14" s="62">
        <f t="shared" si="7"/>
        <v>260085901.92522389</v>
      </c>
      <c r="R14" s="4"/>
      <c r="S14" s="6"/>
      <c r="T14" s="6"/>
      <c r="U14" s="18"/>
      <c r="V14" s="16"/>
      <c r="W14" s="5"/>
      <c r="X14" s="8"/>
      <c r="Y14" s="4"/>
      <c r="Z14" s="6"/>
      <c r="AB14" s="6"/>
      <c r="AD14" s="6"/>
      <c r="AG14" s="6"/>
      <c r="AH14" s="6"/>
      <c r="AI14" s="6"/>
      <c r="AJ14" s="6"/>
      <c r="AK14" s="6"/>
    </row>
    <row r="15" spans="1:37" ht="15.75" x14ac:dyDescent="0.25">
      <c r="D15" s="2">
        <f t="shared" si="11"/>
        <v>0.92665759111499901</v>
      </c>
      <c r="E15" s="2">
        <f t="shared" si="0"/>
        <v>-3.3080712198683783E-2</v>
      </c>
      <c r="F15" s="2">
        <f t="shared" si="1"/>
        <v>-5.7231623848407605</v>
      </c>
      <c r="G15" s="62">
        <f t="shared" si="2"/>
        <v>2.9139819548878158E-6</v>
      </c>
      <c r="H15" s="2">
        <f t="shared" si="8"/>
        <v>-0.18764924287290854</v>
      </c>
      <c r="I15" s="2">
        <f t="shared" si="3"/>
        <v>1.1525156142558302</v>
      </c>
      <c r="J15" s="62">
        <f t="shared" si="9"/>
        <v>0.48201280026072907</v>
      </c>
      <c r="K15" s="62">
        <f t="shared" si="4"/>
        <v>1.1079340433441949E-7</v>
      </c>
      <c r="L15" s="63">
        <f t="shared" si="10"/>
        <v>78888524675193.109</v>
      </c>
      <c r="M15" s="62">
        <f t="shared" si="5"/>
        <v>2074850382405116</v>
      </c>
      <c r="N15" s="2">
        <f t="shared" si="6"/>
        <v>9.0909090909090917</v>
      </c>
      <c r="O15" s="11">
        <v>1100</v>
      </c>
      <c r="P15" s="12"/>
      <c r="Q15" s="62">
        <f t="shared" si="7"/>
        <v>213019182.92598894</v>
      </c>
      <c r="R15" s="4"/>
      <c r="S15" s="6"/>
      <c r="T15" s="6"/>
      <c r="U15" s="18"/>
      <c r="V15" s="16"/>
      <c r="W15" s="5"/>
      <c r="X15" s="8"/>
      <c r="Y15" s="4"/>
      <c r="Z15" s="6"/>
      <c r="AB15" s="6"/>
      <c r="AD15" s="6"/>
      <c r="AG15" s="6"/>
      <c r="AH15" s="6"/>
      <c r="AI15" s="6"/>
      <c r="AJ15" s="6"/>
      <c r="AK15" s="6"/>
    </row>
    <row r="16" spans="1:37" ht="15.75" x14ac:dyDescent="0.25">
      <c r="D16" s="2">
        <f t="shared" si="11"/>
        <v>0.92792109628293618</v>
      </c>
      <c r="E16" s="2">
        <f t="shared" si="0"/>
        <v>-3.2488951481363743E-2</v>
      </c>
      <c r="F16" s="2">
        <f t="shared" si="1"/>
        <v>-5.8220150362407397</v>
      </c>
      <c r="G16" s="62">
        <f t="shared" si="2"/>
        <v>2.320781247674966E-6</v>
      </c>
      <c r="H16" s="2">
        <f t="shared" si="8"/>
        <v>-0.18764924287290854</v>
      </c>
      <c r="I16" s="2">
        <f t="shared" si="3"/>
        <v>1.1525156142558302</v>
      </c>
      <c r="J16" s="62">
        <f t="shared" si="9"/>
        <v>0.48201280026072907</v>
      </c>
      <c r="K16" s="62">
        <f t="shared" si="4"/>
        <v>1.0156062063988452E-7</v>
      </c>
      <c r="L16" s="63">
        <f t="shared" si="10"/>
        <v>82387769635664.406</v>
      </c>
      <c r="M16" s="62">
        <f t="shared" si="5"/>
        <v>1882658747096371.7</v>
      </c>
      <c r="N16" s="2">
        <f t="shared" si="6"/>
        <v>8.3333333333333339</v>
      </c>
      <c r="O16" s="11">
        <v>1200</v>
      </c>
      <c r="P16" s="12"/>
      <c r="Q16" s="62">
        <f t="shared" si="7"/>
        <v>177421805.00723323</v>
      </c>
      <c r="R16" s="4"/>
      <c r="S16" s="6"/>
      <c r="T16" s="6"/>
      <c r="U16" s="18"/>
      <c r="V16" s="16"/>
      <c r="W16" s="5"/>
      <c r="X16" s="8"/>
      <c r="Y16" s="4"/>
      <c r="Z16" s="6"/>
      <c r="AB16" s="6"/>
      <c r="AD16" s="6"/>
      <c r="AG16" s="6"/>
      <c r="AH16" s="6"/>
      <c r="AI16" s="6"/>
      <c r="AJ16" s="6"/>
      <c r="AK16" s="6"/>
    </row>
    <row r="17" spans="1:37" ht="15.75" x14ac:dyDescent="0.25">
      <c r="D17" s="2">
        <f t="shared" si="11"/>
        <v>0.92904702852474486</v>
      </c>
      <c r="E17" s="2">
        <f t="shared" si="0"/>
        <v>-3.1962301386507921E-2</v>
      </c>
      <c r="F17" s="2">
        <f t="shared" si="1"/>
        <v>-5.9134310370116427</v>
      </c>
      <c r="G17" s="62">
        <f t="shared" si="2"/>
        <v>1.8802612934158706E-6</v>
      </c>
      <c r="H17" s="2">
        <f t="shared" si="8"/>
        <v>-0.18764924287290854</v>
      </c>
      <c r="I17" s="2">
        <f t="shared" si="3"/>
        <v>1.1525156142558302</v>
      </c>
      <c r="J17" s="62">
        <f t="shared" si="9"/>
        <v>0.48201280026072907</v>
      </c>
      <c r="K17" s="62">
        <f t="shared" si="4"/>
        <v>9.3748265206047258E-8</v>
      </c>
      <c r="L17" s="63">
        <f t="shared" si="10"/>
        <v>85801817887422.609</v>
      </c>
      <c r="M17" s="62">
        <f t="shared" si="5"/>
        <v>1720883439537306.7</v>
      </c>
      <c r="N17" s="2">
        <f t="shared" si="6"/>
        <v>7.6923076923076925</v>
      </c>
      <c r="O17" s="11">
        <v>1300</v>
      </c>
      <c r="P17" s="12"/>
      <c r="Q17" s="62">
        <f t="shared" si="7"/>
        <v>149882723.93141988</v>
      </c>
      <c r="R17" s="4"/>
      <c r="S17" s="6"/>
      <c r="T17" s="6"/>
      <c r="U17" s="18"/>
      <c r="V17" s="16"/>
      <c r="W17" s="5"/>
      <c r="X17" s="8"/>
      <c r="Y17" s="4"/>
      <c r="Z17" s="6"/>
      <c r="AB17" s="6"/>
      <c r="AD17" s="6"/>
      <c r="AG17" s="6"/>
      <c r="AH17" s="6"/>
      <c r="AI17" s="6"/>
      <c r="AJ17" s="6"/>
      <c r="AK17" s="6"/>
    </row>
    <row r="18" spans="1:37" ht="15.75" x14ac:dyDescent="0.25">
      <c r="A18" s="6"/>
      <c r="B18" s="6"/>
      <c r="D18" s="2">
        <f>10^E18</f>
        <v>0.9309761920037849</v>
      </c>
      <c r="E18" s="2">
        <f>LOG(J18)/(1+(F18/(I18-0.14*F18))^2)</f>
        <v>-3.106142515570285E-2</v>
      </c>
      <c r="F18" s="2">
        <f>LOG(G18)+H18</f>
        <v>-6.0779001177171388</v>
      </c>
      <c r="G18" s="62">
        <f>M18*K18/L18</f>
        <v>1.2875055954833744E-6</v>
      </c>
      <c r="H18" s="2">
        <f>-0.4-0.67*LOG(J18)</f>
        <v>-0.18764924287290854</v>
      </c>
      <c r="I18" s="2">
        <f>0.75-1.27*LOG(J18)</f>
        <v>1.1525156142558302</v>
      </c>
      <c r="J18" s="62">
        <f t="shared" si="9"/>
        <v>0.48201280026072907</v>
      </c>
      <c r="K18" s="62">
        <f t="shared" si="4"/>
        <v>8.1248496511907617E-8</v>
      </c>
      <c r="L18" s="63">
        <f t="shared" si="10"/>
        <v>92396720595423.437</v>
      </c>
      <c r="M18" s="62">
        <f>$B$7*O18^$B$8*EXP(-$B$9/1.987/O18)</f>
        <v>1464166106181262</v>
      </c>
      <c r="N18" s="2">
        <f>10000/O18</f>
        <v>6.666666666666667</v>
      </c>
      <c r="O18" s="11">
        <v>1500</v>
      </c>
      <c r="P18" s="12"/>
      <c r="Q18" s="62">
        <f>L18/(1+L18/M18/K18)*D18</f>
        <v>110749990.61043976</v>
      </c>
      <c r="R18" s="4"/>
      <c r="S18" s="6"/>
      <c r="T18" s="6"/>
      <c r="U18" s="18"/>
      <c r="V18" s="16"/>
      <c r="W18" s="5"/>
      <c r="X18" s="8"/>
      <c r="Y18" s="4"/>
      <c r="Z18" s="6"/>
      <c r="AB18" s="6"/>
      <c r="AD18" s="6"/>
      <c r="AG18" s="6"/>
      <c r="AH18" s="6"/>
      <c r="AI18" s="6"/>
      <c r="AJ18" s="6"/>
      <c r="AK18" s="6"/>
    </row>
    <row r="19" spans="1:37" ht="15.75" x14ac:dyDescent="0.25">
      <c r="B19" s="10"/>
      <c r="D19" s="2">
        <f>10^E19</f>
        <v>0.93328613123006421</v>
      </c>
      <c r="E19" s="2">
        <f>LOG(J19)/(1+(F19/(I19-0.14*F19))^2)</f>
        <v>-2.9985187803913096E-2</v>
      </c>
      <c r="F19" s="2">
        <f>LOG(G19)+H19</f>
        <v>-6.2891283593528584</v>
      </c>
      <c r="G19" s="62">
        <f>M19*K19/L19</f>
        <v>7.916275199748526E-7</v>
      </c>
      <c r="H19" s="2">
        <f>-0.4-0.67*LOG(J19)</f>
        <v>-0.18764924287290854</v>
      </c>
      <c r="I19" s="2">
        <f>0.75-1.27*LOG(J19)</f>
        <v>1.1525156142558302</v>
      </c>
      <c r="J19" s="62">
        <f t="shared" si="9"/>
        <v>0.48201280026072907</v>
      </c>
      <c r="K19" s="62">
        <f t="shared" si="4"/>
        <v>6.7707080426589679E-8</v>
      </c>
      <c r="L19" s="63">
        <f t="shared" si="10"/>
        <v>101779852540394.17</v>
      </c>
      <c r="M19" s="62">
        <f>$B$7*O19^$B$8*EXP(-$B$9/1.987/O19)</f>
        <v>1190004527477994.7</v>
      </c>
      <c r="N19" s="2">
        <f>10000/O19</f>
        <v>5.5555555555555554</v>
      </c>
      <c r="O19" s="11">
        <v>1800</v>
      </c>
      <c r="P19" s="12"/>
      <c r="Q19" s="62">
        <f>L19/(1+L19/M19/K19)*D19</f>
        <v>75196420.750512227</v>
      </c>
      <c r="R19" s="4"/>
      <c r="S19" s="6"/>
      <c r="T19" s="6"/>
      <c r="U19" s="18"/>
      <c r="V19" s="16"/>
      <c r="W19" s="5"/>
      <c r="X19" s="8"/>
      <c r="Y19" s="4"/>
      <c r="Z19" s="6"/>
      <c r="AB19" s="6"/>
      <c r="AD19" s="6"/>
      <c r="AG19" s="6"/>
      <c r="AH19" s="6"/>
      <c r="AI19" s="6"/>
      <c r="AJ19" s="6"/>
      <c r="AK19" s="6"/>
    </row>
    <row r="20" spans="1:37" x14ac:dyDescent="0.2">
      <c r="B20" s="9"/>
      <c r="D20" s="2" t="s">
        <v>1</v>
      </c>
      <c r="E20" s="2" t="s">
        <v>2</v>
      </c>
      <c r="F20" s="58" t="s">
        <v>3</v>
      </c>
      <c r="G20" s="62" t="s">
        <v>4</v>
      </c>
      <c r="H20" s="2" t="s">
        <v>5</v>
      </c>
      <c r="I20" s="58" t="s">
        <v>6</v>
      </c>
      <c r="J20" s="58" t="s">
        <v>7</v>
      </c>
      <c r="K20" s="62" t="s">
        <v>8</v>
      </c>
      <c r="L20" s="62" t="s">
        <v>9</v>
      </c>
      <c r="M20" s="62" t="s">
        <v>10</v>
      </c>
      <c r="N20" s="2" t="s">
        <v>11</v>
      </c>
      <c r="O20" s="58"/>
      <c r="P20" s="58">
        <f>760*0.1</f>
        <v>76</v>
      </c>
      <c r="Q20" s="62" t="s">
        <v>13</v>
      </c>
      <c r="S20" s="6"/>
      <c r="T20" s="6"/>
      <c r="Z20" s="6"/>
      <c r="AG20" s="6"/>
      <c r="AH20" s="6"/>
      <c r="AI20" s="6"/>
      <c r="AJ20" s="6"/>
      <c r="AK20" s="6"/>
    </row>
    <row r="21" spans="1:37" ht="15.75" x14ac:dyDescent="0.2">
      <c r="D21" s="2">
        <f t="shared" ref="D21:D31" si="12">10^E21</f>
        <v>0.87098097240192851</v>
      </c>
      <c r="E21" s="2">
        <f t="shared" ref="E21:E31" si="13">LOG(J21)/(1+(F21/(I21-0.14*F21))^2)</f>
        <v>-5.9991332559626645E-2</v>
      </c>
      <c r="F21" s="2">
        <f t="shared" ref="F21:F31" si="14">LOG(G21)+H21</f>
        <v>-3.3582226264261554</v>
      </c>
      <c r="G21" s="62">
        <f t="shared" ref="G21:G31" si="15">M21*K21/L21</f>
        <v>6.7519095607332467E-4</v>
      </c>
      <c r="H21" s="2">
        <f>-0.4-0.67*LOG(J21)</f>
        <v>-0.18764924287290854</v>
      </c>
      <c r="I21" s="2">
        <f t="shared" ref="I21:I31" si="16">0.75-1.27*LOG(J21)</f>
        <v>1.1525156142558302</v>
      </c>
      <c r="J21" s="62">
        <f>(1-$B$10)*EXP(-O21/$B$11)+$B$10*EXP(-O21/$B$12)+EXP(-B$13/O21)</f>
        <v>0.48201280026072907</v>
      </c>
      <c r="K21" s="62">
        <f t="shared" ref="K21:K33" si="17">$P$20*101325/760/8.314/O21/1000000</f>
        <v>4.0624248255953812E-6</v>
      </c>
      <c r="L21" s="63">
        <f>B$4*O21^B$5*EXP(-B$6/1.987/O21)</f>
        <v>48271057302442.148</v>
      </c>
      <c r="M21" s="62">
        <f t="shared" ref="M21:M31" si="18">$B$7*O21^$B$8*EXP(-$B$9/1.987/O21)</f>
        <v>8022839247475676</v>
      </c>
      <c r="N21" s="2">
        <f t="shared" ref="N21:N31" si="19">10000/O21</f>
        <v>33.333333333333336</v>
      </c>
      <c r="O21" s="11">
        <v>300</v>
      </c>
      <c r="P21" s="12"/>
      <c r="Q21" s="62">
        <f t="shared" ref="Q21:Q31" si="20">L21/(1+L21/M21/K21)*D21</f>
        <v>28368015960.300289</v>
      </c>
      <c r="R21" s="19"/>
      <c r="S21" s="19"/>
      <c r="T21" s="19"/>
      <c r="AG21" s="6"/>
      <c r="AH21" s="6"/>
      <c r="AI21" s="6"/>
      <c r="AJ21" s="6"/>
      <c r="AK21" s="6"/>
    </row>
    <row r="22" spans="1:37" ht="15.75" x14ac:dyDescent="0.2">
      <c r="D22" s="2">
        <f t="shared" si="12"/>
        <v>0.88151573816502582</v>
      </c>
      <c r="E22" s="2">
        <f t="shared" si="13"/>
        <v>-5.476992960718758E-2</v>
      </c>
      <c r="F22" s="2">
        <f t="shared" si="14"/>
        <v>-3.6349459427206763</v>
      </c>
      <c r="G22" s="62">
        <f t="shared" si="15"/>
        <v>3.5702884104850342E-4</v>
      </c>
      <c r="H22" s="2">
        <f t="shared" ref="H22:H31" si="21">-0.4-0.67*LOG(J22)</f>
        <v>-0.18764924287290854</v>
      </c>
      <c r="I22" s="2">
        <f t="shared" si="16"/>
        <v>1.1525156142558302</v>
      </c>
      <c r="J22" s="62">
        <f t="shared" ref="J22:J33" si="22">(1-$B$10)*EXP(-O22/$B$11)+$B$10*EXP(-O22/$B$12)+EXP(-B$13/O22)</f>
        <v>0.48201280026072907</v>
      </c>
      <c r="K22" s="62">
        <f t="shared" si="17"/>
        <v>3.0468186191965363E-6</v>
      </c>
      <c r="L22" s="63">
        <f t="shared" ref="L22:L33" si="23">B$4*O22^B$5*EXP(-B$6/1.987/O22)</f>
        <v>51915144096005.555</v>
      </c>
      <c r="M22" s="62">
        <f t="shared" si="18"/>
        <v>6083461487560017</v>
      </c>
      <c r="N22" s="2">
        <f t="shared" si="19"/>
        <v>25</v>
      </c>
      <c r="O22" s="11">
        <v>400</v>
      </c>
      <c r="P22" s="12"/>
      <c r="Q22" s="62">
        <f t="shared" si="20"/>
        <v>16333242359.026636</v>
      </c>
      <c r="R22" s="19"/>
      <c r="S22" s="6"/>
      <c r="T22" s="6"/>
      <c r="AG22" s="6"/>
      <c r="AH22" s="6"/>
      <c r="AI22" s="6"/>
      <c r="AJ22" s="6"/>
      <c r="AK22" s="6"/>
    </row>
    <row r="23" spans="1:37" ht="15.75" x14ac:dyDescent="0.2">
      <c r="D23" s="2">
        <f t="shared" si="12"/>
        <v>0.88900349433209469</v>
      </c>
      <c r="E23" s="2">
        <f t="shared" si="13"/>
        <v>-5.1096531981232679E-2</v>
      </c>
      <c r="F23" s="2">
        <f t="shared" si="14"/>
        <v>-3.8621739813986404</v>
      </c>
      <c r="G23" s="62">
        <f t="shared" si="15"/>
        <v>2.1158031602425966E-4</v>
      </c>
      <c r="H23" s="2">
        <f t="shared" si="21"/>
        <v>-0.18764924287290854</v>
      </c>
      <c r="I23" s="2">
        <f t="shared" si="16"/>
        <v>1.1525156142558302</v>
      </c>
      <c r="J23" s="62">
        <f t="shared" si="22"/>
        <v>0.48201280026072907</v>
      </c>
      <c r="K23" s="62">
        <f t="shared" si="17"/>
        <v>2.4374548953572289E-6</v>
      </c>
      <c r="L23" s="63">
        <f t="shared" si="23"/>
        <v>55914419404048.281</v>
      </c>
      <c r="M23" s="62">
        <f t="shared" si="18"/>
        <v>4853583362857548</v>
      </c>
      <c r="N23" s="2">
        <f t="shared" si="19"/>
        <v>20</v>
      </c>
      <c r="O23" s="11">
        <v>500</v>
      </c>
      <c r="P23" s="12"/>
      <c r="Q23" s="62">
        <f t="shared" si="20"/>
        <v>10515033744.384014</v>
      </c>
      <c r="R23" s="7"/>
      <c r="S23" s="6"/>
      <c r="T23" s="6"/>
      <c r="AG23" s="6"/>
      <c r="AH23" s="6"/>
      <c r="AI23" s="6"/>
      <c r="AJ23" s="6"/>
      <c r="AK23" s="6"/>
    </row>
    <row r="24" spans="1:37" ht="15.75" x14ac:dyDescent="0.2">
      <c r="D24" s="2">
        <f t="shared" si="12"/>
        <v>0.89464725779661913</v>
      </c>
      <c r="E24" s="2">
        <f t="shared" si="13"/>
        <v>-4.8348164895502983E-2</v>
      </c>
      <c r="F24" s="2">
        <f t="shared" si="14"/>
        <v>-4.0542975278354039</v>
      </c>
      <c r="G24" s="62">
        <f t="shared" si="15"/>
        <v>1.3594139274508021E-4</v>
      </c>
      <c r="H24" s="2">
        <f t="shared" si="21"/>
        <v>-0.18764924287290854</v>
      </c>
      <c r="I24" s="2">
        <f t="shared" si="16"/>
        <v>1.1525156142558302</v>
      </c>
      <c r="J24" s="62">
        <f t="shared" si="22"/>
        <v>0.48201280026072907</v>
      </c>
      <c r="K24" s="62">
        <f t="shared" si="17"/>
        <v>2.0312124127976906E-6</v>
      </c>
      <c r="L24" s="63">
        <f t="shared" si="23"/>
        <v>59954213423504.078</v>
      </c>
      <c r="M24" s="62">
        <f t="shared" si="18"/>
        <v>4012509584116398.5</v>
      </c>
      <c r="N24" s="2">
        <f t="shared" si="19"/>
        <v>16.666666666666668</v>
      </c>
      <c r="O24" s="11">
        <v>600</v>
      </c>
      <c r="P24" s="12"/>
      <c r="Q24" s="62">
        <f t="shared" si="20"/>
        <v>7290616013.0764723</v>
      </c>
      <c r="R24" s="19"/>
      <c r="S24" s="6"/>
      <c r="T24" s="6"/>
      <c r="AG24" s="6"/>
      <c r="AH24" s="6"/>
      <c r="AI24" s="6"/>
      <c r="AJ24" s="6"/>
      <c r="AK24" s="6"/>
    </row>
    <row r="25" spans="1:37" ht="15.75" x14ac:dyDescent="0.2">
      <c r="D25" s="2">
        <f t="shared" si="12"/>
        <v>0.89908862493423569</v>
      </c>
      <c r="E25" s="2">
        <f t="shared" si="13"/>
        <v>-4.6197496895412714E-2</v>
      </c>
      <c r="F25" s="2">
        <f t="shared" si="14"/>
        <v>-4.2204955399881703</v>
      </c>
      <c r="G25" s="62">
        <f t="shared" si="15"/>
        <v>9.2715789945465061E-5</v>
      </c>
      <c r="H25" s="2">
        <f t="shared" si="21"/>
        <v>-0.18764924287290854</v>
      </c>
      <c r="I25" s="2">
        <f t="shared" si="16"/>
        <v>1.1525156142558302</v>
      </c>
      <c r="J25" s="62">
        <f t="shared" si="22"/>
        <v>0.48201280026072907</v>
      </c>
      <c r="K25" s="62">
        <f t="shared" si="17"/>
        <v>1.7410392109694492E-6</v>
      </c>
      <c r="L25" s="63">
        <f t="shared" si="23"/>
        <v>63935043186733.742</v>
      </c>
      <c r="M25" s="62">
        <f t="shared" si="18"/>
        <v>3404741258500846</v>
      </c>
      <c r="N25" s="2">
        <f t="shared" si="19"/>
        <v>14.285714285714286</v>
      </c>
      <c r="O25" s="11">
        <v>700</v>
      </c>
      <c r="P25" s="12"/>
      <c r="Q25" s="62">
        <f t="shared" si="20"/>
        <v>5329112699.7266769</v>
      </c>
      <c r="R25" s="7"/>
      <c r="S25" s="6"/>
      <c r="T25" s="6"/>
      <c r="AG25" s="6"/>
      <c r="AH25" s="6"/>
      <c r="AI25" s="6"/>
      <c r="AJ25" s="6"/>
      <c r="AK25" s="6"/>
    </row>
    <row r="26" spans="1:37" ht="15.75" x14ac:dyDescent="0.2">
      <c r="D26" s="2">
        <f t="shared" si="12"/>
        <v>0.90269881910509409</v>
      </c>
      <c r="E26" s="2">
        <f t="shared" si="13"/>
        <v>-4.4457125676378384E-2</v>
      </c>
      <c r="F26" s="2">
        <f t="shared" si="14"/>
        <v>-4.3668421476279686</v>
      </c>
      <c r="G26" s="62">
        <f t="shared" si="15"/>
        <v>6.6192242594768864E-5</v>
      </c>
      <c r="H26" s="2">
        <f t="shared" si="21"/>
        <v>-0.18764924287290854</v>
      </c>
      <c r="I26" s="2">
        <f t="shared" si="16"/>
        <v>1.1525156142558302</v>
      </c>
      <c r="J26" s="62">
        <f t="shared" si="22"/>
        <v>0.48201280026072907</v>
      </c>
      <c r="K26" s="62">
        <f t="shared" si="17"/>
        <v>1.5234093095982681E-6</v>
      </c>
      <c r="L26" s="63">
        <f t="shared" si="23"/>
        <v>67823786331033.422</v>
      </c>
      <c r="M26" s="62">
        <f t="shared" si="18"/>
        <v>2946948328485281.5</v>
      </c>
      <c r="N26" s="2">
        <f t="shared" si="19"/>
        <v>12.5</v>
      </c>
      <c r="O26" s="11">
        <v>800</v>
      </c>
      <c r="P26" s="12"/>
      <c r="Q26" s="62">
        <f t="shared" si="20"/>
        <v>4052315536.2948833</v>
      </c>
      <c r="R26" s="7"/>
      <c r="S26" s="6"/>
      <c r="T26" s="6"/>
      <c r="AG26" s="6"/>
      <c r="AH26" s="6"/>
      <c r="AI26" s="6"/>
      <c r="AJ26" s="6"/>
      <c r="AK26" s="6"/>
    </row>
    <row r="27" spans="1:37" ht="15.75" x14ac:dyDescent="0.2">
      <c r="D27" s="2">
        <f t="shared" si="12"/>
        <v>0.90703582286200524</v>
      </c>
      <c r="E27" s="2">
        <f t="shared" si="13"/>
        <v>-4.2375560388559518E-2</v>
      </c>
      <c r="F27" s="2">
        <f t="shared" si="14"/>
        <v>-4.5579746280556694</v>
      </c>
      <c r="G27" s="62">
        <f t="shared" si="15"/>
        <v>4.2626003357647637E-5</v>
      </c>
      <c r="H27" s="2">
        <f t="shared" si="21"/>
        <v>-0.18764924287290854</v>
      </c>
      <c r="I27" s="2">
        <f t="shared" si="16"/>
        <v>1.1525156142558302</v>
      </c>
      <c r="J27" s="62">
        <f t="shared" si="22"/>
        <v>0.48201280026072907</v>
      </c>
      <c r="K27" s="62">
        <f t="shared" si="17"/>
        <v>1.2828709975564362E-6</v>
      </c>
      <c r="L27" s="63">
        <f t="shared" si="23"/>
        <v>73467195161407.453</v>
      </c>
      <c r="M27" s="62">
        <f t="shared" si="18"/>
        <v>2441097283820497</v>
      </c>
      <c r="N27" s="2">
        <f t="shared" si="19"/>
        <v>10.526315789473685</v>
      </c>
      <c r="O27" s="11">
        <v>950</v>
      </c>
      <c r="P27" s="12"/>
      <c r="Q27" s="62">
        <f t="shared" si="20"/>
        <v>2840364017.1886969</v>
      </c>
      <c r="R27" s="7"/>
      <c r="S27" s="6"/>
      <c r="T27" s="6"/>
      <c r="AG27" s="6"/>
      <c r="AH27" s="6"/>
      <c r="AI27" s="6"/>
      <c r="AJ27" s="6"/>
      <c r="AK27" s="6"/>
    </row>
    <row r="28" spans="1:37" ht="15.75" x14ac:dyDescent="0.2">
      <c r="D28" s="2">
        <f t="shared" si="12"/>
        <v>0.90826575248593422</v>
      </c>
      <c r="E28" s="2">
        <f t="shared" si="13"/>
        <v>-4.1787061223693141E-2</v>
      </c>
      <c r="F28" s="2">
        <f t="shared" si="14"/>
        <v>-4.6155629684047597</v>
      </c>
      <c r="G28" s="62">
        <f t="shared" si="15"/>
        <v>3.733243129115077E-5</v>
      </c>
      <c r="H28" s="2">
        <f t="shared" si="21"/>
        <v>-0.18764924287290854</v>
      </c>
      <c r="I28" s="2">
        <f t="shared" si="16"/>
        <v>1.1525156142558302</v>
      </c>
      <c r="J28" s="62">
        <f t="shared" si="22"/>
        <v>0.48201280026072907</v>
      </c>
      <c r="K28" s="62">
        <f t="shared" si="17"/>
        <v>1.2187274476786144E-6</v>
      </c>
      <c r="L28" s="63">
        <f t="shared" si="23"/>
        <v>75298240556451.203</v>
      </c>
      <c r="M28" s="62">
        <f t="shared" si="18"/>
        <v>2306558695525130.5</v>
      </c>
      <c r="N28" s="2">
        <f t="shared" si="19"/>
        <v>10</v>
      </c>
      <c r="O28" s="11">
        <v>1000</v>
      </c>
      <c r="P28" s="12"/>
      <c r="Q28" s="62">
        <f t="shared" si="20"/>
        <v>2553100018.3125424</v>
      </c>
      <c r="R28" s="7"/>
      <c r="S28" s="6"/>
      <c r="T28" s="6"/>
      <c r="AG28" s="6"/>
      <c r="AH28" s="6"/>
      <c r="AI28" s="6"/>
      <c r="AJ28" s="6"/>
      <c r="AK28" s="6"/>
    </row>
    <row r="29" spans="1:37" ht="15.75" x14ac:dyDescent="0.2">
      <c r="D29" s="2">
        <f t="shared" si="12"/>
        <v>0.84542980358261011</v>
      </c>
      <c r="E29" s="2">
        <f t="shared" si="13"/>
        <v>-7.2922446235744412E-2</v>
      </c>
      <c r="F29" s="2">
        <f t="shared" si="14"/>
        <v>-2.834087988902525</v>
      </c>
      <c r="G29" s="62">
        <f t="shared" si="15"/>
        <v>2.2571543276895876E-3</v>
      </c>
      <c r="H29" s="2">
        <f t="shared" si="21"/>
        <v>-0.18764924287290854</v>
      </c>
      <c r="I29" s="2">
        <f t="shared" si="16"/>
        <v>1.1525156142558302</v>
      </c>
      <c r="J29" s="62">
        <f t="shared" si="22"/>
        <v>0.48201280026072907</v>
      </c>
      <c r="K29" s="62">
        <f>760*8.1*101325/760/8.314/O29/1000000</f>
        <v>8.8218876909712041E-5</v>
      </c>
      <c r="L29" s="63">
        <f t="shared" si="23"/>
        <v>79560208708896.016</v>
      </c>
      <c r="M29" s="62">
        <f t="shared" si="18"/>
        <v>2035615003158144.5</v>
      </c>
      <c r="N29" s="2">
        <f t="shared" si="19"/>
        <v>8.9365504915102765</v>
      </c>
      <c r="O29" s="11">
        <v>1119</v>
      </c>
      <c r="P29" s="12"/>
      <c r="Q29" s="62">
        <f t="shared" si="20"/>
        <v>151480090685.32236</v>
      </c>
      <c r="R29" s="7"/>
      <c r="S29" s="6"/>
      <c r="T29" s="6"/>
      <c r="AG29" s="6"/>
      <c r="AH29" s="6"/>
      <c r="AI29" s="6"/>
      <c r="AJ29" s="6"/>
      <c r="AK29" s="6"/>
    </row>
    <row r="30" spans="1:37" ht="15.75" x14ac:dyDescent="0.2">
      <c r="D30" s="2">
        <f t="shared" si="12"/>
        <v>0.84893061996841046</v>
      </c>
      <c r="E30" s="2">
        <f t="shared" si="13"/>
        <v>-7.1127801624249753E-2</v>
      </c>
      <c r="F30" s="2">
        <f t="shared" si="14"/>
        <v>-2.896358856379186</v>
      </c>
      <c r="G30" s="62">
        <f t="shared" si="15"/>
        <v>1.9556466415195234E-3</v>
      </c>
      <c r="H30" s="2">
        <f t="shared" si="21"/>
        <v>-0.18764924287290854</v>
      </c>
      <c r="I30" s="2">
        <f t="shared" si="16"/>
        <v>1.1525156142558302</v>
      </c>
      <c r="J30" s="62">
        <f t="shared" si="22"/>
        <v>0.48201280026072907</v>
      </c>
      <c r="K30" s="62">
        <f>760*7.3*101325/760/8.314/O30/1000000</f>
        <v>7.8316112394840532E-5</v>
      </c>
      <c r="L30" s="63">
        <f t="shared" si="23"/>
        <v>80158435686130.437</v>
      </c>
      <c r="M30" s="62">
        <f t="shared" si="18"/>
        <v>2001651649263519.5</v>
      </c>
      <c r="N30" s="2">
        <f t="shared" si="19"/>
        <v>8.8028169014084501</v>
      </c>
      <c r="O30" s="11">
        <v>1136</v>
      </c>
      <c r="P30" s="12"/>
      <c r="Q30" s="62">
        <f t="shared" si="20"/>
        <v>132819952615.32285</v>
      </c>
      <c r="R30" s="7"/>
      <c r="S30" s="6"/>
      <c r="T30" s="6"/>
      <c r="AG30" s="6"/>
      <c r="AH30" s="6"/>
      <c r="AI30" s="6"/>
      <c r="AJ30" s="6"/>
      <c r="AK30" s="6"/>
    </row>
    <row r="31" spans="1:37" ht="15.75" x14ac:dyDescent="0.2">
      <c r="D31" s="2">
        <f t="shared" si="12"/>
        <v>0.91412293929477606</v>
      </c>
      <c r="E31" s="2">
        <f t="shared" si="13"/>
        <v>-3.8995392595636787E-2</v>
      </c>
      <c r="F31" s="2">
        <f t="shared" si="14"/>
        <v>-4.9134310370116427</v>
      </c>
      <c r="G31" s="62">
        <f t="shared" si="15"/>
        <v>1.8802612934158707E-5</v>
      </c>
      <c r="H31" s="2">
        <f t="shared" si="21"/>
        <v>-0.18764924287290854</v>
      </c>
      <c r="I31" s="2">
        <f t="shared" si="16"/>
        <v>1.1525156142558302</v>
      </c>
      <c r="J31" s="62">
        <f t="shared" si="22"/>
        <v>0.48201280026072907</v>
      </c>
      <c r="K31" s="62">
        <f t="shared" si="17"/>
        <v>9.3748265206047263E-7</v>
      </c>
      <c r="L31" s="63">
        <f t="shared" si="23"/>
        <v>85801817887422.609</v>
      </c>
      <c r="M31" s="62">
        <f t="shared" si="18"/>
        <v>1720883439537306.7</v>
      </c>
      <c r="N31" s="2">
        <f t="shared" si="19"/>
        <v>7.6923076923076925</v>
      </c>
      <c r="O31" s="11">
        <v>1300</v>
      </c>
      <c r="P31" s="12"/>
      <c r="Q31" s="62">
        <f t="shared" si="20"/>
        <v>1474725319.9715176</v>
      </c>
      <c r="R31" s="7"/>
      <c r="S31" s="6"/>
      <c r="T31" s="6"/>
      <c r="AG31" s="6"/>
      <c r="AH31" s="6"/>
      <c r="AI31" s="6"/>
      <c r="AJ31" s="6"/>
      <c r="AK31" s="6"/>
    </row>
    <row r="32" spans="1:37" ht="15.75" x14ac:dyDescent="0.2">
      <c r="D32" s="2">
        <f>10^E32</f>
        <v>0.91703228247430879</v>
      </c>
      <c r="E32" s="2">
        <f>LOG(J32)/(1+(F32/(I32-0.14*F32))^2)</f>
        <v>-3.7615375503724444E-2</v>
      </c>
      <c r="F32" s="2">
        <f>LOG(G32)+H32</f>
        <v>-5.0779001177171388</v>
      </c>
      <c r="G32" s="62">
        <f>M32*K32/L32</f>
        <v>1.2875055954833748E-5</v>
      </c>
      <c r="H32" s="2">
        <f>-0.4-0.67*LOG(J32)</f>
        <v>-0.18764924287290854</v>
      </c>
      <c r="I32" s="2">
        <f>0.75-1.27*LOG(J32)</f>
        <v>1.1525156142558302</v>
      </c>
      <c r="J32" s="62">
        <f t="shared" si="22"/>
        <v>0.48201280026072907</v>
      </c>
      <c r="K32" s="62">
        <f t="shared" si="17"/>
        <v>8.1248496511907636E-7</v>
      </c>
      <c r="L32" s="63">
        <f t="shared" si="23"/>
        <v>92396720595423.437</v>
      </c>
      <c r="M32" s="62">
        <f>$B$7*O32^$B$8*EXP(-$B$9/1.987/O32)</f>
        <v>1464166106181262</v>
      </c>
      <c r="N32" s="2">
        <f>10000/O32</f>
        <v>6.666666666666667</v>
      </c>
      <c r="O32" s="11">
        <v>1500</v>
      </c>
      <c r="P32" s="12"/>
      <c r="Q32" s="62">
        <f>L32/(1+L32/M32/K32)*D32</f>
        <v>1090899431.307554</v>
      </c>
      <c r="R32" s="7"/>
      <c r="S32" s="6"/>
      <c r="T32" s="6"/>
      <c r="Z32" s="6"/>
      <c r="AG32" s="6"/>
      <c r="AH32" s="6"/>
      <c r="AI32" s="6"/>
      <c r="AJ32" s="6"/>
      <c r="AK32" s="6"/>
    </row>
    <row r="33" spans="4:45" ht="15.75" x14ac:dyDescent="0.2">
      <c r="D33" s="2">
        <f>10^E33</f>
        <v>0.92047396271929738</v>
      </c>
      <c r="E33" s="2">
        <f>LOG(J33)/(1+(F33/(I33-0.14*F33))^2)</f>
        <v>-3.598849179577631E-2</v>
      </c>
      <c r="F33" s="2">
        <f>LOG(G33)+H33</f>
        <v>-5.2891283593528584</v>
      </c>
      <c r="G33" s="62">
        <f>M33*K33/L33</f>
        <v>7.9162751997485284E-6</v>
      </c>
      <c r="H33" s="2">
        <f>-0.4-0.67*LOG(J33)</f>
        <v>-0.18764924287290854</v>
      </c>
      <c r="I33" s="2">
        <f>0.75-1.27*LOG(J33)</f>
        <v>1.1525156142558302</v>
      </c>
      <c r="J33" s="62">
        <f t="shared" si="22"/>
        <v>0.48201280026072907</v>
      </c>
      <c r="K33" s="62">
        <f t="shared" si="17"/>
        <v>6.770708042658969E-7</v>
      </c>
      <c r="L33" s="63">
        <f t="shared" si="23"/>
        <v>101779852540394.17</v>
      </c>
      <c r="M33" s="62">
        <f>$B$7*O33^$B$8*EXP(-$B$9/1.987/O33)</f>
        <v>1190004527477994.7</v>
      </c>
      <c r="N33" s="2">
        <f>10000/O33</f>
        <v>5.5555555555555554</v>
      </c>
      <c r="O33" s="11">
        <v>1800</v>
      </c>
      <c r="P33" s="12"/>
      <c r="Q33" s="62">
        <f>L33/(1+L33/M33/K33)*D33</f>
        <v>741635945.67853069</v>
      </c>
      <c r="R33" s="7"/>
      <c r="S33" s="6"/>
      <c r="T33" s="6"/>
      <c r="Z33" s="9"/>
      <c r="AG33" s="6"/>
      <c r="AH33" s="6"/>
      <c r="AI33" s="6"/>
      <c r="AJ33" s="6"/>
      <c r="AK33" s="6"/>
    </row>
    <row r="34" spans="4:45" x14ac:dyDescent="0.2">
      <c r="D34" s="2" t="s">
        <v>1</v>
      </c>
      <c r="E34" s="2" t="s">
        <v>2</v>
      </c>
      <c r="F34" s="58" t="s">
        <v>3</v>
      </c>
      <c r="G34" s="62" t="s">
        <v>4</v>
      </c>
      <c r="H34" s="2" t="s">
        <v>5</v>
      </c>
      <c r="I34" s="58" t="s">
        <v>6</v>
      </c>
      <c r="J34" s="58" t="s">
        <v>7</v>
      </c>
      <c r="K34" s="62" t="s">
        <v>8</v>
      </c>
      <c r="L34" s="62" t="s">
        <v>9</v>
      </c>
      <c r="M34" s="62" t="s">
        <v>10</v>
      </c>
      <c r="N34" s="2" t="s">
        <v>11</v>
      </c>
      <c r="O34" s="58"/>
      <c r="P34" s="58">
        <f>760*0.3</f>
        <v>228</v>
      </c>
      <c r="Q34" s="62" t="s">
        <v>13</v>
      </c>
      <c r="S34" s="6"/>
      <c r="T34" s="6"/>
      <c r="Z34" s="9"/>
      <c r="AG34" s="6"/>
      <c r="AH34" s="6"/>
      <c r="AI34" s="6"/>
      <c r="AJ34" s="6"/>
      <c r="AK34" s="6"/>
    </row>
    <row r="35" spans="4:45" ht="15.75" x14ac:dyDescent="0.2">
      <c r="D35" s="2">
        <f t="shared" ref="D35:D45" si="24">10^E35</f>
        <v>0.84808601116454485</v>
      </c>
      <c r="E35" s="2">
        <f t="shared" ref="E35:E45" si="25">LOG(J35)/(1+(F35/(I35-0.14*F35))^2)</f>
        <v>-7.1560100243418828E-2</v>
      </c>
      <c r="F35" s="2">
        <f t="shared" ref="F35:F45" si="26">LOG(G35)+H35</f>
        <v>-2.8811013717064928</v>
      </c>
      <c r="G35" s="62">
        <f t="shared" ref="G35:G45" si="27">M35*K35/L35</f>
        <v>2.025572868219974E-3</v>
      </c>
      <c r="H35" s="2">
        <f>-0.4-0.67*LOG(J35)</f>
        <v>-0.18764924287290854</v>
      </c>
      <c r="I35" s="2">
        <f t="shared" ref="I35:I45" si="28">0.75-1.27*LOG(J35)</f>
        <v>1.1525156142558302</v>
      </c>
      <c r="J35" s="62">
        <f>(1-$B$10)*EXP(-O35/$B$11)+$B$10*EXP(-O35/$B$12)+EXP(-B$13/O35)</f>
        <v>0.48201280026072907</v>
      </c>
      <c r="K35" s="62">
        <f t="shared" ref="K35:K45" si="29">$P$34*101325/760/8.314/O35/1000000</f>
        <v>1.2187274476786143E-5</v>
      </c>
      <c r="L35" s="63">
        <f>B$4*O35^B$5*EXP(-B$6/1.987/O35)</f>
        <v>48271057302442.148</v>
      </c>
      <c r="M35" s="64">
        <f t="shared" ref="M35:M45" si="30">$B$7*O35^$B$8*EXP(-$B$9/1.987/O35)</f>
        <v>8022839247475676</v>
      </c>
      <c r="N35" s="2">
        <f t="shared" ref="N35:N45" si="31">10000/O35</f>
        <v>33.333333333333336</v>
      </c>
      <c r="O35" s="11">
        <v>300</v>
      </c>
      <c r="P35" s="12"/>
      <c r="Q35" s="62">
        <f t="shared" ref="Q35:Q45" si="32">L35/(1+L35/M35/K35)*D35</f>
        <v>82755292304.935898</v>
      </c>
      <c r="R35" s="6"/>
      <c r="S35" s="6"/>
      <c r="T35" s="6"/>
      <c r="U35" s="21"/>
      <c r="AG35" s="6"/>
      <c r="AH35" s="6"/>
      <c r="AI35" s="6"/>
      <c r="AJ35" s="6"/>
      <c r="AK35" s="6"/>
    </row>
    <row r="36" spans="4:45" ht="15.75" x14ac:dyDescent="0.2">
      <c r="D36" s="2">
        <f t="shared" si="24"/>
        <v>0.86218870586686247</v>
      </c>
      <c r="E36" s="2">
        <f t="shared" si="25"/>
        <v>-6.4397670431127985E-2</v>
      </c>
      <c r="F36" s="2">
        <f t="shared" si="26"/>
        <v>-3.1578246880010141</v>
      </c>
      <c r="G36" s="62">
        <f t="shared" si="27"/>
        <v>1.0710865231455099E-3</v>
      </c>
      <c r="H36" s="2">
        <f t="shared" ref="H36:H45" si="33">-0.4-0.67*LOG(J36)</f>
        <v>-0.18764924287290854</v>
      </c>
      <c r="I36" s="2">
        <f t="shared" si="28"/>
        <v>1.1525156142558302</v>
      </c>
      <c r="J36" s="62">
        <f t="shared" ref="J36:J47" si="34">(1-$B$10)*EXP(-O36/$B$11)+$B$10*EXP(-O36/$B$12)+EXP(-B$13/O36)</f>
        <v>0.48201280026072907</v>
      </c>
      <c r="K36" s="62">
        <f t="shared" si="29"/>
        <v>9.1404558575896072E-6</v>
      </c>
      <c r="L36" s="63">
        <f t="shared" ref="L36:L47" si="35">B$4*O36^B$5*EXP(-B$6/1.987/O36)</f>
        <v>51915144096005.555</v>
      </c>
      <c r="M36" s="64">
        <f t="shared" si="30"/>
        <v>6083461487560017</v>
      </c>
      <c r="N36" s="2">
        <f t="shared" si="31"/>
        <v>25</v>
      </c>
      <c r="O36" s="11">
        <v>400</v>
      </c>
      <c r="P36" s="12"/>
      <c r="Q36" s="62">
        <f t="shared" si="32"/>
        <v>47891234293.823898</v>
      </c>
      <c r="R36" s="19"/>
      <c r="S36" s="19"/>
      <c r="T36" s="19"/>
      <c r="U36" s="21"/>
      <c r="AG36" s="6"/>
      <c r="AH36" s="6"/>
      <c r="AI36" s="6"/>
      <c r="AJ36" s="6"/>
      <c r="AK36" s="6"/>
    </row>
    <row r="37" spans="4:45" ht="15.75" x14ac:dyDescent="0.2">
      <c r="D37" s="2">
        <f t="shared" si="24"/>
        <v>0.87207911909743463</v>
      </c>
      <c r="E37" s="2">
        <f t="shared" si="25"/>
        <v>-5.9444112052883323E-2</v>
      </c>
      <c r="F37" s="2">
        <f t="shared" si="26"/>
        <v>-3.3850527266789778</v>
      </c>
      <c r="G37" s="62">
        <f t="shared" si="27"/>
        <v>6.3474094807277888E-4</v>
      </c>
      <c r="H37" s="2">
        <f t="shared" si="33"/>
        <v>-0.18764924287290854</v>
      </c>
      <c r="I37" s="2">
        <f t="shared" si="28"/>
        <v>1.1525156142558302</v>
      </c>
      <c r="J37" s="62">
        <f t="shared" si="34"/>
        <v>0.48201280026072907</v>
      </c>
      <c r="K37" s="62">
        <f t="shared" si="29"/>
        <v>7.3123646860716866E-6</v>
      </c>
      <c r="L37" s="63">
        <f t="shared" si="35"/>
        <v>55914419404048.281</v>
      </c>
      <c r="M37" s="64">
        <f t="shared" si="30"/>
        <v>4853583362857548</v>
      </c>
      <c r="N37" s="2">
        <f t="shared" si="31"/>
        <v>20</v>
      </c>
      <c r="O37" s="11">
        <v>500</v>
      </c>
      <c r="P37" s="12"/>
      <c r="Q37" s="62">
        <f t="shared" si="32"/>
        <v>30931476175.730633</v>
      </c>
      <c r="R37" s="6"/>
      <c r="S37" s="6"/>
      <c r="T37" s="6"/>
      <c r="U37" s="21"/>
      <c r="AG37" s="6"/>
      <c r="AH37" s="6"/>
      <c r="AI37" s="6"/>
      <c r="AJ37" s="6"/>
      <c r="AK37" s="6"/>
    </row>
    <row r="38" spans="4:45" ht="15.75" x14ac:dyDescent="0.2">
      <c r="D38" s="2">
        <f t="shared" si="24"/>
        <v>0.87945423335771944</v>
      </c>
      <c r="E38" s="2">
        <f t="shared" si="25"/>
        <v>-5.5786756226264902E-2</v>
      </c>
      <c r="F38" s="2">
        <f t="shared" si="26"/>
        <v>-3.5771762731157408</v>
      </c>
      <c r="G38" s="62">
        <f t="shared" si="27"/>
        <v>4.0782417823524063E-4</v>
      </c>
      <c r="H38" s="2">
        <f t="shared" si="33"/>
        <v>-0.18764924287290854</v>
      </c>
      <c r="I38" s="2">
        <f t="shared" si="28"/>
        <v>1.1525156142558302</v>
      </c>
      <c r="J38" s="62">
        <f t="shared" si="34"/>
        <v>0.48201280026072907</v>
      </c>
      <c r="K38" s="62">
        <f t="shared" si="29"/>
        <v>6.0936372383930717E-6</v>
      </c>
      <c r="L38" s="63">
        <f t="shared" si="35"/>
        <v>59954213423504.078</v>
      </c>
      <c r="M38" s="64">
        <f t="shared" si="30"/>
        <v>4012509584116398.5</v>
      </c>
      <c r="N38" s="2">
        <f t="shared" si="31"/>
        <v>16.666666666666668</v>
      </c>
      <c r="O38" s="11">
        <v>600</v>
      </c>
      <c r="P38" s="12"/>
      <c r="Q38" s="62">
        <f t="shared" si="32"/>
        <v>21494574056.725277</v>
      </c>
      <c r="R38" s="6"/>
      <c r="S38" s="6"/>
      <c r="T38" s="6"/>
      <c r="U38" s="21"/>
      <c r="AG38" s="6"/>
      <c r="AH38" s="6"/>
      <c r="AI38" s="6"/>
      <c r="AJ38" s="6"/>
      <c r="AK38" s="6"/>
    </row>
    <row r="39" spans="4:45" ht="15.75" x14ac:dyDescent="0.2">
      <c r="D39" s="2">
        <f t="shared" si="24"/>
        <v>0.88520715375523318</v>
      </c>
      <c r="E39" s="2">
        <f t="shared" si="25"/>
        <v>-5.2955085002496884E-2</v>
      </c>
      <c r="F39" s="2">
        <f t="shared" si="26"/>
        <v>-3.7433742852685072</v>
      </c>
      <c r="G39" s="62">
        <f t="shared" si="27"/>
        <v>2.7814736983639514E-4</v>
      </c>
      <c r="H39" s="2">
        <f t="shared" si="33"/>
        <v>-0.18764924287290854</v>
      </c>
      <c r="I39" s="2">
        <f t="shared" si="28"/>
        <v>1.1525156142558302</v>
      </c>
      <c r="J39" s="62">
        <f t="shared" si="34"/>
        <v>0.48201280026072907</v>
      </c>
      <c r="K39" s="62">
        <f t="shared" si="29"/>
        <v>5.2231176329083476E-6</v>
      </c>
      <c r="L39" s="63">
        <f t="shared" si="35"/>
        <v>63935043186733.742</v>
      </c>
      <c r="M39" s="64">
        <f t="shared" si="30"/>
        <v>3404741258500846</v>
      </c>
      <c r="N39" s="2">
        <f t="shared" si="31"/>
        <v>14.285714285714286</v>
      </c>
      <c r="O39" s="11">
        <v>700</v>
      </c>
      <c r="P39" s="12"/>
      <c r="Q39" s="62">
        <f t="shared" si="32"/>
        <v>15737583754.07399</v>
      </c>
      <c r="R39" s="19"/>
      <c r="S39" s="6"/>
      <c r="T39" s="6"/>
      <c r="U39" s="21"/>
      <c r="AG39" s="6"/>
      <c r="AH39" s="6"/>
      <c r="AI39" s="6"/>
      <c r="AJ39" s="6"/>
      <c r="AK39" s="6"/>
    </row>
    <row r="40" spans="4:45" ht="15.75" x14ac:dyDescent="0.2">
      <c r="D40" s="2">
        <f t="shared" si="24"/>
        <v>0.88984898757664321</v>
      </c>
      <c r="E40" s="2">
        <f t="shared" si="25"/>
        <v>-5.0683689340283507E-2</v>
      </c>
      <c r="F40" s="2">
        <f t="shared" si="26"/>
        <v>-3.8897208929083056</v>
      </c>
      <c r="G40" s="62">
        <f t="shared" si="27"/>
        <v>1.9857672778430657E-4</v>
      </c>
      <c r="H40" s="2">
        <f t="shared" si="33"/>
        <v>-0.18764924287290854</v>
      </c>
      <c r="I40" s="2">
        <f t="shared" si="28"/>
        <v>1.1525156142558302</v>
      </c>
      <c r="J40" s="62">
        <f t="shared" si="34"/>
        <v>0.48201280026072907</v>
      </c>
      <c r="K40" s="62">
        <f t="shared" si="29"/>
        <v>4.5702279287948036E-6</v>
      </c>
      <c r="L40" s="63">
        <f t="shared" si="35"/>
        <v>67823786331033.422</v>
      </c>
      <c r="M40" s="64">
        <f t="shared" si="30"/>
        <v>2946948328485281.5</v>
      </c>
      <c r="N40" s="2">
        <f t="shared" si="31"/>
        <v>12.5</v>
      </c>
      <c r="O40" s="11">
        <v>800</v>
      </c>
      <c r="P40" s="12"/>
      <c r="Q40" s="62">
        <f t="shared" si="32"/>
        <v>11982307467.659456</v>
      </c>
      <c r="R40" s="19"/>
      <c r="S40" s="6"/>
      <c r="T40" s="6"/>
      <c r="U40" s="21"/>
      <c r="V40" s="6"/>
      <c r="W40" s="6"/>
      <c r="AG40" s="6"/>
      <c r="AH40" s="6"/>
      <c r="AI40" s="6"/>
      <c r="AJ40" s="6"/>
      <c r="AK40" s="6"/>
    </row>
    <row r="41" spans="4:45" ht="15.75" x14ac:dyDescent="0.2">
      <c r="D41" s="2">
        <f t="shared" si="24"/>
        <v>0.8936933385546596</v>
      </c>
      <c r="E41" s="2">
        <f t="shared" si="25"/>
        <v>-4.8811479213928713E-2</v>
      </c>
      <c r="F41" s="2">
        <f t="shared" si="26"/>
        <v>-4.0204087272291646</v>
      </c>
      <c r="G41" s="62">
        <f t="shared" si="27"/>
        <v>1.4697400056835625E-4</v>
      </c>
      <c r="H41" s="2">
        <f t="shared" si="33"/>
        <v>-0.18764924287290854</v>
      </c>
      <c r="I41" s="2">
        <f t="shared" si="28"/>
        <v>1.1525156142558302</v>
      </c>
      <c r="J41" s="62">
        <f t="shared" si="34"/>
        <v>0.48201280026072907</v>
      </c>
      <c r="K41" s="62">
        <f t="shared" si="29"/>
        <v>4.0624248255953812E-6</v>
      </c>
      <c r="L41" s="63">
        <f t="shared" si="35"/>
        <v>71611384152110.969</v>
      </c>
      <c r="M41" s="64">
        <f t="shared" si="30"/>
        <v>2590820031612673.5</v>
      </c>
      <c r="N41" s="2">
        <f t="shared" si="31"/>
        <v>11.111111111111111</v>
      </c>
      <c r="O41" s="11">
        <v>900</v>
      </c>
      <c r="P41" s="12"/>
      <c r="Q41" s="62">
        <f t="shared" si="32"/>
        <v>9404750514.7937737</v>
      </c>
      <c r="R41" s="19"/>
      <c r="S41" s="6"/>
      <c r="T41" s="6"/>
      <c r="U41" s="21"/>
      <c r="W41" s="6"/>
      <c r="AG41" s="6"/>
      <c r="AH41" s="6"/>
      <c r="AI41" s="6"/>
      <c r="AJ41" s="6"/>
      <c r="AK41" s="6"/>
    </row>
    <row r="42" spans="4:45" ht="15.75" x14ac:dyDescent="0.2">
      <c r="D42" s="2">
        <f t="shared" si="24"/>
        <v>0.8969436950160008</v>
      </c>
      <c r="E42" s="2">
        <f t="shared" si="25"/>
        <v>-4.7234818618501304E-2</v>
      </c>
      <c r="F42" s="2">
        <f t="shared" si="26"/>
        <v>-4.1384417136850971</v>
      </c>
      <c r="G42" s="62">
        <f t="shared" si="27"/>
        <v>1.1199729387345231E-4</v>
      </c>
      <c r="H42" s="2">
        <f t="shared" si="33"/>
        <v>-0.18764924287290854</v>
      </c>
      <c r="I42" s="2">
        <f t="shared" si="28"/>
        <v>1.1525156142558302</v>
      </c>
      <c r="J42" s="62">
        <f t="shared" si="34"/>
        <v>0.48201280026072907</v>
      </c>
      <c r="K42" s="62">
        <f t="shared" si="29"/>
        <v>3.6561823430358433E-6</v>
      </c>
      <c r="L42" s="63">
        <f t="shared" si="35"/>
        <v>75298240556451.203</v>
      </c>
      <c r="M42" s="64">
        <f t="shared" si="30"/>
        <v>2306558695525130.5</v>
      </c>
      <c r="N42" s="2">
        <f t="shared" si="31"/>
        <v>10</v>
      </c>
      <c r="O42" s="11">
        <v>1000</v>
      </c>
      <c r="P42" s="12"/>
      <c r="Q42" s="62">
        <f t="shared" si="32"/>
        <v>7563257765.1048174</v>
      </c>
      <c r="R42" s="6"/>
      <c r="S42" s="6"/>
      <c r="T42" s="6"/>
      <c r="U42" s="21"/>
      <c r="AG42" s="6"/>
      <c r="AH42" s="6"/>
      <c r="AI42" s="6"/>
      <c r="AJ42" s="6"/>
      <c r="AK42" s="6"/>
    </row>
    <row r="43" spans="4:45" ht="15.75" x14ac:dyDescent="0.2">
      <c r="D43" s="2">
        <f t="shared" si="24"/>
        <v>0.89973819614702122</v>
      </c>
      <c r="E43" s="2">
        <f t="shared" si="25"/>
        <v>-4.5883842237530233E-2</v>
      </c>
      <c r="F43" s="2">
        <f t="shared" si="26"/>
        <v>-4.2460411301210979</v>
      </c>
      <c r="G43" s="62">
        <f t="shared" si="27"/>
        <v>8.7419458646634477E-5</v>
      </c>
      <c r="H43" s="2">
        <f t="shared" si="33"/>
        <v>-0.18764924287290854</v>
      </c>
      <c r="I43" s="2">
        <f t="shared" si="28"/>
        <v>1.1525156142558302</v>
      </c>
      <c r="J43" s="62">
        <f t="shared" si="34"/>
        <v>0.48201280026072907</v>
      </c>
      <c r="K43" s="62">
        <f t="shared" si="29"/>
        <v>3.3238021300325847E-6</v>
      </c>
      <c r="L43" s="63">
        <f t="shared" si="35"/>
        <v>78888524675193.109</v>
      </c>
      <c r="M43" s="64">
        <f t="shared" si="30"/>
        <v>2074850382405116</v>
      </c>
      <c r="N43" s="2">
        <f t="shared" si="31"/>
        <v>9.0909090909090917</v>
      </c>
      <c r="O43" s="11">
        <v>1100</v>
      </c>
      <c r="P43" s="12"/>
      <c r="Q43" s="62">
        <f t="shared" si="32"/>
        <v>6204405020.7263975</v>
      </c>
      <c r="R43" s="6"/>
      <c r="S43" s="6"/>
      <c r="T43" s="6"/>
      <c r="U43" s="21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spans="4:45" ht="15.75" x14ac:dyDescent="0.2">
      <c r="D44" s="2">
        <f t="shared" si="24"/>
        <v>0.90217415408617174</v>
      </c>
      <c r="E44" s="2">
        <f t="shared" si="25"/>
        <v>-4.4709618934761018E-2</v>
      </c>
      <c r="F44" s="2">
        <f t="shared" si="26"/>
        <v>-4.3448937815210771</v>
      </c>
      <c r="G44" s="62">
        <f t="shared" si="27"/>
        <v>6.9623437430248986E-5</v>
      </c>
      <c r="H44" s="2">
        <f t="shared" si="33"/>
        <v>-0.18764924287290854</v>
      </c>
      <c r="I44" s="2">
        <f t="shared" si="28"/>
        <v>1.1525156142558302</v>
      </c>
      <c r="J44" s="62">
        <f t="shared" si="34"/>
        <v>0.48201280026072907</v>
      </c>
      <c r="K44" s="62">
        <f t="shared" si="29"/>
        <v>3.0468186191965359E-6</v>
      </c>
      <c r="L44" s="63">
        <f t="shared" si="35"/>
        <v>82387769635664.406</v>
      </c>
      <c r="M44" s="64">
        <f t="shared" si="30"/>
        <v>1882658747096371.7</v>
      </c>
      <c r="N44" s="2">
        <f t="shared" si="31"/>
        <v>8.3333333333333339</v>
      </c>
      <c r="O44" s="11">
        <v>1200</v>
      </c>
      <c r="P44" s="12"/>
      <c r="Q44" s="62">
        <f t="shared" si="32"/>
        <v>5174618685.2187881</v>
      </c>
      <c r="R44" s="6"/>
      <c r="S44" s="6"/>
      <c r="T44" s="6"/>
      <c r="U44" s="21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spans="4:45" ht="15.75" x14ac:dyDescent="0.2">
      <c r="D45" s="2">
        <f t="shared" si="24"/>
        <v>0.90432226266176785</v>
      </c>
      <c r="E45" s="2">
        <f t="shared" si="25"/>
        <v>-4.3676777538605542E-2</v>
      </c>
      <c r="F45" s="2">
        <f t="shared" si="26"/>
        <v>-4.4363097822919801</v>
      </c>
      <c r="G45" s="62">
        <f t="shared" si="27"/>
        <v>5.6407838802476117E-5</v>
      </c>
      <c r="H45" s="2">
        <f t="shared" si="33"/>
        <v>-0.18764924287290854</v>
      </c>
      <c r="I45" s="2">
        <f t="shared" si="28"/>
        <v>1.1525156142558302</v>
      </c>
      <c r="J45" s="62">
        <f t="shared" si="34"/>
        <v>0.48201280026072907</v>
      </c>
      <c r="K45" s="62">
        <f t="shared" si="29"/>
        <v>2.8124479561814178E-6</v>
      </c>
      <c r="L45" s="63">
        <f t="shared" si="35"/>
        <v>85801817887422.609</v>
      </c>
      <c r="M45" s="64">
        <f t="shared" si="30"/>
        <v>1720883439537306.7</v>
      </c>
      <c r="N45" s="2">
        <f t="shared" si="31"/>
        <v>7.6923076923076925</v>
      </c>
      <c r="O45" s="11">
        <v>1300</v>
      </c>
      <c r="P45" s="12"/>
      <c r="Q45" s="62">
        <f t="shared" si="32"/>
        <v>4376578025.7410469</v>
      </c>
      <c r="R45" s="6"/>
      <c r="S45" s="6"/>
      <c r="T45" s="6"/>
      <c r="U45" s="21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spans="4:45" ht="15.75" x14ac:dyDescent="0.2">
      <c r="D46" s="2">
        <f>10^E46</f>
        <v>0.90795322577361048</v>
      </c>
      <c r="E46" s="2">
        <f>LOG(J46)/(1+(F46/(I46-0.14*F46))^2)</f>
        <v>-4.1936524068838979E-2</v>
      </c>
      <c r="F46" s="2">
        <f>LOG(G46)+H46</f>
        <v>-4.6007788629974762</v>
      </c>
      <c r="G46" s="62">
        <f>M46*K46/L46</f>
        <v>3.8625167864501234E-5</v>
      </c>
      <c r="H46" s="2">
        <f>-0.4-0.67*LOG(J46)</f>
        <v>-0.18764924287290854</v>
      </c>
      <c r="I46" s="2">
        <f>0.75-1.27*LOG(J46)</f>
        <v>1.1525156142558302</v>
      </c>
      <c r="J46" s="62">
        <f t="shared" si="34"/>
        <v>0.48201280026072907</v>
      </c>
      <c r="K46" s="62">
        <f>$P$34*101325/760/8.314/O46/1000000</f>
        <v>2.4374548953572284E-6</v>
      </c>
      <c r="L46" s="63">
        <f t="shared" si="35"/>
        <v>92396720595423.437</v>
      </c>
      <c r="M46" s="64">
        <f>$B$7*O46^$B$8*EXP(-$B$9/1.987/O46)</f>
        <v>1464166106181262</v>
      </c>
      <c r="N46" s="2">
        <f>10000/O46</f>
        <v>6.666666666666667</v>
      </c>
      <c r="O46" s="11">
        <v>1500</v>
      </c>
      <c r="P46" s="12"/>
      <c r="Q46" s="62">
        <f>L46/(1+L46/M46/K46)*D46</f>
        <v>3240213586.090229</v>
      </c>
      <c r="R46" s="6"/>
      <c r="S46" s="6"/>
      <c r="T46" s="6"/>
      <c r="U46" s="21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spans="4:45" ht="15.75" x14ac:dyDescent="0.2">
      <c r="D47" s="2">
        <f>10^E47</f>
        <v>0.91221843838523464</v>
      </c>
      <c r="E47" s="2">
        <f>LOG(J47)/(1+(F47/(I47-0.14*F47))^2)</f>
        <v>-3.9901153748189887E-2</v>
      </c>
      <c r="F47" s="2">
        <f>LOG(G47)+H47</f>
        <v>-4.8120071046331958</v>
      </c>
      <c r="G47" s="62">
        <f>M47*K47/L47</f>
        <v>2.3748825599245582E-5</v>
      </c>
      <c r="H47" s="2">
        <f>-0.4-0.67*LOG(J47)</f>
        <v>-0.18764924287290854</v>
      </c>
      <c r="I47" s="2">
        <f>0.75-1.27*LOG(J47)</f>
        <v>1.1525156142558302</v>
      </c>
      <c r="J47" s="62">
        <f t="shared" si="34"/>
        <v>0.48201280026072907</v>
      </c>
      <c r="K47" s="62">
        <f>$P$34*101325/760/8.314/O47/1000000</f>
        <v>2.0312124127976906E-6</v>
      </c>
      <c r="L47" s="63">
        <f t="shared" si="35"/>
        <v>101779852540394.17</v>
      </c>
      <c r="M47" s="64">
        <f>$B$7*O47^$B$8*EXP(-$B$9/1.987/O47)</f>
        <v>1190004527477994.7</v>
      </c>
      <c r="N47" s="2">
        <f>10000/O47</f>
        <v>5.5555555555555554</v>
      </c>
      <c r="O47" s="11">
        <v>1800</v>
      </c>
      <c r="P47" s="12"/>
      <c r="Q47" s="62">
        <f>L47/(1+L47/M47/K47)*D47</f>
        <v>2204918228.9130311</v>
      </c>
      <c r="R47" s="6"/>
      <c r="S47" s="6"/>
      <c r="T47" s="6"/>
      <c r="U47" s="21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spans="4:45" x14ac:dyDescent="0.2">
      <c r="D48" s="2" t="s">
        <v>1</v>
      </c>
      <c r="E48" s="2" t="s">
        <v>2</v>
      </c>
      <c r="F48" s="58" t="s">
        <v>3</v>
      </c>
      <c r="G48" s="62" t="s">
        <v>4</v>
      </c>
      <c r="H48" s="2" t="s">
        <v>5</v>
      </c>
      <c r="I48" s="58" t="s">
        <v>6</v>
      </c>
      <c r="J48" s="58" t="s">
        <v>7</v>
      </c>
      <c r="K48" s="62" t="s">
        <v>8</v>
      </c>
      <c r="L48" s="62" t="s">
        <v>9</v>
      </c>
      <c r="M48" s="62" t="s">
        <v>10</v>
      </c>
      <c r="N48" s="2" t="s">
        <v>11</v>
      </c>
      <c r="O48" s="58"/>
      <c r="P48" s="58">
        <f>760*1</f>
        <v>760</v>
      </c>
      <c r="Q48" s="62" t="s">
        <v>13</v>
      </c>
      <c r="S48" s="6"/>
      <c r="T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spans="4:45" ht="15.75" x14ac:dyDescent="0.2">
      <c r="D49" s="2">
        <f t="shared" ref="D49:D59" si="36">10^E49</f>
        <v>0.81322225891051381</v>
      </c>
      <c r="E49" s="2">
        <f t="shared" ref="E49:E59" si="37">LOG(J49)/(1+(F49/(I49-0.14*F49))^2)</f>
        <v>-8.9790742688069039E-2</v>
      </c>
      <c r="F49" s="2">
        <f t="shared" ref="F49:F59" si="38">LOG(G49)+H49</f>
        <v>-2.3582226264261554</v>
      </c>
      <c r="G49" s="62">
        <f t="shared" ref="G49:G59" si="39">M49*K49/L49</f>
        <v>6.7519095607332458E-3</v>
      </c>
      <c r="H49" s="2">
        <f>-0.4-0.67*LOG(J49)</f>
        <v>-0.18764924287290854</v>
      </c>
      <c r="I49" s="2">
        <f t="shared" ref="I49:I59" si="40">0.75-1.27*LOG(J49)</f>
        <v>1.1525156142558302</v>
      </c>
      <c r="J49" s="62">
        <f>(1-$B$10)*EXP(-O49/$B$11)+$B$10*EXP(-O49/$B$12)+EXP(-B$13/O49)</f>
        <v>0.48201280026072907</v>
      </c>
      <c r="K49" s="62">
        <f t="shared" ref="K49:K59" si="41">$P$48*101325/760/8.314/O49/1000000</f>
        <v>4.0624248255953815E-5</v>
      </c>
      <c r="L49" s="63">
        <f>B$4*O49^B$5*EXP(-B$6/1.987/O49)</f>
        <v>48271057302442.148</v>
      </c>
      <c r="M49" s="62">
        <f t="shared" ref="M49:M59" si="42">$B$7*O49^$B$8*EXP(-$B$9/1.987/O49)</f>
        <v>8022839247475676</v>
      </c>
      <c r="N49" s="2">
        <f t="shared" ref="N49:N59" si="43">10000/O49</f>
        <v>33.333333333333336</v>
      </c>
      <c r="O49" s="11">
        <v>300</v>
      </c>
      <c r="P49" s="12"/>
      <c r="Q49" s="62">
        <f t="shared" ref="Q49:Q58" si="44">L49/(1+L49/M49/K49)*D49</f>
        <v>263269302723.67184</v>
      </c>
      <c r="R49" s="6"/>
      <c r="S49" s="6"/>
      <c r="T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spans="4:45" ht="15.75" x14ac:dyDescent="0.2">
      <c r="D50" s="2">
        <f t="shared" si="36"/>
        <v>0.83321132902914419</v>
      </c>
      <c r="E50" s="2">
        <f t="shared" si="37"/>
        <v>-7.9244833657809099E-2</v>
      </c>
      <c r="F50" s="2">
        <f t="shared" si="38"/>
        <v>-2.6349459427206763</v>
      </c>
      <c r="G50" s="62">
        <f t="shared" si="39"/>
        <v>3.5702884104850336E-3</v>
      </c>
      <c r="H50" s="2">
        <f t="shared" ref="H50:H59" si="45">-0.4-0.67*LOG(J50)</f>
        <v>-0.18764924287290854</v>
      </c>
      <c r="I50" s="2">
        <f t="shared" si="40"/>
        <v>1.1525156142558302</v>
      </c>
      <c r="J50" s="62">
        <f t="shared" ref="J50:J61" si="46">(1-$B$10)*EXP(-O50/$B$11)+$B$10*EXP(-O50/$B$12)+EXP(-B$13/O50)</f>
        <v>0.48201280026072907</v>
      </c>
      <c r="K50" s="62">
        <f t="shared" si="41"/>
        <v>3.046818619196536E-5</v>
      </c>
      <c r="L50" s="63">
        <f t="shared" ref="L50:L61" si="47">B$4*O50^B$5*EXP(-B$6/1.987/O50)</f>
        <v>51915144096005.555</v>
      </c>
      <c r="M50" s="62">
        <f t="shared" si="42"/>
        <v>6083461487560017</v>
      </c>
      <c r="N50" s="2">
        <f t="shared" si="43"/>
        <v>25</v>
      </c>
      <c r="O50" s="11">
        <v>400</v>
      </c>
      <c r="P50" s="12"/>
      <c r="Q50" s="62">
        <f t="shared" si="44"/>
        <v>153887992815.25632</v>
      </c>
      <c r="R50" s="6"/>
      <c r="S50" s="6"/>
      <c r="T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spans="4:45" ht="15.75" x14ac:dyDescent="0.2">
      <c r="D51" s="2">
        <f t="shared" si="36"/>
        <v>0.84702647369197093</v>
      </c>
      <c r="E51" s="2">
        <f t="shared" si="37"/>
        <v>-7.210301564489846E-2</v>
      </c>
      <c r="F51" s="2">
        <f t="shared" si="38"/>
        <v>-2.8621739813986404</v>
      </c>
      <c r="G51" s="62">
        <f t="shared" si="39"/>
        <v>2.1158031602425964E-3</v>
      </c>
      <c r="H51" s="2">
        <f t="shared" si="45"/>
        <v>-0.18764924287290854</v>
      </c>
      <c r="I51" s="2">
        <f t="shared" si="40"/>
        <v>1.1525156142558302</v>
      </c>
      <c r="J51" s="62">
        <f t="shared" si="46"/>
        <v>0.48201280026072907</v>
      </c>
      <c r="K51" s="62">
        <f t="shared" si="41"/>
        <v>2.4374548953572287E-5</v>
      </c>
      <c r="L51" s="63">
        <f t="shared" si="47"/>
        <v>55914419404048.281</v>
      </c>
      <c r="M51" s="62">
        <f t="shared" si="42"/>
        <v>4853583362857548</v>
      </c>
      <c r="N51" s="2">
        <f t="shared" si="43"/>
        <v>20</v>
      </c>
      <c r="O51" s="11">
        <v>500</v>
      </c>
      <c r="P51" s="12"/>
      <c r="Q51" s="62">
        <f t="shared" si="44"/>
        <v>99994970038.180511</v>
      </c>
      <c r="R51" s="19"/>
      <c r="S51" s="19"/>
      <c r="T51" s="19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spans="4:45" ht="15.75" x14ac:dyDescent="0.2">
      <c r="D52" s="2">
        <f t="shared" si="36"/>
        <v>0.85720118835558134</v>
      </c>
      <c r="E52" s="2">
        <f t="shared" si="37"/>
        <v>-6.6917235558447655E-2</v>
      </c>
      <c r="F52" s="2">
        <f t="shared" si="38"/>
        <v>-3.0542975278354034</v>
      </c>
      <c r="G52" s="62">
        <f t="shared" si="39"/>
        <v>1.3594139274508022E-3</v>
      </c>
      <c r="H52" s="2">
        <f t="shared" si="45"/>
        <v>-0.18764924287290854</v>
      </c>
      <c r="I52" s="2">
        <f t="shared" si="40"/>
        <v>1.1525156142558302</v>
      </c>
      <c r="J52" s="62">
        <f t="shared" si="46"/>
        <v>0.48201280026072907</v>
      </c>
      <c r="K52" s="62">
        <f t="shared" si="41"/>
        <v>2.0312124127976908E-5</v>
      </c>
      <c r="L52" s="63">
        <f t="shared" si="47"/>
        <v>59954213423504.078</v>
      </c>
      <c r="M52" s="62">
        <f t="shared" si="42"/>
        <v>4012509584116398.5</v>
      </c>
      <c r="N52" s="2">
        <f t="shared" si="43"/>
        <v>16.666666666666668</v>
      </c>
      <c r="O52" s="11">
        <v>600</v>
      </c>
      <c r="P52" s="12"/>
      <c r="Q52" s="62">
        <f t="shared" si="44"/>
        <v>69769274025.629623</v>
      </c>
      <c r="R52" s="6"/>
      <c r="S52" s="6"/>
      <c r="T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spans="4:45" ht="15.75" x14ac:dyDescent="0.2">
      <c r="D53" s="2">
        <f t="shared" si="36"/>
        <v>0.86505511722922268</v>
      </c>
      <c r="E53" s="2">
        <f t="shared" si="37"/>
        <v>-6.2956220458985537E-2</v>
      </c>
      <c r="F53" s="2">
        <f t="shared" si="38"/>
        <v>-3.2204955399881694</v>
      </c>
      <c r="G53" s="62">
        <f t="shared" si="39"/>
        <v>9.2715789945465048E-4</v>
      </c>
      <c r="H53" s="2">
        <f t="shared" si="45"/>
        <v>-0.18764924287290854</v>
      </c>
      <c r="I53" s="2">
        <f t="shared" si="40"/>
        <v>1.1525156142558302</v>
      </c>
      <c r="J53" s="62">
        <f t="shared" si="46"/>
        <v>0.48201280026072907</v>
      </c>
      <c r="K53" s="62">
        <f t="shared" si="41"/>
        <v>1.741039210969449E-5</v>
      </c>
      <c r="L53" s="63">
        <f t="shared" si="47"/>
        <v>63935043186733.742</v>
      </c>
      <c r="M53" s="62">
        <f t="shared" si="42"/>
        <v>3404741258500846</v>
      </c>
      <c r="N53" s="2">
        <f t="shared" si="43"/>
        <v>14.285714285714286</v>
      </c>
      <c r="O53" s="11">
        <v>700</v>
      </c>
      <c r="P53" s="12"/>
      <c r="Q53" s="62">
        <f t="shared" si="44"/>
        <v>51231134377.891762</v>
      </c>
      <c r="R53" s="6"/>
      <c r="S53" s="6"/>
      <c r="T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spans="4:45" ht="15.75" x14ac:dyDescent="0.2">
      <c r="D54" s="2">
        <f t="shared" si="36"/>
        <v>0.87133568994473609</v>
      </c>
      <c r="E54" s="2">
        <f t="shared" si="37"/>
        <v>-5.9814496882239956E-2</v>
      </c>
      <c r="F54" s="2">
        <f t="shared" si="38"/>
        <v>-3.3668421476279677</v>
      </c>
      <c r="G54" s="62">
        <f t="shared" si="39"/>
        <v>6.619224259476887E-4</v>
      </c>
      <c r="H54" s="2">
        <f t="shared" si="45"/>
        <v>-0.18764924287290854</v>
      </c>
      <c r="I54" s="2">
        <f t="shared" si="40"/>
        <v>1.1525156142558302</v>
      </c>
      <c r="J54" s="62">
        <f t="shared" si="46"/>
        <v>0.48201280026072907</v>
      </c>
      <c r="K54" s="62">
        <f t="shared" si="41"/>
        <v>1.523409309598268E-5</v>
      </c>
      <c r="L54" s="63">
        <f t="shared" si="47"/>
        <v>67823786331033.422</v>
      </c>
      <c r="M54" s="62">
        <f t="shared" si="42"/>
        <v>2946948328485281.5</v>
      </c>
      <c r="N54" s="2">
        <f t="shared" si="43"/>
        <v>12.5</v>
      </c>
      <c r="O54" s="11">
        <v>800</v>
      </c>
      <c r="P54" s="12"/>
      <c r="Q54" s="62">
        <f t="shared" si="44"/>
        <v>39091942855.629913</v>
      </c>
      <c r="R54" s="19"/>
      <c r="S54" s="6"/>
      <c r="T54" s="6"/>
    </row>
    <row r="55" spans="4:45" ht="15.75" x14ac:dyDescent="0.2">
      <c r="D55" s="2">
        <f t="shared" si="36"/>
        <v>0.87649713551654407</v>
      </c>
      <c r="E55" s="2">
        <f t="shared" si="37"/>
        <v>-5.7249498887232735E-2</v>
      </c>
      <c r="F55" s="2">
        <f t="shared" si="38"/>
        <v>-3.4975299819488264</v>
      </c>
      <c r="G55" s="62">
        <f t="shared" si="39"/>
        <v>4.8991333522785429E-4</v>
      </c>
      <c r="H55" s="2">
        <f t="shared" si="45"/>
        <v>-0.18764924287290854</v>
      </c>
      <c r="I55" s="2">
        <f t="shared" si="40"/>
        <v>1.1525156142558302</v>
      </c>
      <c r="J55" s="62">
        <f t="shared" si="46"/>
        <v>0.48201280026072907</v>
      </c>
      <c r="K55" s="62">
        <f t="shared" si="41"/>
        <v>1.3541416085317938E-5</v>
      </c>
      <c r="L55" s="63">
        <f t="shared" si="47"/>
        <v>71611384152110.969</v>
      </c>
      <c r="M55" s="62">
        <f t="shared" si="42"/>
        <v>2590820031612673.5</v>
      </c>
      <c r="N55" s="2">
        <f t="shared" si="43"/>
        <v>11.111111111111111</v>
      </c>
      <c r="O55" s="11">
        <v>900</v>
      </c>
      <c r="P55" s="12"/>
      <c r="Q55" s="62">
        <f t="shared" si="44"/>
        <v>30735417415.444244</v>
      </c>
      <c r="R55" s="19"/>
      <c r="S55" s="6"/>
      <c r="T55" s="6"/>
    </row>
    <row r="56" spans="4:45" ht="15.75" x14ac:dyDescent="0.2">
      <c r="D56" s="2">
        <f t="shared" si="36"/>
        <v>0.88083163948913923</v>
      </c>
      <c r="E56" s="2">
        <f t="shared" si="37"/>
        <v>-5.5107093890125525E-2</v>
      </c>
      <c r="F56" s="2">
        <f t="shared" si="38"/>
        <v>-3.6155629684047588</v>
      </c>
      <c r="G56" s="62">
        <f t="shared" si="39"/>
        <v>3.7332431291150765E-4</v>
      </c>
      <c r="H56" s="2">
        <f t="shared" si="45"/>
        <v>-0.18764924287290854</v>
      </c>
      <c r="I56" s="2">
        <f t="shared" si="40"/>
        <v>1.1525156142558302</v>
      </c>
      <c r="J56" s="62">
        <f t="shared" si="46"/>
        <v>0.48201280026072907</v>
      </c>
      <c r="K56" s="62">
        <f t="shared" si="41"/>
        <v>1.2187274476786143E-5</v>
      </c>
      <c r="L56" s="63">
        <f t="shared" si="47"/>
        <v>75298240556451.203</v>
      </c>
      <c r="M56" s="62">
        <f t="shared" si="42"/>
        <v>2306558695525130.5</v>
      </c>
      <c r="N56" s="2">
        <f t="shared" si="43"/>
        <v>10</v>
      </c>
      <c r="O56" s="11">
        <v>1000</v>
      </c>
      <c r="P56" s="12"/>
      <c r="Q56" s="62">
        <f t="shared" si="44"/>
        <v>24751521842.176529</v>
      </c>
      <c r="R56" s="6"/>
    </row>
    <row r="57" spans="4:45" ht="15.75" x14ac:dyDescent="0.2">
      <c r="D57" s="2">
        <f t="shared" si="36"/>
        <v>0.88453600466672622</v>
      </c>
      <c r="E57" s="2">
        <f t="shared" si="37"/>
        <v>-5.3284484619903649E-2</v>
      </c>
      <c r="F57" s="2">
        <f t="shared" si="38"/>
        <v>-3.72316238484076</v>
      </c>
      <c r="G57" s="62">
        <f t="shared" si="39"/>
        <v>2.9139819548878163E-4</v>
      </c>
      <c r="H57" s="2">
        <f t="shared" si="45"/>
        <v>-0.18764924287290854</v>
      </c>
      <c r="I57" s="2">
        <f t="shared" si="40"/>
        <v>1.1525156142558302</v>
      </c>
      <c r="J57" s="62">
        <f t="shared" si="46"/>
        <v>0.48201280026072907</v>
      </c>
      <c r="K57" s="62">
        <f t="shared" si="41"/>
        <v>1.107934043344195E-5</v>
      </c>
      <c r="L57" s="63">
        <f t="shared" si="47"/>
        <v>78888524675193.109</v>
      </c>
      <c r="M57" s="62">
        <f t="shared" si="42"/>
        <v>2074850382405116</v>
      </c>
      <c r="N57" s="2">
        <f t="shared" si="43"/>
        <v>9.0909090909090917</v>
      </c>
      <c r="O57" s="11">
        <v>1100</v>
      </c>
      <c r="P57" s="12"/>
      <c r="Q57" s="62">
        <f t="shared" si="44"/>
        <v>20327766968.436855</v>
      </c>
      <c r="R57" s="6"/>
    </row>
    <row r="58" spans="4:45" ht="15.75" x14ac:dyDescent="0.2">
      <c r="D58" s="2">
        <f t="shared" si="36"/>
        <v>0.88774789031863333</v>
      </c>
      <c r="E58" s="2">
        <f t="shared" si="37"/>
        <v>-5.1710351100765141E-2</v>
      </c>
      <c r="F58" s="2">
        <f t="shared" si="38"/>
        <v>-3.8220150362407392</v>
      </c>
      <c r="G58" s="62">
        <f t="shared" si="39"/>
        <v>2.3207812476749664E-4</v>
      </c>
      <c r="H58" s="2">
        <f t="shared" si="45"/>
        <v>-0.18764924287290854</v>
      </c>
      <c r="I58" s="2">
        <f t="shared" si="40"/>
        <v>1.1525156142558302</v>
      </c>
      <c r="J58" s="62">
        <f t="shared" si="46"/>
        <v>0.48201280026072907</v>
      </c>
      <c r="K58" s="62">
        <f t="shared" si="41"/>
        <v>1.0156062063988454E-5</v>
      </c>
      <c r="L58" s="63">
        <f t="shared" si="47"/>
        <v>82387769635664.406</v>
      </c>
      <c r="M58" s="62">
        <f t="shared" si="42"/>
        <v>1882658747096371.7</v>
      </c>
      <c r="N58" s="2">
        <f t="shared" si="43"/>
        <v>8.3333333333333339</v>
      </c>
      <c r="O58" s="11">
        <v>1200</v>
      </c>
      <c r="P58" s="12"/>
      <c r="Q58" s="62">
        <f t="shared" si="44"/>
        <v>16970155544.173914</v>
      </c>
      <c r="R58" s="6"/>
    </row>
    <row r="59" spans="4:45" ht="15.75" x14ac:dyDescent="0.2">
      <c r="D59" s="2">
        <f t="shared" si="36"/>
        <v>0.89056666079930835</v>
      </c>
      <c r="E59" s="2">
        <f t="shared" si="37"/>
        <v>-5.0333567122947856E-2</v>
      </c>
      <c r="F59" s="2">
        <f t="shared" si="38"/>
        <v>-3.9134310370116423</v>
      </c>
      <c r="G59" s="62">
        <f t="shared" si="39"/>
        <v>1.880261293415871E-4</v>
      </c>
      <c r="H59" s="2">
        <f t="shared" si="45"/>
        <v>-0.18764924287290854</v>
      </c>
      <c r="I59" s="2">
        <f t="shared" si="40"/>
        <v>1.1525156142558302</v>
      </c>
      <c r="J59" s="62">
        <f t="shared" si="46"/>
        <v>0.48201280026072907</v>
      </c>
      <c r="K59" s="62">
        <f t="shared" si="41"/>
        <v>9.3748265206047265E-6</v>
      </c>
      <c r="L59" s="63">
        <f t="shared" si="47"/>
        <v>85801817887422.609</v>
      </c>
      <c r="M59" s="62">
        <f t="shared" si="42"/>
        <v>1720883439537306.7</v>
      </c>
      <c r="N59" s="2">
        <f t="shared" si="43"/>
        <v>7.6923076923076925</v>
      </c>
      <c r="O59" s="11">
        <v>1300</v>
      </c>
      <c r="P59" s="12"/>
      <c r="Q59" s="62">
        <f>L59/(1+L59/M59/K59)*D59</f>
        <v>14364796472.344645</v>
      </c>
      <c r="R59" s="6"/>
    </row>
    <row r="60" spans="4:45" ht="15.75" x14ac:dyDescent="0.2">
      <c r="D60" s="2">
        <f>10^E60</f>
        <v>0.89530164449695537</v>
      </c>
      <c r="E60" s="2">
        <f>LOG(J60)/(1+(F60/(I60-0.14*F60))^2)</f>
        <v>-4.8030617790907747E-2</v>
      </c>
      <c r="F60" s="2">
        <f>LOG(G60)+H60</f>
        <v>-4.0779001177171379</v>
      </c>
      <c r="G60" s="62">
        <f>M60*K60/L60</f>
        <v>1.2875055954833745E-4</v>
      </c>
      <c r="H60" s="2">
        <f>-0.4-0.67*LOG(J60)</f>
        <v>-0.18764924287290854</v>
      </c>
      <c r="I60" s="2">
        <f>0.75-1.27*LOG(J60)</f>
        <v>1.1525156142558302</v>
      </c>
      <c r="J60" s="62">
        <f t="shared" si="46"/>
        <v>0.48201280026072907</v>
      </c>
      <c r="K60" s="62">
        <f>$P$48*101325/760/8.314/O60/1000000</f>
        <v>8.1248496511907623E-6</v>
      </c>
      <c r="L60" s="63">
        <f t="shared" si="47"/>
        <v>92396720595423.437</v>
      </c>
      <c r="M60" s="62">
        <f>$B$7*O60^$B$8*EXP(-$B$9/1.987/O60)</f>
        <v>1464166106181262</v>
      </c>
      <c r="N60" s="2">
        <f>10000/O60</f>
        <v>6.666666666666667</v>
      </c>
      <c r="O60" s="11">
        <v>1500</v>
      </c>
      <c r="P60" s="12"/>
      <c r="Q60" s="62">
        <f>L60/(1+L60/M60/K60)*D60</f>
        <v>10649253186.682762</v>
      </c>
      <c r="R60" s="6"/>
    </row>
    <row r="61" spans="4:45" ht="15.75" x14ac:dyDescent="0.2">
      <c r="D61" s="2">
        <f>10^E61</f>
        <v>0.90081490141110976</v>
      </c>
      <c r="E61" s="2">
        <f>LOG(J61)/(1+(F61/(I61-0.14*F61))^2)</f>
        <v>-4.5364438270826056E-2</v>
      </c>
      <c r="F61" s="2">
        <f>LOG(G61)+H61</f>
        <v>-4.2891283593528584</v>
      </c>
      <c r="G61" s="62">
        <f>M61*K61/L61</f>
        <v>7.9162751997485277E-5</v>
      </c>
      <c r="H61" s="2">
        <f>-0.4-0.67*LOG(J61)</f>
        <v>-0.18764924287290854</v>
      </c>
      <c r="I61" s="2">
        <f>0.75-1.27*LOG(J61)</f>
        <v>1.1525156142558302</v>
      </c>
      <c r="J61" s="62">
        <f t="shared" si="46"/>
        <v>0.48201280026072907</v>
      </c>
      <c r="K61" s="62">
        <f>$P$48*101325/760/8.314/O61/1000000</f>
        <v>6.7707080426589692E-6</v>
      </c>
      <c r="L61" s="63">
        <f t="shared" si="47"/>
        <v>101779852540394.17</v>
      </c>
      <c r="M61" s="62">
        <f>$B$7*O61^$B$8*EXP(-$B$9/1.987/O61)</f>
        <v>1190004527477994.7</v>
      </c>
      <c r="N61" s="2">
        <f>10000/O61</f>
        <v>5.5555555555555554</v>
      </c>
      <c r="O61" s="11">
        <v>1800</v>
      </c>
      <c r="P61" s="12"/>
      <c r="Q61" s="62">
        <f>L61/(1+L61/M61/K61)*D61</f>
        <v>7257447184.8352385</v>
      </c>
      <c r="R61" s="6"/>
    </row>
    <row r="62" spans="4:45" x14ac:dyDescent="0.2">
      <c r="D62" s="2" t="s">
        <v>1</v>
      </c>
      <c r="E62" s="2" t="s">
        <v>2</v>
      </c>
      <c r="F62" s="58" t="s">
        <v>3</v>
      </c>
      <c r="G62" s="58" t="s">
        <v>4</v>
      </c>
      <c r="H62" s="58" t="s">
        <v>5</v>
      </c>
      <c r="I62" s="58" t="s">
        <v>6</v>
      </c>
      <c r="J62" s="58" t="s">
        <v>7</v>
      </c>
      <c r="K62" s="58" t="s">
        <v>8</v>
      </c>
      <c r="L62" s="58" t="s">
        <v>9</v>
      </c>
      <c r="M62" s="58" t="s">
        <v>10</v>
      </c>
      <c r="N62" s="58" t="s">
        <v>11</v>
      </c>
      <c r="O62" s="58"/>
      <c r="P62" s="58">
        <f>760*3</f>
        <v>2280</v>
      </c>
      <c r="Q62" s="58" t="s">
        <v>13</v>
      </c>
    </row>
    <row r="63" spans="4:45" ht="15.75" x14ac:dyDescent="0.2">
      <c r="D63" s="2">
        <f t="shared" ref="D63:D73" si="48">10^E63</f>
        <v>0.76803210278590561</v>
      </c>
      <c r="E63" s="2">
        <f t="shared" ref="E63:E73" si="49">LOG(J63)/(1+(F63/(I63-0.14*F63))^2)</f>
        <v>-0.11462062662032649</v>
      </c>
      <c r="F63" s="2">
        <f t="shared" ref="F63:F73" si="50">LOG(G63)+H63</f>
        <v>-1.8811013717064931</v>
      </c>
      <c r="G63" s="62">
        <f t="shared" ref="G63:G73" si="51">M63*K63/L63</f>
        <v>2.0255728682199738E-2</v>
      </c>
      <c r="H63" s="2">
        <f>-0.4-0.67*LOG(J63)</f>
        <v>-0.18764924287290854</v>
      </c>
      <c r="I63" s="2">
        <f t="shared" ref="I63:I73" si="52">0.75-1.27*LOG(J63)</f>
        <v>1.1525156142558302</v>
      </c>
      <c r="J63" s="62">
        <f>(1-$B$10)*EXP(-O63/$B$11)+$B$10*EXP(-O63/$B$12)+EXP(-B$13/O63)</f>
        <v>0.48201280026072907</v>
      </c>
      <c r="K63" s="62">
        <f t="shared" ref="K63:K73" si="53">$P$62*101325/760/8.314/O63/1000000</f>
        <v>1.2187274476786144E-4</v>
      </c>
      <c r="L63" s="63">
        <f>B$4*O63^B$5*EXP(-B$6/1.987/O63)</f>
        <v>48271057302442.148</v>
      </c>
      <c r="M63" s="62">
        <f t="shared" ref="M63:M73" si="54">$B$7*O63^$B$8*EXP(-$B$9/1.987/O63)</f>
        <v>8022839247475676</v>
      </c>
      <c r="N63" s="2">
        <f t="shared" ref="N63:N73" si="55">10000/O63</f>
        <v>33.333333333333336</v>
      </c>
      <c r="O63" s="11">
        <v>300</v>
      </c>
      <c r="P63" s="12"/>
      <c r="Q63" s="62">
        <f t="shared" ref="Q63:Q73" si="56">L63/(1+L63/M63/K63)*D63</f>
        <v>736046096819.28979</v>
      </c>
      <c r="R63" s="19"/>
      <c r="S63" s="19"/>
      <c r="T63" s="19"/>
    </row>
    <row r="64" spans="4:45" ht="15.75" x14ac:dyDescent="0.2">
      <c r="D64" s="2">
        <f t="shared" si="48"/>
        <v>0.79611162917457534</v>
      </c>
      <c r="E64" s="2">
        <f t="shared" si="49"/>
        <v>-9.9026032092106017E-2</v>
      </c>
      <c r="F64" s="2">
        <f t="shared" si="50"/>
        <v>-2.1578246880010141</v>
      </c>
      <c r="G64" s="62">
        <f t="shared" si="51"/>
        <v>1.0710865231455102E-2</v>
      </c>
      <c r="H64" s="2">
        <f t="shared" ref="H64:H73" si="57">-0.4-0.67*LOG(J64)</f>
        <v>-0.18764924287290854</v>
      </c>
      <c r="I64" s="2">
        <f t="shared" si="52"/>
        <v>1.1525156142558302</v>
      </c>
      <c r="J64" s="62">
        <f t="shared" ref="J64:J75" si="58">(1-$B$10)*EXP(-O64/$B$11)+$B$10*EXP(-O64/$B$12)+EXP(-B$13/O64)</f>
        <v>0.48201280026072907</v>
      </c>
      <c r="K64" s="62">
        <f t="shared" si="53"/>
        <v>9.1404558575896075E-5</v>
      </c>
      <c r="L64" s="63">
        <f t="shared" ref="L64:L75" si="59">B$4*O64^B$5*EXP(-B$6/1.987/O64)</f>
        <v>51915144096005.555</v>
      </c>
      <c r="M64" s="62">
        <f t="shared" si="54"/>
        <v>6083461487560017</v>
      </c>
      <c r="N64" s="2">
        <f t="shared" si="55"/>
        <v>25</v>
      </c>
      <c r="O64" s="11">
        <v>400</v>
      </c>
      <c r="P64" s="12"/>
      <c r="Q64" s="62">
        <f t="shared" si="56"/>
        <v>437991469541.57483</v>
      </c>
      <c r="R64" s="6"/>
    </row>
    <row r="65" spans="4:20" ht="15.75" x14ac:dyDescent="0.2">
      <c r="D65" s="2">
        <f t="shared" si="48"/>
        <v>0.81533359300590991</v>
      </c>
      <c r="E65" s="2">
        <f t="shared" si="49"/>
        <v>-8.8664663702532578E-2</v>
      </c>
      <c r="F65" s="2">
        <f t="shared" si="50"/>
        <v>-2.3850527266789778</v>
      </c>
      <c r="G65" s="62">
        <f t="shared" si="51"/>
        <v>6.3474094807277892E-3</v>
      </c>
      <c r="H65" s="2">
        <f t="shared" si="57"/>
        <v>-0.18764924287290854</v>
      </c>
      <c r="I65" s="2">
        <f t="shared" si="52"/>
        <v>1.1525156142558302</v>
      </c>
      <c r="J65" s="62">
        <f t="shared" si="58"/>
        <v>0.48201280026072907</v>
      </c>
      <c r="K65" s="62">
        <f t="shared" si="53"/>
        <v>7.3123646860716858E-5</v>
      </c>
      <c r="L65" s="63">
        <f t="shared" si="59"/>
        <v>55914419404048.281</v>
      </c>
      <c r="M65" s="62">
        <f t="shared" si="54"/>
        <v>4853583362857548</v>
      </c>
      <c r="N65" s="2">
        <f t="shared" si="55"/>
        <v>20</v>
      </c>
      <c r="O65" s="11">
        <v>500</v>
      </c>
      <c r="P65" s="12"/>
      <c r="Q65" s="62">
        <f t="shared" si="56"/>
        <v>287546270547.53296</v>
      </c>
      <c r="R65" s="6"/>
    </row>
    <row r="66" spans="4:20" ht="15.75" x14ac:dyDescent="0.2">
      <c r="D66" s="2">
        <f t="shared" si="48"/>
        <v>0.82934826043073939</v>
      </c>
      <c r="E66" s="2">
        <f t="shared" si="49"/>
        <v>-8.1263061943212103E-2</v>
      </c>
      <c r="F66" s="2">
        <f t="shared" si="50"/>
        <v>-2.5771762731157408</v>
      </c>
      <c r="G66" s="62">
        <f t="shared" si="51"/>
        <v>4.0782417823524066E-3</v>
      </c>
      <c r="H66" s="2">
        <f t="shared" si="57"/>
        <v>-0.18764924287290854</v>
      </c>
      <c r="I66" s="2">
        <f t="shared" si="52"/>
        <v>1.1525156142558302</v>
      </c>
      <c r="J66" s="62">
        <f t="shared" si="58"/>
        <v>0.48201280026072907</v>
      </c>
      <c r="K66" s="62">
        <f t="shared" si="53"/>
        <v>6.0936372383930719E-5</v>
      </c>
      <c r="L66" s="63">
        <f t="shared" si="59"/>
        <v>59954213423504.078</v>
      </c>
      <c r="M66" s="62">
        <f t="shared" si="54"/>
        <v>4012509584116398.5</v>
      </c>
      <c r="N66" s="2">
        <f t="shared" si="55"/>
        <v>16.666666666666668</v>
      </c>
      <c r="O66" s="11">
        <v>600</v>
      </c>
      <c r="P66" s="12"/>
      <c r="Q66" s="62">
        <f t="shared" si="56"/>
        <v>201958465071.19476</v>
      </c>
      <c r="R66" s="6"/>
    </row>
    <row r="67" spans="4:20" ht="15.75" x14ac:dyDescent="0.2">
      <c r="D67" s="2">
        <f t="shared" si="48"/>
        <v>0.84006552973044302</v>
      </c>
      <c r="E67" s="2">
        <f t="shared" si="49"/>
        <v>-7.5686835259170623E-2</v>
      </c>
      <c r="F67" s="2">
        <f t="shared" si="50"/>
        <v>-2.7433742852685072</v>
      </c>
      <c r="G67" s="62">
        <f t="shared" si="51"/>
        <v>2.7814736983639518E-3</v>
      </c>
      <c r="H67" s="2">
        <f t="shared" si="57"/>
        <v>-0.18764924287290854</v>
      </c>
      <c r="I67" s="2">
        <f t="shared" si="52"/>
        <v>1.1525156142558302</v>
      </c>
      <c r="J67" s="62">
        <f t="shared" si="58"/>
        <v>0.48201280026072907</v>
      </c>
      <c r="K67" s="62">
        <f t="shared" si="53"/>
        <v>5.2231176329083477E-5</v>
      </c>
      <c r="L67" s="63">
        <f t="shared" si="59"/>
        <v>63935043186733.742</v>
      </c>
      <c r="M67" s="62">
        <f t="shared" si="54"/>
        <v>3404741258500846</v>
      </c>
      <c r="N67" s="2">
        <f t="shared" si="55"/>
        <v>14.285714285714286</v>
      </c>
      <c r="O67" s="11">
        <v>700</v>
      </c>
      <c r="P67" s="12"/>
      <c r="Q67" s="62">
        <f t="shared" si="56"/>
        <v>148977534759.2175</v>
      </c>
      <c r="R67" s="6"/>
    </row>
    <row r="68" spans="4:20" ht="15.75" x14ac:dyDescent="0.2">
      <c r="D68" s="2">
        <f t="shared" si="48"/>
        <v>0.84856419538306815</v>
      </c>
      <c r="E68" s="2">
        <f t="shared" si="49"/>
        <v>-7.1315296957349367E-2</v>
      </c>
      <c r="F68" s="2">
        <f t="shared" si="50"/>
        <v>-2.8897208929083056</v>
      </c>
      <c r="G68" s="62">
        <f t="shared" si="51"/>
        <v>1.9857672778430657E-3</v>
      </c>
      <c r="H68" s="2">
        <f t="shared" si="57"/>
        <v>-0.18764924287290854</v>
      </c>
      <c r="I68" s="2">
        <f t="shared" si="52"/>
        <v>1.1525156142558302</v>
      </c>
      <c r="J68" s="62">
        <f t="shared" si="58"/>
        <v>0.48201280026072907</v>
      </c>
      <c r="K68" s="62">
        <f t="shared" si="53"/>
        <v>4.5702279287948038E-5</v>
      </c>
      <c r="L68" s="63">
        <f t="shared" si="59"/>
        <v>67823786331033.422</v>
      </c>
      <c r="M68" s="62">
        <f t="shared" si="54"/>
        <v>2946948328485281.5</v>
      </c>
      <c r="N68" s="2">
        <f t="shared" si="55"/>
        <v>12.5</v>
      </c>
      <c r="O68" s="11">
        <v>800</v>
      </c>
      <c r="P68" s="12"/>
      <c r="Q68" s="62">
        <f t="shared" si="56"/>
        <v>114060043116.57231</v>
      </c>
      <c r="R68" s="6"/>
    </row>
    <row r="69" spans="4:20" ht="15.75" x14ac:dyDescent="0.2">
      <c r="D69" s="2">
        <f t="shared" si="48"/>
        <v>0.8554964632759029</v>
      </c>
      <c r="E69" s="2">
        <f t="shared" si="49"/>
        <v>-6.778178154419516E-2</v>
      </c>
      <c r="F69" s="2">
        <f t="shared" si="50"/>
        <v>-3.0204087272291642</v>
      </c>
      <c r="G69" s="62">
        <f t="shared" si="51"/>
        <v>1.4697400056835625E-3</v>
      </c>
      <c r="H69" s="2">
        <f t="shared" si="57"/>
        <v>-0.18764924287290854</v>
      </c>
      <c r="I69" s="2">
        <f t="shared" si="52"/>
        <v>1.1525156142558302</v>
      </c>
      <c r="J69" s="62">
        <f t="shared" si="58"/>
        <v>0.48201280026072907</v>
      </c>
      <c r="K69" s="62">
        <f t="shared" si="53"/>
        <v>4.0624248255953815E-5</v>
      </c>
      <c r="L69" s="63">
        <f t="shared" si="59"/>
        <v>71611384152110.969</v>
      </c>
      <c r="M69" s="62">
        <f t="shared" si="54"/>
        <v>2590820031612673.5</v>
      </c>
      <c r="N69" s="2">
        <f t="shared" si="55"/>
        <v>11.111111111111111</v>
      </c>
      <c r="O69" s="11">
        <v>900</v>
      </c>
      <c r="P69" s="12"/>
      <c r="Q69" s="62">
        <f t="shared" si="56"/>
        <v>89908959331.929153</v>
      </c>
      <c r="R69" s="6"/>
    </row>
    <row r="70" spans="4:20" ht="15.75" x14ac:dyDescent="0.2">
      <c r="D70" s="2">
        <f t="shared" si="48"/>
        <v>0.86127936970789754</v>
      </c>
      <c r="E70" s="2">
        <f t="shared" si="49"/>
        <v>-6.4855955348936178E-2</v>
      </c>
      <c r="F70" s="2">
        <f t="shared" si="50"/>
        <v>-3.1384417136850966</v>
      </c>
      <c r="G70" s="62">
        <f t="shared" si="51"/>
        <v>1.1199729387345227E-3</v>
      </c>
      <c r="H70" s="2">
        <f t="shared" si="57"/>
        <v>-0.18764924287290854</v>
      </c>
      <c r="I70" s="2">
        <f t="shared" si="52"/>
        <v>1.1525156142558302</v>
      </c>
      <c r="J70" s="62">
        <f t="shared" si="58"/>
        <v>0.48201280026072907</v>
      </c>
      <c r="K70" s="62">
        <f t="shared" si="53"/>
        <v>3.6561823430358429E-5</v>
      </c>
      <c r="L70" s="63">
        <f t="shared" si="59"/>
        <v>75298240556451.203</v>
      </c>
      <c r="M70" s="62">
        <f t="shared" si="54"/>
        <v>2306558695525130.5</v>
      </c>
      <c r="N70" s="2">
        <f t="shared" si="55"/>
        <v>10</v>
      </c>
      <c r="O70" s="11">
        <v>1000</v>
      </c>
      <c r="P70" s="12"/>
      <c r="Q70" s="62">
        <f t="shared" si="56"/>
        <v>72552148264.449051</v>
      </c>
      <c r="R70" s="6"/>
    </row>
    <row r="71" spans="4:20" ht="15.75" x14ac:dyDescent="0.2">
      <c r="D71" s="2">
        <f t="shared" si="48"/>
        <v>0.86619211058034162</v>
      </c>
      <c r="E71" s="2">
        <f t="shared" si="49"/>
        <v>-6.2385776213457478E-2</v>
      </c>
      <c r="F71" s="2">
        <f t="shared" si="50"/>
        <v>-3.2460411301210979</v>
      </c>
      <c r="G71" s="62">
        <f t="shared" si="51"/>
        <v>8.7419458646634468E-4</v>
      </c>
      <c r="H71" s="2">
        <f t="shared" si="57"/>
        <v>-0.18764924287290854</v>
      </c>
      <c r="I71" s="2">
        <f t="shared" si="52"/>
        <v>1.1525156142558302</v>
      </c>
      <c r="J71" s="62">
        <f t="shared" si="58"/>
        <v>0.48201280026072907</v>
      </c>
      <c r="K71" s="62">
        <f t="shared" si="53"/>
        <v>3.3238021300325845E-5</v>
      </c>
      <c r="L71" s="63">
        <f t="shared" si="59"/>
        <v>78888524675193.109</v>
      </c>
      <c r="M71" s="62">
        <f t="shared" si="54"/>
        <v>2074850382405116</v>
      </c>
      <c r="N71" s="2">
        <f t="shared" si="55"/>
        <v>9.0909090909090917</v>
      </c>
      <c r="O71" s="11">
        <v>1100</v>
      </c>
      <c r="P71" s="12"/>
      <c r="Q71" s="62">
        <f t="shared" si="56"/>
        <v>59683829182.405388</v>
      </c>
      <c r="R71" s="6"/>
    </row>
    <row r="72" spans="4:20" ht="15.75" x14ac:dyDescent="0.2">
      <c r="D72" s="2">
        <f t="shared" si="48"/>
        <v>0.87042883010355454</v>
      </c>
      <c r="E72" s="2">
        <f t="shared" si="49"/>
        <v>-6.0266732825663659E-2</v>
      </c>
      <c r="F72" s="2">
        <f t="shared" si="50"/>
        <v>-3.3448937815210771</v>
      </c>
      <c r="G72" s="62">
        <f t="shared" si="51"/>
        <v>6.9623437430248983E-4</v>
      </c>
      <c r="H72" s="2">
        <f t="shared" si="57"/>
        <v>-0.18764924287290854</v>
      </c>
      <c r="I72" s="2">
        <f t="shared" si="52"/>
        <v>1.1525156142558302</v>
      </c>
      <c r="J72" s="62">
        <f t="shared" si="58"/>
        <v>0.48201280026072907</v>
      </c>
      <c r="K72" s="62">
        <f t="shared" si="53"/>
        <v>3.046818619196536E-5</v>
      </c>
      <c r="L72" s="63">
        <f t="shared" si="59"/>
        <v>82387769635664.406</v>
      </c>
      <c r="M72" s="62">
        <f t="shared" si="54"/>
        <v>1882658747096371.7</v>
      </c>
      <c r="N72" s="2">
        <f t="shared" si="55"/>
        <v>8.3333333333333339</v>
      </c>
      <c r="O72" s="11">
        <v>1200</v>
      </c>
      <c r="P72" s="12"/>
      <c r="Q72" s="62">
        <f t="shared" si="56"/>
        <v>49894101820.335335</v>
      </c>
      <c r="R72" s="6"/>
    </row>
    <row r="73" spans="4:20" ht="15.75" x14ac:dyDescent="0.2">
      <c r="D73" s="2">
        <f t="shared" si="48"/>
        <v>0.87412888167477987</v>
      </c>
      <c r="E73" s="2">
        <f t="shared" si="49"/>
        <v>-5.8424530210369391E-2</v>
      </c>
      <c r="F73" s="2">
        <f t="shared" si="50"/>
        <v>-3.4363097822919797</v>
      </c>
      <c r="G73" s="62">
        <f t="shared" si="51"/>
        <v>5.6407838802476128E-4</v>
      </c>
      <c r="H73" s="2">
        <f t="shared" si="57"/>
        <v>-0.18764924287290854</v>
      </c>
      <c r="I73" s="2">
        <f t="shared" si="52"/>
        <v>1.1525156142558302</v>
      </c>
      <c r="J73" s="62">
        <f t="shared" si="58"/>
        <v>0.48201280026072907</v>
      </c>
      <c r="K73" s="62">
        <f t="shared" si="53"/>
        <v>2.812447956181418E-5</v>
      </c>
      <c r="L73" s="63">
        <f t="shared" si="59"/>
        <v>85801817887422.609</v>
      </c>
      <c r="M73" s="62">
        <f t="shared" si="54"/>
        <v>1720883439537306.7</v>
      </c>
      <c r="N73" s="2">
        <f t="shared" si="55"/>
        <v>7.6923076923076925</v>
      </c>
      <c r="O73" s="11">
        <v>1300</v>
      </c>
      <c r="P73" s="12"/>
      <c r="Q73" s="62">
        <f t="shared" si="56"/>
        <v>42283070053.848183</v>
      </c>
      <c r="R73" s="6"/>
    </row>
    <row r="74" spans="4:20" ht="15.75" x14ac:dyDescent="0.2">
      <c r="D74" s="2">
        <f>10^E74</f>
        <v>0.88030473658904906</v>
      </c>
      <c r="E74" s="2">
        <f>LOG(J74)/(1+(F74/(I74-0.14*F74))^2)</f>
        <v>-5.5366961361996335E-2</v>
      </c>
      <c r="F74" s="2">
        <f>LOG(G74)+H74</f>
        <v>-3.6007788629974757</v>
      </c>
      <c r="G74" s="62">
        <f>M74*K74/L74</f>
        <v>3.8625167864501236E-4</v>
      </c>
      <c r="H74" s="2">
        <f>-0.4-0.67*LOG(J74)</f>
        <v>-0.18764924287290854</v>
      </c>
      <c r="I74" s="2">
        <f>0.75-1.27*LOG(J74)</f>
        <v>1.1525156142558302</v>
      </c>
      <c r="J74" s="62">
        <f t="shared" si="58"/>
        <v>0.48201280026072907</v>
      </c>
      <c r="K74" s="62">
        <f>$P$62*101325/760/8.314/O74/1000000</f>
        <v>2.4374548953572287E-5</v>
      </c>
      <c r="L74" s="63">
        <f t="shared" si="59"/>
        <v>92396720595423.437</v>
      </c>
      <c r="M74" s="62">
        <f>$B$7*O74^$B$8*EXP(-$B$9/1.987/O74)</f>
        <v>1464166106181262</v>
      </c>
      <c r="N74" s="2">
        <f>10000/O74</f>
        <v>6.666666666666667</v>
      </c>
      <c r="O74" s="11">
        <v>1500</v>
      </c>
      <c r="P74" s="12"/>
      <c r="Q74" s="62">
        <f>L74/(1+L74/M74/K74)*D74</f>
        <v>31404527325.885841</v>
      </c>
      <c r="R74" s="6"/>
    </row>
    <row r="75" spans="4:20" ht="15.75" x14ac:dyDescent="0.2">
      <c r="D75" s="2">
        <f>10^E75</f>
        <v>0.88743065316475878</v>
      </c>
      <c r="E75" s="2">
        <f>LOG(J75)/(1+(F75/(I75-0.14*F75))^2)</f>
        <v>-5.1865574187879189E-2</v>
      </c>
      <c r="F75" s="2">
        <f>LOG(G75)+H75</f>
        <v>-3.8120071046331954</v>
      </c>
      <c r="G75" s="62">
        <f>M75*K75/L75</f>
        <v>2.3748825599245583E-4</v>
      </c>
      <c r="H75" s="2">
        <f>-0.4-0.67*LOG(J75)</f>
        <v>-0.18764924287290854</v>
      </c>
      <c r="I75" s="2">
        <f>0.75-1.27*LOG(J75)</f>
        <v>1.1525156142558302</v>
      </c>
      <c r="J75" s="62">
        <f t="shared" si="58"/>
        <v>0.48201280026072907</v>
      </c>
      <c r="K75" s="62">
        <f>$P$62*101325/760/8.314/O75/1000000</f>
        <v>2.0312124127976908E-5</v>
      </c>
      <c r="L75" s="63">
        <f t="shared" si="59"/>
        <v>101779852540394.17</v>
      </c>
      <c r="M75" s="62">
        <f>$B$7*O75^$B$8*EXP(-$B$9/1.987/O75)</f>
        <v>1190004527477994.7</v>
      </c>
      <c r="N75" s="2">
        <f>10000/O75</f>
        <v>5.5555555555555554</v>
      </c>
      <c r="O75" s="11">
        <v>1800</v>
      </c>
      <c r="P75" s="12"/>
      <c r="Q75" s="62">
        <f>L75/(1+L75/M75/K75)*D75</f>
        <v>21445454449.582813</v>
      </c>
      <c r="R75" s="6"/>
    </row>
    <row r="76" spans="4:20" x14ac:dyDescent="0.2">
      <c r="D76" s="2" t="s">
        <v>1</v>
      </c>
      <c r="E76" s="2" t="s">
        <v>2</v>
      </c>
      <c r="F76" s="58" t="s">
        <v>3</v>
      </c>
      <c r="G76" s="58" t="s">
        <v>4</v>
      </c>
      <c r="H76" s="58" t="s">
        <v>5</v>
      </c>
      <c r="I76" s="58" t="s">
        <v>6</v>
      </c>
      <c r="J76" s="58" t="s">
        <v>7</v>
      </c>
      <c r="K76" s="58" t="s">
        <v>8</v>
      </c>
      <c r="L76" s="58" t="s">
        <v>9</v>
      </c>
      <c r="M76" s="58" t="s">
        <v>10</v>
      </c>
      <c r="N76" s="2" t="s">
        <v>11</v>
      </c>
      <c r="O76" s="58"/>
      <c r="P76" s="58">
        <f>760*10</f>
        <v>7600</v>
      </c>
      <c r="Q76" s="62" t="s">
        <v>13</v>
      </c>
    </row>
    <row r="77" spans="4:20" ht="15.75" x14ac:dyDescent="0.2">
      <c r="D77" s="2">
        <f t="shared" ref="D77:D87" si="60">10^E77</f>
        <v>0.6971956323594144</v>
      </c>
      <c r="E77" s="2">
        <f t="shared" ref="E77:E87" si="61">LOG(J77)/(1+(F77/(I77-0.14*F77))^2)</f>
        <v>-0.15664534222777404</v>
      </c>
      <c r="F77" s="2">
        <f t="shared" ref="F77:F87" si="62">LOG(G77)+H77</f>
        <v>-1.3582226264261557</v>
      </c>
      <c r="G77" s="62">
        <f t="shared" ref="G77:G87" si="63">M77*K77/L77</f>
        <v>6.7519095607332463E-2</v>
      </c>
      <c r="H77" s="2">
        <f>-0.4-0.67*LOG(J77)</f>
        <v>-0.18764924287290854</v>
      </c>
      <c r="I77" s="2">
        <f t="shared" ref="I77:I87" si="64">0.75-1.27*LOG(J77)</f>
        <v>1.1525156142558302</v>
      </c>
      <c r="J77" s="62">
        <f>(1-$B$10)*EXP(-O77/$B$11)+$B$10*EXP(-O77/$B$12)+EXP(-B$13/O77)</f>
        <v>0.48201280026072907</v>
      </c>
      <c r="K77" s="62">
        <f t="shared" ref="K77:K87" si="65">$P$76*101325/760/8.314/O77/1000000</f>
        <v>4.0624248255953814E-4</v>
      </c>
      <c r="L77" s="63">
        <f>B$4*O77^B$5*EXP(-B$6/1.987/O77)</f>
        <v>48271057302442.148</v>
      </c>
      <c r="M77" s="62">
        <f t="shared" ref="M77:M87" si="66">$B$7*O77^$B$8*EXP(-$B$9/1.987/O77)</f>
        <v>8022839247475676</v>
      </c>
      <c r="N77" s="2">
        <f t="shared" ref="N77:N87" si="67">10000/O77</f>
        <v>33.333333333333336</v>
      </c>
      <c r="O77" s="11">
        <v>300</v>
      </c>
      <c r="P77" s="12"/>
      <c r="Q77" s="62">
        <f t="shared" ref="Q77:Q87" si="68">L77/(1+L77/M77/K77)*D77</f>
        <v>2128592037963.1943</v>
      </c>
      <c r="R77" s="6"/>
    </row>
    <row r="78" spans="4:20" ht="15.75" x14ac:dyDescent="0.2">
      <c r="D78" s="2">
        <f t="shared" si="60"/>
        <v>0.73787486626354692</v>
      </c>
      <c r="E78" s="2">
        <f t="shared" si="61"/>
        <v>-0.13201728248463512</v>
      </c>
      <c r="F78" s="2">
        <f t="shared" si="62"/>
        <v>-1.6349459427206765</v>
      </c>
      <c r="G78" s="62">
        <f t="shared" si="63"/>
        <v>3.5702884104850334E-2</v>
      </c>
      <c r="H78" s="2">
        <f t="shared" ref="H78:H87" si="69">-0.4-0.67*LOG(J78)</f>
        <v>-0.18764924287290854</v>
      </c>
      <c r="I78" s="2">
        <f t="shared" si="64"/>
        <v>1.1525156142558302</v>
      </c>
      <c r="J78" s="62">
        <f t="shared" ref="J78:J89" si="70">(1-$B$10)*EXP(-O78/$B$11)+$B$10*EXP(-O78/$B$12)+EXP(-B$13/O78)</f>
        <v>0.48201280026072907</v>
      </c>
      <c r="K78" s="62">
        <f t="shared" si="65"/>
        <v>3.046818619196536E-4</v>
      </c>
      <c r="L78" s="63">
        <f t="shared" ref="L78:L89" si="71">B$4*O78^B$5*EXP(-B$6/1.987/O78)</f>
        <v>51915144096005.555</v>
      </c>
      <c r="M78" s="62">
        <f t="shared" si="66"/>
        <v>6083461487560017</v>
      </c>
      <c r="N78" s="2">
        <f t="shared" si="67"/>
        <v>25</v>
      </c>
      <c r="O78" s="11">
        <v>400</v>
      </c>
      <c r="P78" s="12"/>
      <c r="Q78" s="62">
        <f t="shared" si="68"/>
        <v>1320519734273.5676</v>
      </c>
      <c r="R78" s="19"/>
      <c r="S78" s="6"/>
      <c r="T78" s="6"/>
    </row>
    <row r="79" spans="4:20" ht="15.75" x14ac:dyDescent="0.2">
      <c r="D79" s="2">
        <f t="shared" si="60"/>
        <v>0.76589792660302203</v>
      </c>
      <c r="E79" s="2">
        <f t="shared" si="61"/>
        <v>-0.11582910617276457</v>
      </c>
      <c r="F79" s="2">
        <f t="shared" si="62"/>
        <v>-1.8621739813986404</v>
      </c>
      <c r="G79" s="62">
        <f t="shared" si="63"/>
        <v>2.1158031602425964E-2</v>
      </c>
      <c r="H79" s="2">
        <f t="shared" si="69"/>
        <v>-0.18764924287290854</v>
      </c>
      <c r="I79" s="2">
        <f t="shared" si="64"/>
        <v>1.1525156142558302</v>
      </c>
      <c r="J79" s="62">
        <f t="shared" si="70"/>
        <v>0.48201280026072907</v>
      </c>
      <c r="K79" s="62">
        <f t="shared" si="65"/>
        <v>2.4374548953572288E-4</v>
      </c>
      <c r="L79" s="63">
        <f t="shared" si="71"/>
        <v>55914419404048.281</v>
      </c>
      <c r="M79" s="62">
        <f t="shared" si="66"/>
        <v>4853583362857548</v>
      </c>
      <c r="N79" s="2">
        <f t="shared" si="67"/>
        <v>20</v>
      </c>
      <c r="O79" s="11">
        <v>500</v>
      </c>
      <c r="P79" s="12"/>
      <c r="Q79" s="62">
        <f t="shared" si="68"/>
        <v>887313353638.71179</v>
      </c>
      <c r="R79" s="6"/>
    </row>
    <row r="80" spans="4:20" ht="15.75" x14ac:dyDescent="0.2">
      <c r="D80" s="2">
        <f t="shared" si="60"/>
        <v>0.78625931067766286</v>
      </c>
      <c r="E80" s="2">
        <f t="shared" si="61"/>
        <v>-0.10443419871425469</v>
      </c>
      <c r="F80" s="2">
        <f t="shared" si="62"/>
        <v>-2.0542975278354034</v>
      </c>
      <c r="G80" s="62">
        <f t="shared" si="63"/>
        <v>1.3594139274508022E-2</v>
      </c>
      <c r="H80" s="2">
        <f t="shared" si="69"/>
        <v>-0.18764924287290854</v>
      </c>
      <c r="I80" s="2">
        <f t="shared" si="64"/>
        <v>1.1525156142558302</v>
      </c>
      <c r="J80" s="62">
        <f t="shared" si="70"/>
        <v>0.48201280026072907</v>
      </c>
      <c r="K80" s="62">
        <f t="shared" si="65"/>
        <v>2.0312124127976907E-4</v>
      </c>
      <c r="L80" s="63">
        <f t="shared" si="71"/>
        <v>59954213423504.078</v>
      </c>
      <c r="M80" s="62">
        <f t="shared" si="66"/>
        <v>4012509584116398.5</v>
      </c>
      <c r="N80" s="2">
        <f t="shared" si="67"/>
        <v>16.666666666666668</v>
      </c>
      <c r="O80" s="11">
        <v>600</v>
      </c>
      <c r="P80" s="12"/>
      <c r="Q80" s="62">
        <f t="shared" si="68"/>
        <v>632227140045.573</v>
      </c>
      <c r="R80" s="19"/>
      <c r="S80" s="19"/>
      <c r="T80" s="19"/>
    </row>
    <row r="81" spans="4:20" ht="15.75" x14ac:dyDescent="0.2">
      <c r="D81" s="2">
        <f t="shared" si="60"/>
        <v>0.80172832080664547</v>
      </c>
      <c r="E81" s="2">
        <f t="shared" si="61"/>
        <v>-9.5972774812481551E-2</v>
      </c>
      <c r="F81" s="2">
        <f t="shared" si="62"/>
        <v>-2.2204955399881694</v>
      </c>
      <c r="G81" s="62">
        <f t="shared" si="63"/>
        <v>9.271578994546505E-3</v>
      </c>
      <c r="H81" s="2">
        <f t="shared" si="69"/>
        <v>-0.18764924287290854</v>
      </c>
      <c r="I81" s="2">
        <f t="shared" si="64"/>
        <v>1.1525156142558302</v>
      </c>
      <c r="J81" s="62">
        <f t="shared" si="70"/>
        <v>0.48201280026072907</v>
      </c>
      <c r="K81" s="62">
        <f t="shared" si="65"/>
        <v>1.7410392109694489E-4</v>
      </c>
      <c r="L81" s="63">
        <f t="shared" si="71"/>
        <v>63935043186733.742</v>
      </c>
      <c r="M81" s="62">
        <f t="shared" si="66"/>
        <v>3404741258500846</v>
      </c>
      <c r="N81" s="2">
        <f t="shared" si="67"/>
        <v>14.285714285714286</v>
      </c>
      <c r="O81" s="11">
        <v>700</v>
      </c>
      <c r="P81" s="12"/>
      <c r="Q81" s="62">
        <f t="shared" si="68"/>
        <v>470881737454.23779</v>
      </c>
      <c r="R81" s="6"/>
    </row>
    <row r="82" spans="4:20" ht="15.75" x14ac:dyDescent="0.2">
      <c r="D82" s="2">
        <f t="shared" si="60"/>
        <v>0.81390491489215466</v>
      </c>
      <c r="E82" s="2">
        <f t="shared" si="61"/>
        <v>-8.9426328955653681E-2</v>
      </c>
      <c r="F82" s="2">
        <f t="shared" si="62"/>
        <v>-2.3668421476279677</v>
      </c>
      <c r="G82" s="62">
        <f t="shared" si="63"/>
        <v>6.6192242594768861E-3</v>
      </c>
      <c r="H82" s="2">
        <f t="shared" si="69"/>
        <v>-0.18764924287290854</v>
      </c>
      <c r="I82" s="2">
        <f t="shared" si="64"/>
        <v>1.1525156142558302</v>
      </c>
      <c r="J82" s="62">
        <f t="shared" si="70"/>
        <v>0.48201280026072907</v>
      </c>
      <c r="K82" s="62">
        <f t="shared" si="65"/>
        <v>1.523409309598268E-4</v>
      </c>
      <c r="L82" s="63">
        <f t="shared" si="71"/>
        <v>67823786331033.422</v>
      </c>
      <c r="M82" s="62">
        <f t="shared" si="66"/>
        <v>2946948328485281.5</v>
      </c>
      <c r="N82" s="2">
        <f t="shared" si="67"/>
        <v>12.5</v>
      </c>
      <c r="O82" s="11">
        <v>800</v>
      </c>
      <c r="P82" s="12"/>
      <c r="Q82" s="62">
        <f t="shared" si="68"/>
        <v>362992437470.06689</v>
      </c>
      <c r="R82" s="6"/>
    </row>
    <row r="83" spans="4:20" ht="15.75" x14ac:dyDescent="0.2">
      <c r="D83" s="2">
        <f t="shared" si="60"/>
        <v>0.82376454807933752</v>
      </c>
      <c r="E83" s="2">
        <f t="shared" si="61"/>
        <v>-8.4196902480134062E-2</v>
      </c>
      <c r="F83" s="2">
        <f t="shared" si="62"/>
        <v>-2.4975299819488264</v>
      </c>
      <c r="G83" s="62">
        <f t="shared" si="63"/>
        <v>4.8991333522785414E-3</v>
      </c>
      <c r="H83" s="2">
        <f t="shared" si="69"/>
        <v>-0.18764924287290854</v>
      </c>
      <c r="I83" s="2">
        <f t="shared" si="64"/>
        <v>1.1525156142558302</v>
      </c>
      <c r="J83" s="62">
        <f t="shared" si="70"/>
        <v>0.48201280026072907</v>
      </c>
      <c r="K83" s="62">
        <f t="shared" si="65"/>
        <v>1.3541416085317937E-4</v>
      </c>
      <c r="L83" s="63">
        <f t="shared" si="71"/>
        <v>71611384152110.969</v>
      </c>
      <c r="M83" s="62">
        <f t="shared" si="66"/>
        <v>2590820031612673.5</v>
      </c>
      <c r="N83" s="2">
        <f t="shared" si="67"/>
        <v>11.111111111111111</v>
      </c>
      <c r="O83" s="11">
        <v>900</v>
      </c>
      <c r="P83" s="12"/>
      <c r="Q83" s="62">
        <f t="shared" si="68"/>
        <v>287595412941.18085</v>
      </c>
      <c r="R83" s="6"/>
    </row>
    <row r="84" spans="4:20" ht="15.75" x14ac:dyDescent="0.2">
      <c r="D84" s="24">
        <f t="shared" si="60"/>
        <v>0.83193213930973942</v>
      </c>
      <c r="E84" s="24">
        <f t="shared" si="61"/>
        <v>-7.9912097657931683E-2</v>
      </c>
      <c r="F84" s="24">
        <f t="shared" si="62"/>
        <v>-2.6155629684047588</v>
      </c>
      <c r="G84" s="25">
        <f t="shared" si="63"/>
        <v>3.7332431291150761E-3</v>
      </c>
      <c r="H84" s="24">
        <f t="shared" si="69"/>
        <v>-0.18764924287290854</v>
      </c>
      <c r="I84" s="24">
        <f t="shared" si="64"/>
        <v>1.1525156142558302</v>
      </c>
      <c r="J84" s="25">
        <f t="shared" si="70"/>
        <v>0.48201280026072907</v>
      </c>
      <c r="K84" s="62">
        <f t="shared" si="65"/>
        <v>1.2187274476786144E-4</v>
      </c>
      <c r="L84" s="26">
        <f t="shared" si="71"/>
        <v>75298240556451.203</v>
      </c>
      <c r="M84" s="25">
        <f t="shared" si="66"/>
        <v>2306558695525130.5</v>
      </c>
      <c r="N84" s="24">
        <f t="shared" si="67"/>
        <v>10</v>
      </c>
      <c r="O84" s="27">
        <v>1000</v>
      </c>
      <c r="P84" s="28"/>
      <c r="Q84" s="25">
        <f t="shared" si="68"/>
        <v>232991832558.98578</v>
      </c>
      <c r="R84" s="25"/>
      <c r="S84" s="25"/>
      <c r="T84" s="25"/>
    </row>
    <row r="85" spans="4:20" ht="15.75" x14ac:dyDescent="0.2">
      <c r="D85" s="2">
        <f t="shared" si="60"/>
        <v>0.83882550935965139</v>
      </c>
      <c r="E85" s="2">
        <f t="shared" si="61"/>
        <v>-7.6328370760726127E-2</v>
      </c>
      <c r="F85" s="2">
        <f t="shared" si="62"/>
        <v>-2.72316238484076</v>
      </c>
      <c r="G85" s="62">
        <f t="shared" si="63"/>
        <v>2.9139819548878159E-3</v>
      </c>
      <c r="H85" s="2">
        <f t="shared" si="69"/>
        <v>-0.18764924287290854</v>
      </c>
      <c r="I85" s="2">
        <f t="shared" si="64"/>
        <v>1.1525156142558302</v>
      </c>
      <c r="J85" s="62">
        <f t="shared" si="70"/>
        <v>0.48201280026072907</v>
      </c>
      <c r="K85" s="62">
        <f t="shared" si="65"/>
        <v>1.107934043344195E-4</v>
      </c>
      <c r="L85" s="63">
        <f t="shared" si="71"/>
        <v>78888524675193.109</v>
      </c>
      <c r="M85" s="62">
        <f t="shared" si="66"/>
        <v>2074850382405116</v>
      </c>
      <c r="N85" s="2">
        <f t="shared" si="67"/>
        <v>9.0909090909090917</v>
      </c>
      <c r="O85" s="11">
        <v>1100</v>
      </c>
      <c r="P85" s="12"/>
      <c r="Q85" s="62">
        <f t="shared" si="68"/>
        <v>192268720193.97787</v>
      </c>
      <c r="R85" s="6"/>
    </row>
    <row r="86" spans="4:20" ht="15.75" x14ac:dyDescent="0.2">
      <c r="D86" s="2">
        <f t="shared" si="60"/>
        <v>0.84473434191548169</v>
      </c>
      <c r="E86" s="2">
        <f t="shared" si="61"/>
        <v>-7.3279849606606065E-2</v>
      </c>
      <c r="F86" s="2">
        <f t="shared" si="62"/>
        <v>-2.8220150362407392</v>
      </c>
      <c r="G86" s="62">
        <f t="shared" si="63"/>
        <v>2.3207812476749661E-3</v>
      </c>
      <c r="H86" s="2">
        <f t="shared" si="69"/>
        <v>-0.18764924287290854</v>
      </c>
      <c r="I86" s="2">
        <f t="shared" si="64"/>
        <v>1.1525156142558302</v>
      </c>
      <c r="J86" s="62">
        <f t="shared" si="70"/>
        <v>0.48201280026072907</v>
      </c>
      <c r="K86" s="62">
        <f t="shared" si="65"/>
        <v>1.0156062063988453E-4</v>
      </c>
      <c r="L86" s="63">
        <f t="shared" si="71"/>
        <v>82387769635664.406</v>
      </c>
      <c r="M86" s="62">
        <f t="shared" si="66"/>
        <v>1882658747096371.7</v>
      </c>
      <c r="N86" s="2">
        <f t="shared" si="67"/>
        <v>8.3333333333333339</v>
      </c>
      <c r="O86" s="11">
        <v>1200</v>
      </c>
      <c r="P86" s="12"/>
      <c r="Q86" s="62">
        <f t="shared" si="68"/>
        <v>161142600621.26785</v>
      </c>
      <c r="R86" s="6"/>
    </row>
    <row r="87" spans="4:20" ht="15.75" x14ac:dyDescent="0.2">
      <c r="D87" s="2">
        <f t="shared" si="60"/>
        <v>0.84986578217609199</v>
      </c>
      <c r="E87" s="2">
        <f t="shared" si="61"/>
        <v>-7.0649656242034203E-2</v>
      </c>
      <c r="F87" s="2">
        <f t="shared" si="62"/>
        <v>-2.9134310370116423</v>
      </c>
      <c r="G87" s="62">
        <f t="shared" si="63"/>
        <v>1.8802612934158709E-3</v>
      </c>
      <c r="H87" s="2">
        <f t="shared" si="69"/>
        <v>-0.18764924287290854</v>
      </c>
      <c r="I87" s="2">
        <f t="shared" si="64"/>
        <v>1.1525156142558302</v>
      </c>
      <c r="J87" s="62">
        <f t="shared" si="70"/>
        <v>0.48201280026072907</v>
      </c>
      <c r="K87" s="62">
        <f t="shared" si="65"/>
        <v>9.3748265206047265E-5</v>
      </c>
      <c r="L87" s="63">
        <f t="shared" si="71"/>
        <v>85801817887422.609</v>
      </c>
      <c r="M87" s="62">
        <f t="shared" si="66"/>
        <v>1720883439537306.7</v>
      </c>
      <c r="N87" s="2">
        <f t="shared" si="67"/>
        <v>7.6923076923076925</v>
      </c>
      <c r="O87" s="11">
        <v>1300</v>
      </c>
      <c r="P87" s="12"/>
      <c r="Q87" s="62">
        <f t="shared" si="68"/>
        <v>136851391802.05289</v>
      </c>
      <c r="R87" s="6"/>
    </row>
    <row r="88" spans="4:20" ht="15.75" x14ac:dyDescent="0.2">
      <c r="D88" s="2">
        <f>10^E88</f>
        <v>0.85836701796378456</v>
      </c>
      <c r="E88" s="2">
        <f>LOG(J88)/(1+(F88/(I88-0.14*F88))^2)</f>
        <v>-6.6326978124490094E-2</v>
      </c>
      <c r="F88" s="2">
        <f>LOG(G88)+H88</f>
        <v>-3.0779001177171379</v>
      </c>
      <c r="G88" s="62">
        <f>M88*K88/L88</f>
        <v>1.2875055954833746E-3</v>
      </c>
      <c r="H88" s="2">
        <f>-0.4-0.67*LOG(J88)</f>
        <v>-0.18764924287290854</v>
      </c>
      <c r="I88" s="2">
        <f>0.75-1.27*LOG(J88)</f>
        <v>1.1525156142558302</v>
      </c>
      <c r="J88" s="62">
        <f t="shared" si="70"/>
        <v>0.48201280026072907</v>
      </c>
      <c r="K88" s="62">
        <f>$P$76*101325/760/8.314/O88/1000000</f>
        <v>8.124849651190763E-5</v>
      </c>
      <c r="L88" s="63">
        <f t="shared" si="71"/>
        <v>92396720595423.437</v>
      </c>
      <c r="M88" s="62">
        <f>$B$7*O88^$B$8*EXP(-$B$9/1.987/O88)</f>
        <v>1464166106181262</v>
      </c>
      <c r="N88" s="2">
        <f>10000/O88</f>
        <v>6.666666666666667</v>
      </c>
      <c r="O88" s="11">
        <v>1500</v>
      </c>
      <c r="P88" s="12"/>
      <c r="Q88" s="62">
        <f>L88/(1+L88/M88/K88)*D88</f>
        <v>101981150543.66797</v>
      </c>
      <c r="R88" s="6"/>
    </row>
    <row r="89" spans="4:20" ht="15.75" x14ac:dyDescent="0.2">
      <c r="D89" s="2">
        <f>10^E89</f>
        <v>0.86807006681517174</v>
      </c>
      <c r="E89" s="2">
        <f>LOG(J89)/(1+(F89/(I89-0.14*F89))^2)</f>
        <v>-6.1445219059582688E-2</v>
      </c>
      <c r="F89" s="2">
        <f>LOG(G89)+H89</f>
        <v>-3.289128359352858</v>
      </c>
      <c r="G89" s="62">
        <f>M89*K89/L89</f>
        <v>7.9162751997485271E-4</v>
      </c>
      <c r="H89" s="2">
        <f>-0.4-0.67*LOG(J89)</f>
        <v>-0.18764924287290854</v>
      </c>
      <c r="I89" s="2">
        <f>0.75-1.27*LOG(J89)</f>
        <v>1.1525156142558302</v>
      </c>
      <c r="J89" s="62">
        <f t="shared" si="70"/>
        <v>0.48201280026072907</v>
      </c>
      <c r="K89" s="62">
        <f>$P$76*101325/760/8.314/O89/1000000</f>
        <v>6.7707080426589685E-5</v>
      </c>
      <c r="L89" s="63">
        <f t="shared" si="71"/>
        <v>101779852540394.17</v>
      </c>
      <c r="M89" s="62">
        <f>$B$7*O89^$B$8*EXP(-$B$9/1.987/O89)</f>
        <v>1190004527477994.7</v>
      </c>
      <c r="N89" s="2">
        <f>10000/O89</f>
        <v>5.5555555555555554</v>
      </c>
      <c r="O89" s="11">
        <v>1800</v>
      </c>
      <c r="P89" s="12"/>
      <c r="Q89" s="62">
        <f>L89/(1+L89/M89/K89)*D89</f>
        <v>69886584853.788254</v>
      </c>
      <c r="R89" s="6"/>
    </row>
    <row r="90" spans="4:20" x14ac:dyDescent="0.2">
      <c r="D90" s="2" t="s">
        <v>1</v>
      </c>
      <c r="E90" s="2" t="s">
        <v>2</v>
      </c>
      <c r="F90" s="58" t="s">
        <v>3</v>
      </c>
      <c r="G90" s="58" t="s">
        <v>4</v>
      </c>
      <c r="H90" s="58" t="s">
        <v>5</v>
      </c>
      <c r="I90" s="58" t="s">
        <v>6</v>
      </c>
      <c r="J90" s="58" t="s">
        <v>7</v>
      </c>
      <c r="K90" s="58" t="s">
        <v>8</v>
      </c>
      <c r="L90" s="58" t="s">
        <v>9</v>
      </c>
      <c r="M90" s="58" t="s">
        <v>10</v>
      </c>
      <c r="N90" s="2" t="s">
        <v>11</v>
      </c>
      <c r="O90" s="58"/>
      <c r="P90" s="58">
        <f>760*20</f>
        <v>15200</v>
      </c>
      <c r="Q90" s="62" t="s">
        <v>13</v>
      </c>
    </row>
    <row r="91" spans="4:20" ht="15.75" x14ac:dyDescent="0.2">
      <c r="D91" s="2">
        <f t="shared" ref="D91:D101" si="72">10^E91</f>
        <v>0.64441230096080704</v>
      </c>
      <c r="E91" s="2">
        <f t="shared" ref="E91:E101" si="73">LOG(J91)/(1+(F91/(I91-0.14*F91))^2)</f>
        <v>-0.19083617807837477</v>
      </c>
      <c r="F91" s="2">
        <f t="shared" ref="F91:F101" si="74">LOG(G91)+H91</f>
        <v>-1.0571926307621744</v>
      </c>
      <c r="G91" s="62">
        <f t="shared" ref="G91:G101" si="75">M91*K91/L91</f>
        <v>0.13503819121466493</v>
      </c>
      <c r="H91" s="2">
        <f>-0.4-0.67*LOG(J91)</f>
        <v>-0.18764924287290854</v>
      </c>
      <c r="I91" s="2">
        <f t="shared" ref="I91:I101" si="76">0.75-1.27*LOG(J91)</f>
        <v>1.1525156142558302</v>
      </c>
      <c r="J91" s="62">
        <f>(1-$B$10)*EXP(-O91/$B$11)+$B$10*EXP(-O91/$B$12)+EXP(-B$13/O91)</f>
        <v>0.48201280026072907</v>
      </c>
      <c r="K91" s="62">
        <f>$P$90*101325/760/8.314/O91/1000000</f>
        <v>8.1248496511907627E-4</v>
      </c>
      <c r="L91" s="63">
        <f>B$4*O91^B$5*EXP(-B$6/1.987/O91)</f>
        <v>48271057302442.148</v>
      </c>
      <c r="M91" s="62">
        <f t="shared" ref="M91:M101" si="77">$B$7*O91^$B$8*EXP(-$B$9/1.987/O91)</f>
        <v>8022839247475676</v>
      </c>
      <c r="N91" s="2">
        <f t="shared" ref="N91:N101" si="78">10000/O91</f>
        <v>33.333333333333336</v>
      </c>
      <c r="O91" s="11">
        <v>300</v>
      </c>
      <c r="P91" s="12"/>
      <c r="Q91" s="62">
        <f t="shared" ref="Q91:Q101" si="79">L91/(1+L91/M91/K91)*D91</f>
        <v>3700809845380.7959</v>
      </c>
      <c r="R91" s="6"/>
    </row>
    <row r="92" spans="4:20" ht="15.75" x14ac:dyDescent="0.2">
      <c r="D92" s="2">
        <f t="shared" si="72"/>
        <v>0.69325853137460403</v>
      </c>
      <c r="E92" s="2">
        <f t="shared" si="73"/>
        <v>-0.15910477720467625</v>
      </c>
      <c r="F92" s="2">
        <f t="shared" si="74"/>
        <v>-1.3339159470566955</v>
      </c>
      <c r="G92" s="62">
        <f t="shared" si="75"/>
        <v>7.1405768209700668E-2</v>
      </c>
      <c r="H92" s="2">
        <f t="shared" ref="H92:H101" si="80">-0.4-0.67*LOG(J92)</f>
        <v>-0.18764924287290854</v>
      </c>
      <c r="I92" s="2">
        <f t="shared" si="76"/>
        <v>1.1525156142558302</v>
      </c>
      <c r="J92" s="62">
        <f t="shared" ref="J92:J103" si="81">(1-$B$10)*EXP(-O92/$B$11)+$B$10*EXP(-O92/$B$12)+EXP(-B$13/O92)</f>
        <v>0.48201280026072907</v>
      </c>
      <c r="K92" s="62">
        <f t="shared" ref="K92:K101" si="82">$P$90*101325/760/8.314/O92/1000000</f>
        <v>6.093637238393072E-4</v>
      </c>
      <c r="L92" s="63">
        <f t="shared" ref="L92:L103" si="83">B$4*O92^B$5*EXP(-B$6/1.987/O92)</f>
        <v>51915144096005.555</v>
      </c>
      <c r="M92" s="62">
        <f t="shared" si="77"/>
        <v>6083461487560017</v>
      </c>
      <c r="N92" s="2">
        <f t="shared" si="78"/>
        <v>25</v>
      </c>
      <c r="O92" s="11">
        <v>400</v>
      </c>
      <c r="P92" s="12"/>
      <c r="Q92" s="62">
        <f t="shared" si="79"/>
        <v>2398659499040.8042</v>
      </c>
      <c r="R92" s="19"/>
      <c r="S92" s="19"/>
      <c r="T92" s="19"/>
    </row>
    <row r="93" spans="4:20" ht="15.75" x14ac:dyDescent="0.2">
      <c r="D93" s="2">
        <f t="shared" si="72"/>
        <v>0.72775911884833766</v>
      </c>
      <c r="E93" s="2">
        <f t="shared" si="73"/>
        <v>-0.13801234412933969</v>
      </c>
      <c r="F93" s="2">
        <f t="shared" si="74"/>
        <v>-1.5611439857346594</v>
      </c>
      <c r="G93" s="62">
        <f t="shared" si="75"/>
        <v>4.2316063204851928E-2</v>
      </c>
      <c r="H93" s="2">
        <f t="shared" si="80"/>
        <v>-0.18764924287290854</v>
      </c>
      <c r="I93" s="2">
        <f t="shared" si="76"/>
        <v>1.1525156142558302</v>
      </c>
      <c r="J93" s="62">
        <f t="shared" si="81"/>
        <v>0.48201280026072907</v>
      </c>
      <c r="K93" s="62">
        <f t="shared" si="82"/>
        <v>4.8749097907144575E-4</v>
      </c>
      <c r="L93" s="63">
        <f t="shared" si="83"/>
        <v>55914419404048.281</v>
      </c>
      <c r="M93" s="62">
        <f t="shared" si="77"/>
        <v>4853583362857548</v>
      </c>
      <c r="N93" s="2">
        <f t="shared" si="78"/>
        <v>20</v>
      </c>
      <c r="O93" s="11">
        <v>500</v>
      </c>
      <c r="P93" s="12"/>
      <c r="Q93" s="62">
        <f t="shared" si="79"/>
        <v>1652027612370.5891</v>
      </c>
      <c r="R93" s="6"/>
      <c r="S93" s="6"/>
      <c r="T93" s="6"/>
    </row>
    <row r="94" spans="4:20" ht="15.75" x14ac:dyDescent="0.2">
      <c r="D94" s="2">
        <f t="shared" si="72"/>
        <v>0.75303486270087083</v>
      </c>
      <c r="E94" s="2">
        <f t="shared" si="73"/>
        <v>-0.12318491712183774</v>
      </c>
      <c r="F94" s="2">
        <f t="shared" si="74"/>
        <v>-1.7532675321714224</v>
      </c>
      <c r="G94" s="62">
        <f t="shared" si="75"/>
        <v>2.7188278549016044E-2</v>
      </c>
      <c r="H94" s="2">
        <f t="shared" si="80"/>
        <v>-0.18764924287290854</v>
      </c>
      <c r="I94" s="2">
        <f t="shared" si="76"/>
        <v>1.1525156142558302</v>
      </c>
      <c r="J94" s="62">
        <f t="shared" si="81"/>
        <v>0.48201280026072907</v>
      </c>
      <c r="K94" s="62">
        <f t="shared" si="82"/>
        <v>4.0624248255953814E-4</v>
      </c>
      <c r="L94" s="63">
        <f t="shared" si="83"/>
        <v>59954213423504.078</v>
      </c>
      <c r="M94" s="62">
        <f t="shared" si="77"/>
        <v>4012509584116398.5</v>
      </c>
      <c r="N94" s="2">
        <f t="shared" si="78"/>
        <v>16.666666666666668</v>
      </c>
      <c r="O94" s="11">
        <v>600</v>
      </c>
      <c r="P94" s="12"/>
      <c r="Q94" s="62">
        <f t="shared" si="79"/>
        <v>1194995990771.4402</v>
      </c>
      <c r="R94" s="6"/>
      <c r="S94" s="6"/>
      <c r="T94" s="6"/>
    </row>
    <row r="95" spans="4:20" ht="15.75" x14ac:dyDescent="0.2">
      <c r="D95" s="2">
        <f t="shared" si="72"/>
        <v>0.77226916740791451</v>
      </c>
      <c r="E95" s="2">
        <f t="shared" si="73"/>
        <v>-0.11223130387962156</v>
      </c>
      <c r="F95" s="2">
        <f t="shared" si="74"/>
        <v>-1.9194655443241886</v>
      </c>
      <c r="G95" s="62">
        <f t="shared" si="75"/>
        <v>1.854315798909301E-2</v>
      </c>
      <c r="H95" s="2">
        <f t="shared" si="80"/>
        <v>-0.18764924287290854</v>
      </c>
      <c r="I95" s="2">
        <f t="shared" si="76"/>
        <v>1.1525156142558302</v>
      </c>
      <c r="J95" s="62">
        <f t="shared" si="81"/>
        <v>0.48201280026072907</v>
      </c>
      <c r="K95" s="62">
        <f t="shared" si="82"/>
        <v>3.4820784219388978E-4</v>
      </c>
      <c r="L95" s="63">
        <f t="shared" si="83"/>
        <v>63935043186733.742</v>
      </c>
      <c r="M95" s="62">
        <f t="shared" si="77"/>
        <v>3404741258500846</v>
      </c>
      <c r="N95" s="2">
        <f t="shared" si="78"/>
        <v>14.285714285714286</v>
      </c>
      <c r="O95" s="11">
        <v>700</v>
      </c>
      <c r="P95" s="12"/>
      <c r="Q95" s="62">
        <f t="shared" si="79"/>
        <v>898901120463.67883</v>
      </c>
      <c r="R95" s="19"/>
      <c r="S95" s="19"/>
      <c r="T95" s="19"/>
    </row>
    <row r="96" spans="4:20" ht="15.75" x14ac:dyDescent="0.2">
      <c r="D96" s="2">
        <f t="shared" si="72"/>
        <v>0.78739190772803747</v>
      </c>
      <c r="E96" s="2">
        <f t="shared" si="73"/>
        <v>-0.10380905290255683</v>
      </c>
      <c r="F96" s="2">
        <f t="shared" si="74"/>
        <v>-2.0658121519639869</v>
      </c>
      <c r="G96" s="62">
        <f t="shared" si="75"/>
        <v>1.3238448518953772E-2</v>
      </c>
      <c r="H96" s="2">
        <f t="shared" si="80"/>
        <v>-0.18764924287290854</v>
      </c>
      <c r="I96" s="2">
        <f t="shared" si="76"/>
        <v>1.1525156142558302</v>
      </c>
      <c r="J96" s="62">
        <f t="shared" si="81"/>
        <v>0.48201280026072907</v>
      </c>
      <c r="K96" s="62">
        <f t="shared" si="82"/>
        <v>3.046818619196536E-4</v>
      </c>
      <c r="L96" s="63">
        <f t="shared" si="83"/>
        <v>67823786331033.422</v>
      </c>
      <c r="M96" s="62">
        <f t="shared" si="77"/>
        <v>2946948328485281.5</v>
      </c>
      <c r="N96" s="2">
        <f t="shared" si="78"/>
        <v>12.5</v>
      </c>
      <c r="O96" s="11">
        <v>800</v>
      </c>
      <c r="P96" s="12"/>
      <c r="Q96" s="62">
        <f t="shared" si="79"/>
        <v>697747690710.82532</v>
      </c>
      <c r="R96" s="6"/>
      <c r="S96" s="6"/>
      <c r="T96" s="6"/>
    </row>
    <row r="97" spans="4:20" ht="15.75" x14ac:dyDescent="0.2">
      <c r="D97" s="2">
        <f t="shared" si="72"/>
        <v>0.7996076028258946</v>
      </c>
      <c r="E97" s="2">
        <f t="shared" si="73"/>
        <v>-9.7123085177187998E-2</v>
      </c>
      <c r="F97" s="2">
        <f t="shared" si="74"/>
        <v>-2.1964999862848456</v>
      </c>
      <c r="G97" s="62">
        <f t="shared" si="75"/>
        <v>9.7982667045570827E-3</v>
      </c>
      <c r="H97" s="2">
        <f t="shared" si="80"/>
        <v>-0.18764924287290854</v>
      </c>
      <c r="I97" s="2">
        <f t="shared" si="76"/>
        <v>1.1525156142558302</v>
      </c>
      <c r="J97" s="62">
        <f t="shared" si="81"/>
        <v>0.48201280026072907</v>
      </c>
      <c r="K97" s="62">
        <f t="shared" si="82"/>
        <v>2.7082832170635874E-4</v>
      </c>
      <c r="L97" s="63">
        <f t="shared" si="83"/>
        <v>71611384152110.969</v>
      </c>
      <c r="M97" s="62">
        <f t="shared" si="77"/>
        <v>2590820031612673.5</v>
      </c>
      <c r="N97" s="2">
        <f t="shared" si="78"/>
        <v>11.111111111111111</v>
      </c>
      <c r="O97" s="11">
        <v>900</v>
      </c>
      <c r="P97" s="12"/>
      <c r="Q97" s="62">
        <f t="shared" si="79"/>
        <v>555614560830.93164</v>
      </c>
      <c r="R97" s="6"/>
      <c r="S97" s="6"/>
      <c r="T97" s="6"/>
    </row>
    <row r="98" spans="4:20" ht="15.75" x14ac:dyDescent="0.2">
      <c r="D98" s="24">
        <f t="shared" si="72"/>
        <v>0.81619224948108726</v>
      </c>
      <c r="E98" s="24">
        <f t="shared" si="73"/>
        <v>-8.8207533580852981E-2</v>
      </c>
      <c r="F98" s="24">
        <f t="shared" si="74"/>
        <v>-2.3961110178614753</v>
      </c>
      <c r="G98" s="25">
        <f t="shared" si="75"/>
        <v>6.1878278815368781E-3</v>
      </c>
      <c r="H98" s="24">
        <f t="shared" si="80"/>
        <v>-0.18764924287290854</v>
      </c>
      <c r="I98" s="24">
        <f t="shared" si="76"/>
        <v>1.1525156142558302</v>
      </c>
      <c r="J98" s="25">
        <f t="shared" si="81"/>
        <v>0.48201280026072907</v>
      </c>
      <c r="K98" s="25">
        <f t="shared" si="82"/>
        <v>2.2673999026578872E-4</v>
      </c>
      <c r="L98" s="26">
        <f t="shared" si="83"/>
        <v>77999715265208.937</v>
      </c>
      <c r="M98" s="25">
        <f t="shared" si="77"/>
        <v>2128644410296692</v>
      </c>
      <c r="N98" s="24">
        <f t="shared" si="78"/>
        <v>9.3023255813953494</v>
      </c>
      <c r="O98" s="27">
        <v>1075</v>
      </c>
      <c r="P98" s="28"/>
      <c r="Q98" s="25">
        <f t="shared" si="79"/>
        <v>391511613805.88605</v>
      </c>
      <c r="R98" s="25"/>
      <c r="S98" s="25"/>
      <c r="T98" s="25"/>
    </row>
    <row r="99" spans="4:20" ht="15.75" x14ac:dyDescent="0.2">
      <c r="D99" s="24">
        <f t="shared" si="72"/>
        <v>0.82238251251901306</v>
      </c>
      <c r="E99" s="24">
        <f t="shared" si="73"/>
        <v>-8.4926133267626075E-2</v>
      </c>
      <c r="F99" s="24">
        <f t="shared" si="74"/>
        <v>-2.4784762804017206</v>
      </c>
      <c r="G99" s="25">
        <f t="shared" si="75"/>
        <v>5.1188565894621195E-3</v>
      </c>
      <c r="H99" s="24">
        <f t="shared" si="80"/>
        <v>-0.18764924287290854</v>
      </c>
      <c r="I99" s="24">
        <f t="shared" si="76"/>
        <v>1.1525156142558302</v>
      </c>
      <c r="J99" s="25">
        <f t="shared" si="81"/>
        <v>0.48201280026072907</v>
      </c>
      <c r="K99" s="25">
        <f t="shared" si="82"/>
        <v>2.1085249959837618E-4</v>
      </c>
      <c r="L99" s="26">
        <f t="shared" si="83"/>
        <v>80858943439955.328</v>
      </c>
      <c r="M99" s="25">
        <f t="shared" si="77"/>
        <v>1963008910176314.2</v>
      </c>
      <c r="N99" s="24">
        <f t="shared" si="78"/>
        <v>8.6505190311418687</v>
      </c>
      <c r="O99" s="27">
        <v>1156</v>
      </c>
      <c r="P99" s="28"/>
      <c r="Q99" s="25">
        <f t="shared" si="79"/>
        <v>338654983414.51672</v>
      </c>
      <c r="R99" s="25"/>
      <c r="S99" s="25"/>
      <c r="T99" s="25"/>
    </row>
    <row r="100" spans="4:20" ht="15.75" x14ac:dyDescent="0.2">
      <c r="D100" s="2">
        <f t="shared" si="72"/>
        <v>0.83332966324172431</v>
      </c>
      <c r="E100" s="2">
        <f t="shared" si="73"/>
        <v>-7.9183158732477318E-2</v>
      </c>
      <c r="F100" s="2">
        <f t="shared" si="74"/>
        <v>-2.6367520016653527</v>
      </c>
      <c r="G100" s="62">
        <f t="shared" si="75"/>
        <v>3.5554718228972691E-3</v>
      </c>
      <c r="H100" s="2">
        <f t="shared" si="80"/>
        <v>-0.18764924287290854</v>
      </c>
      <c r="I100" s="2">
        <f t="shared" si="76"/>
        <v>1.1525156142558302</v>
      </c>
      <c r="J100" s="62">
        <f t="shared" si="81"/>
        <v>0.48201280026072907</v>
      </c>
      <c r="K100" s="62">
        <f>10*101325/8.314/O100/1000000</f>
        <v>1.1960033833941261E-4</v>
      </c>
      <c r="L100" s="63">
        <f t="shared" si="83"/>
        <v>75987666915526.359</v>
      </c>
      <c r="M100" s="62">
        <f t="shared" si="77"/>
        <v>2258956892238369.5</v>
      </c>
      <c r="N100" s="2">
        <f t="shared" si="78"/>
        <v>9.8135426889106974</v>
      </c>
      <c r="O100" s="11">
        <v>1019</v>
      </c>
      <c r="P100" s="12"/>
      <c r="Q100" s="62">
        <f t="shared" si="79"/>
        <v>224344697697.57895</v>
      </c>
      <c r="R100" s="6"/>
      <c r="S100" s="25"/>
    </row>
    <row r="101" spans="4:20" ht="15.75" x14ac:dyDescent="0.2">
      <c r="D101" s="2">
        <f t="shared" si="72"/>
        <v>0.83172185787767638</v>
      </c>
      <c r="E101" s="2">
        <f t="shared" si="73"/>
        <v>-8.0021884988990169E-2</v>
      </c>
      <c r="F101" s="2">
        <f t="shared" si="74"/>
        <v>-2.612401041347661</v>
      </c>
      <c r="G101" s="62">
        <f t="shared" si="75"/>
        <v>3.7605225868317417E-3</v>
      </c>
      <c r="H101" s="2">
        <f t="shared" si="80"/>
        <v>-0.18764924287290854</v>
      </c>
      <c r="I101" s="2">
        <f t="shared" si="76"/>
        <v>1.1525156142558302</v>
      </c>
      <c r="J101" s="62">
        <f t="shared" si="81"/>
        <v>0.48201280026072907</v>
      </c>
      <c r="K101" s="62">
        <f t="shared" si="82"/>
        <v>1.8749653041209453E-4</v>
      </c>
      <c r="L101" s="63">
        <f t="shared" si="83"/>
        <v>85801817887422.609</v>
      </c>
      <c r="M101" s="62">
        <f t="shared" si="77"/>
        <v>1720883439537306.7</v>
      </c>
      <c r="N101" s="2">
        <f t="shared" si="78"/>
        <v>7.6923076923076925</v>
      </c>
      <c r="O101" s="11">
        <v>1300</v>
      </c>
      <c r="P101" s="12"/>
      <c r="Q101" s="62">
        <f t="shared" si="79"/>
        <v>267357698986.16214</v>
      </c>
      <c r="R101" s="6"/>
    </row>
    <row r="102" spans="4:20" ht="15.75" x14ac:dyDescent="0.2">
      <c r="D102" s="2">
        <f>10^E102</f>
        <v>0.84208401110535691</v>
      </c>
      <c r="E102" s="2">
        <f>LOG(J102)/(1+(F102/(I102-0.14*F102))^2)</f>
        <v>-7.4644578643568119E-2</v>
      </c>
      <c r="F102" s="2">
        <f>LOG(G102)+H102</f>
        <v>-2.7768701220531566</v>
      </c>
      <c r="G102" s="62">
        <f>M102*K102/L102</f>
        <v>2.5750111909667492E-3</v>
      </c>
      <c r="H102" s="2">
        <f>-0.4-0.67*LOG(J102)</f>
        <v>-0.18764924287290854</v>
      </c>
      <c r="I102" s="2">
        <f>0.75-1.27*LOG(J102)</f>
        <v>1.1525156142558302</v>
      </c>
      <c r="J102" s="62">
        <f t="shared" si="81"/>
        <v>0.48201280026072907</v>
      </c>
      <c r="K102" s="62">
        <f>$P$90*101325/760/8.314/O102/1000000</f>
        <v>1.6249699302381526E-4</v>
      </c>
      <c r="L102" s="63">
        <f t="shared" si="83"/>
        <v>92396720595423.437</v>
      </c>
      <c r="M102" s="62">
        <f>$B$7*O102^$B$8*EXP(-$B$9/1.987/O102)</f>
        <v>1464166106181262</v>
      </c>
      <c r="N102" s="2">
        <f>10000/O102</f>
        <v>6.666666666666667</v>
      </c>
      <c r="O102" s="11">
        <v>1500</v>
      </c>
      <c r="P102" s="12"/>
      <c r="Q102" s="62">
        <f>L102/(1+L102/M102/K102)*D102</f>
        <v>199836228010.48126</v>
      </c>
      <c r="R102" s="6"/>
    </row>
    <row r="103" spans="4:20" ht="15.75" x14ac:dyDescent="0.2">
      <c r="D103" s="2">
        <f>10^E103</f>
        <v>0.85383647158790676</v>
      </c>
      <c r="E103" s="2">
        <f>LOG(J103)/(1+(F103/(I103-0.14*F103))^2)</f>
        <v>-6.8625298265874449E-2</v>
      </c>
      <c r="F103" s="2">
        <f>LOG(G103)+H103</f>
        <v>-2.9880983636888767</v>
      </c>
      <c r="G103" s="62">
        <f>M103*K103/L103</f>
        <v>1.5832550399497054E-3</v>
      </c>
      <c r="H103" s="2">
        <f>-0.4-0.67*LOG(J103)</f>
        <v>-0.18764924287290854</v>
      </c>
      <c r="I103" s="2">
        <f>0.75-1.27*LOG(J103)</f>
        <v>1.1525156142558302</v>
      </c>
      <c r="J103" s="62">
        <f t="shared" si="81"/>
        <v>0.48201280026072907</v>
      </c>
      <c r="K103" s="62">
        <f>$P$90*101325/760/8.314/O103/1000000</f>
        <v>1.3541416085317937E-4</v>
      </c>
      <c r="L103" s="63">
        <f t="shared" si="83"/>
        <v>101779852540394.17</v>
      </c>
      <c r="M103" s="62">
        <f>$B$7*O103^$B$8*EXP(-$B$9/1.987/O103)</f>
        <v>1190004527477994.7</v>
      </c>
      <c r="N103" s="2">
        <f>10000/O103</f>
        <v>5.5555555555555554</v>
      </c>
      <c r="O103" s="11">
        <v>1800</v>
      </c>
      <c r="P103" s="12"/>
      <c r="Q103" s="62">
        <f>L103/(1+L103/M103/K103)*D103</f>
        <v>137372671174.07245</v>
      </c>
      <c r="R103" s="6"/>
    </row>
    <row r="104" spans="4:20" x14ac:dyDescent="0.2">
      <c r="D104" s="2" t="s">
        <v>1</v>
      </c>
      <c r="E104" s="2" t="s">
        <v>2</v>
      </c>
      <c r="F104" s="58" t="s">
        <v>3</v>
      </c>
      <c r="G104" s="58" t="s">
        <v>4</v>
      </c>
      <c r="H104" s="58" t="s">
        <v>5</v>
      </c>
      <c r="I104" s="58" t="s">
        <v>6</v>
      </c>
      <c r="J104" s="58" t="s">
        <v>7</v>
      </c>
      <c r="K104" s="58" t="s">
        <v>8</v>
      </c>
      <c r="L104" s="58" t="s">
        <v>9</v>
      </c>
      <c r="M104" s="58" t="s">
        <v>10</v>
      </c>
      <c r="N104" s="2" t="s">
        <v>11</v>
      </c>
      <c r="O104" s="58"/>
      <c r="P104" s="58">
        <f>760*30</f>
        <v>22800</v>
      </c>
      <c r="Q104" s="62" t="s">
        <v>13</v>
      </c>
    </row>
    <row r="105" spans="4:20" ht="15.75" x14ac:dyDescent="0.2">
      <c r="D105" s="2">
        <f t="shared" ref="D105:D115" si="84">10^E105</f>
        <v>0.61010243287843846</v>
      </c>
      <c r="E105" s="2">
        <f t="shared" ref="E105:E115" si="85">LOG(J105)/(1+(F105/(I105-0.14*F105))^2)</f>
        <v>-0.2145972431872972</v>
      </c>
      <c r="F105" s="2">
        <f t="shared" ref="F105:F115" si="86">LOG(G105)+H105</f>
        <v>-0.88110137170649305</v>
      </c>
      <c r="G105" s="62">
        <f t="shared" ref="G105:G115" si="87">M105*K105/L105</f>
        <v>0.20255728682199739</v>
      </c>
      <c r="H105" s="2">
        <f>-0.4-0.67*LOG(J105)</f>
        <v>-0.18764924287290854</v>
      </c>
      <c r="I105" s="2">
        <f t="shared" ref="I105:I115" si="88">0.75-1.27*LOG(J105)</f>
        <v>1.1525156142558302</v>
      </c>
      <c r="J105" s="62">
        <f>(1-$B$10)*EXP(-O105/$B$11)+$B$10*EXP(-O105/$B$12)+EXP(-B$13/O105)</f>
        <v>0.48201280026072907</v>
      </c>
      <c r="K105" s="62">
        <f>$P$104*101325/760/8.314/O105/1000000</f>
        <v>1.2187274476786144E-3</v>
      </c>
      <c r="L105" s="63">
        <f>B$4*O105^B$5*EXP(-B$6/1.987/O105)</f>
        <v>48271057302442.148</v>
      </c>
      <c r="M105" s="62">
        <f t="shared" ref="M105:M115" si="89">$B$7*O105^$B$8*EXP(-$B$9/1.987/O105)</f>
        <v>8022839247475676</v>
      </c>
      <c r="N105" s="2">
        <f t="shared" ref="N105:N115" si="90">10000/O105</f>
        <v>33.333333333333336</v>
      </c>
      <c r="O105" s="11">
        <v>300</v>
      </c>
      <c r="P105" s="12"/>
      <c r="Q105" s="62">
        <f t="shared" ref="Q105:Q115" si="91">L105/(1+L105/M105/K105)*D105</f>
        <v>4960570945080.2305</v>
      </c>
      <c r="R105" s="19"/>
      <c r="S105" s="19"/>
      <c r="T105" s="19"/>
    </row>
    <row r="106" spans="4:20" ht="15.75" x14ac:dyDescent="0.2">
      <c r="D106" s="24">
        <f t="shared" si="84"/>
        <v>0.81598702833801728</v>
      </c>
      <c r="E106" s="24">
        <f t="shared" si="85"/>
        <v>-8.8316745126038015E-2</v>
      </c>
      <c r="F106" s="24">
        <f t="shared" si="86"/>
        <v>-2.39346022102142</v>
      </c>
      <c r="G106" s="25">
        <f t="shared" si="87"/>
        <v>6.2257119340980802E-3</v>
      </c>
      <c r="H106" s="24">
        <f t="shared" ref="H106:H115" si="92">-0.4-0.67*LOG(J106)</f>
        <v>-0.18764924287290854</v>
      </c>
      <c r="I106" s="24">
        <f t="shared" si="88"/>
        <v>1.1525156142558302</v>
      </c>
      <c r="J106" s="25">
        <f t="shared" ref="J106:J117" si="93">(1-$B$10)*EXP(-O106/$B$11)+$B$10*EXP(-O106/$B$12)+EXP(-B$13/O106)</f>
        <v>0.48201280026072907</v>
      </c>
      <c r="K106" s="25">
        <f>23.4*101325/8.314/O106/1000000</f>
        <v>2.5037947564248971E-4</v>
      </c>
      <c r="L106" s="26">
        <f t="shared" ref="L106:L117" si="94">B$4*O106^B$5*EXP(-B$6/1.987/O106)</f>
        <v>80263737500032.172</v>
      </c>
      <c r="M106" s="25">
        <f t="shared" si="89"/>
        <v>1995766254989578</v>
      </c>
      <c r="N106" s="24">
        <f t="shared" si="90"/>
        <v>8.7796312554872689</v>
      </c>
      <c r="O106" s="27">
        <v>1139</v>
      </c>
      <c r="P106" s="28"/>
      <c r="Q106" s="25">
        <f t="shared" si="91"/>
        <v>405225013152.56879</v>
      </c>
      <c r="R106" s="25"/>
      <c r="S106" s="19"/>
      <c r="T106" s="25"/>
    </row>
    <row r="107" spans="4:20" ht="15.75" x14ac:dyDescent="0.2">
      <c r="D107" s="24">
        <f t="shared" si="84"/>
        <v>0.81706562644585579</v>
      </c>
      <c r="E107" s="24">
        <f t="shared" si="85"/>
        <v>-8.7743059674845539E-2</v>
      </c>
      <c r="F107" s="24">
        <f t="shared" si="86"/>
        <v>-2.407447817269289</v>
      </c>
      <c r="G107" s="25">
        <f t="shared" si="87"/>
        <v>6.028391177830157E-3</v>
      </c>
      <c r="H107" s="24">
        <f t="shared" si="92"/>
        <v>-0.18764924287290854</v>
      </c>
      <c r="I107" s="24">
        <f t="shared" si="88"/>
        <v>1.1525156142558302</v>
      </c>
      <c r="J107" s="25">
        <f t="shared" si="93"/>
        <v>0.48201280026072907</v>
      </c>
      <c r="K107" s="25">
        <f>25.3*101325/8.314/O107/1000000</f>
        <v>2.5954380830192712E-4</v>
      </c>
      <c r="L107" s="26">
        <f t="shared" si="94"/>
        <v>81972473497796.375</v>
      </c>
      <c r="M107" s="25">
        <f t="shared" si="89"/>
        <v>1903964264422650.2</v>
      </c>
      <c r="N107" s="24">
        <f t="shared" si="90"/>
        <v>8.4175084175084169</v>
      </c>
      <c r="O107" s="27">
        <v>1188</v>
      </c>
      <c r="P107" s="28"/>
      <c r="Q107" s="25">
        <f t="shared" si="91"/>
        <v>401343440011.84778</v>
      </c>
      <c r="R107" s="25"/>
      <c r="S107" s="19"/>
      <c r="T107" s="25"/>
    </row>
    <row r="108" spans="4:20" ht="15.75" x14ac:dyDescent="0.2">
      <c r="D108" s="24">
        <f t="shared" si="84"/>
        <v>0.81000362577563778</v>
      </c>
      <c r="E108" s="24">
        <f t="shared" si="85"/>
        <v>-9.1513037107982517E-2</v>
      </c>
      <c r="F108" s="24">
        <f t="shared" si="86"/>
        <v>-2.3182760738681307</v>
      </c>
      <c r="G108" s="25">
        <f t="shared" si="87"/>
        <v>7.4024105650585936E-3</v>
      </c>
      <c r="H108" s="24">
        <f t="shared" si="92"/>
        <v>-0.18764924287290854</v>
      </c>
      <c r="I108" s="24">
        <f t="shared" si="88"/>
        <v>1.1525156142558302</v>
      </c>
      <c r="J108" s="25">
        <f t="shared" si="93"/>
        <v>0.48201280026072907</v>
      </c>
      <c r="K108" s="25">
        <f>24.1*101325/8.314/O108/1000000</f>
        <v>2.7246133106729689E-4</v>
      </c>
      <c r="L108" s="26">
        <f t="shared" si="94"/>
        <v>78106675902592.969</v>
      </c>
      <c r="M108" s="25">
        <f t="shared" si="89"/>
        <v>2122054093467502</v>
      </c>
      <c r="N108" s="24">
        <f t="shared" si="90"/>
        <v>9.2764378478664185</v>
      </c>
      <c r="O108" s="27">
        <v>1078</v>
      </c>
      <c r="P108" s="28"/>
      <c r="Q108" s="25">
        <f t="shared" si="91"/>
        <v>464884751696.46338</v>
      </c>
      <c r="R108" s="25"/>
      <c r="S108" s="19"/>
      <c r="T108" s="25"/>
    </row>
    <row r="109" spans="4:20" ht="15.75" x14ac:dyDescent="0.2">
      <c r="D109" s="24">
        <f t="shared" si="84"/>
        <v>0.81497932633630732</v>
      </c>
      <c r="E109" s="24">
        <f t="shared" si="85"/>
        <v>-8.8853407912710777E-2</v>
      </c>
      <c r="F109" s="24">
        <f t="shared" si="86"/>
        <v>-2.3805152399922069</v>
      </c>
      <c r="G109" s="25">
        <f t="shared" si="87"/>
        <v>6.4140745427273289E-3</v>
      </c>
      <c r="H109" s="24">
        <f t="shared" si="92"/>
        <v>-0.18764924287290854</v>
      </c>
      <c r="I109" s="24">
        <f t="shared" si="88"/>
        <v>1.1525156142558302</v>
      </c>
      <c r="J109" s="25">
        <f t="shared" si="93"/>
        <v>0.48201280026072907</v>
      </c>
      <c r="K109" s="25">
        <f>26.8*101325/8.314/O109/1000000</f>
        <v>2.7539540976211519E-4</v>
      </c>
      <c r="L109" s="26">
        <f t="shared" si="94"/>
        <v>81903137512274.75</v>
      </c>
      <c r="M109" s="25">
        <f t="shared" si="89"/>
        <v>1907558407530308.2</v>
      </c>
      <c r="N109" s="24">
        <f t="shared" si="90"/>
        <v>8.4317032040472171</v>
      </c>
      <c r="O109" s="27">
        <v>1186</v>
      </c>
      <c r="P109" s="28"/>
      <c r="Q109" s="25">
        <f t="shared" si="91"/>
        <v>425406804360.49536</v>
      </c>
      <c r="R109" s="25"/>
      <c r="S109" s="19"/>
      <c r="T109" s="25"/>
    </row>
    <row r="110" spans="4:20" ht="15.75" x14ac:dyDescent="0.2">
      <c r="D110" s="24">
        <f t="shared" si="84"/>
        <v>0.81491477999309225</v>
      </c>
      <c r="E110" s="24">
        <f t="shared" si="85"/>
        <v>-8.8887805387480631E-2</v>
      </c>
      <c r="F110" s="24">
        <f t="shared" si="86"/>
        <v>-2.379690083229403</v>
      </c>
      <c r="G110" s="25">
        <f t="shared" si="87"/>
        <v>6.4262728283654303E-3</v>
      </c>
      <c r="H110" s="24">
        <f t="shared" si="92"/>
        <v>-0.18764924287290854</v>
      </c>
      <c r="I110" s="24">
        <f t="shared" si="88"/>
        <v>1.1525156142558302</v>
      </c>
      <c r="J110" s="25">
        <f t="shared" si="93"/>
        <v>0.48201280026072907</v>
      </c>
      <c r="K110" s="25">
        <f>24.6*101325/8.314/O110/1000000</f>
        <v>2.6138356767998181E-4</v>
      </c>
      <c r="L110" s="26">
        <f t="shared" si="94"/>
        <v>80544152200547.078</v>
      </c>
      <c r="M110" s="25">
        <f t="shared" si="89"/>
        <v>1980226612423524.2</v>
      </c>
      <c r="N110" s="24">
        <f t="shared" si="90"/>
        <v>8.7183958151700089</v>
      </c>
      <c r="O110" s="27">
        <v>1147</v>
      </c>
      <c r="P110" s="28"/>
      <c r="Q110" s="25">
        <f t="shared" si="91"/>
        <v>419105541549.24634</v>
      </c>
      <c r="R110" s="25"/>
      <c r="S110" s="19"/>
      <c r="T110" s="25"/>
    </row>
    <row r="111" spans="4:20" ht="15.75" x14ac:dyDescent="0.2">
      <c r="D111" s="24">
        <f t="shared" si="84"/>
        <v>0.80415056550950004</v>
      </c>
      <c r="E111" s="24">
        <f t="shared" si="85"/>
        <v>-9.4662628306378935E-2</v>
      </c>
      <c r="F111" s="24">
        <f t="shared" si="86"/>
        <v>-2.248417147806256</v>
      </c>
      <c r="G111" s="25">
        <f t="shared" si="87"/>
        <v>8.694249420487677E-3</v>
      </c>
      <c r="H111" s="24">
        <f t="shared" si="92"/>
        <v>-0.18764924287290854</v>
      </c>
      <c r="I111" s="24">
        <f t="shared" si="88"/>
        <v>1.1525156142558302</v>
      </c>
      <c r="J111" s="25">
        <f t="shared" si="93"/>
        <v>0.48201280026072907</v>
      </c>
      <c r="K111" s="25">
        <f>40.4*101325/8.314/O111/1000000</f>
        <v>3.9867683308676943E-4</v>
      </c>
      <c r="L111" s="26">
        <f t="shared" si="94"/>
        <v>83592080559945.328</v>
      </c>
      <c r="M111" s="25">
        <f t="shared" si="89"/>
        <v>1822956183178787.7</v>
      </c>
      <c r="N111" s="24">
        <f t="shared" si="90"/>
        <v>8.097165991902834</v>
      </c>
      <c r="O111" s="27">
        <v>1235</v>
      </c>
      <c r="P111" s="28"/>
      <c r="Q111" s="25">
        <f t="shared" si="91"/>
        <v>579395418240.3833</v>
      </c>
      <c r="R111" s="25"/>
      <c r="S111" s="19"/>
      <c r="T111" s="25"/>
    </row>
    <row r="112" spans="4:20" ht="15.75" x14ac:dyDescent="0.2">
      <c r="D112" s="24">
        <f t="shared" si="84"/>
        <v>0.80875553977029147</v>
      </c>
      <c r="E112" s="24">
        <f t="shared" si="85"/>
        <v>-9.2182731506020743E-2</v>
      </c>
      <c r="F112" s="24">
        <f t="shared" si="86"/>
        <v>-2.3030854481376473</v>
      </c>
      <c r="G112" s="25">
        <f t="shared" si="87"/>
        <v>7.6659113861616808E-3</v>
      </c>
      <c r="H112" s="24">
        <f t="shared" si="92"/>
        <v>-0.18764924287290854</v>
      </c>
      <c r="I112" s="24">
        <f t="shared" si="88"/>
        <v>1.1525156142558302</v>
      </c>
      <c r="J112" s="25">
        <f t="shared" si="93"/>
        <v>0.48201280026072907</v>
      </c>
      <c r="K112" s="25">
        <f>34.2*101325/8.314/O112/1000000</f>
        <v>3.4276709465961034E-4</v>
      </c>
      <c r="L112" s="26">
        <f t="shared" si="94"/>
        <v>82939591500272.844</v>
      </c>
      <c r="M112" s="25">
        <f t="shared" si="89"/>
        <v>1854925892104485</v>
      </c>
      <c r="N112" s="24">
        <f t="shared" si="90"/>
        <v>8.223684210526315</v>
      </c>
      <c r="O112" s="27">
        <v>1216</v>
      </c>
      <c r="P112" s="28"/>
      <c r="Q112" s="25">
        <f t="shared" si="91"/>
        <v>510300963477.86188</v>
      </c>
      <c r="R112" s="25"/>
      <c r="S112" s="19"/>
      <c r="T112" s="25"/>
    </row>
    <row r="113" spans="4:20" ht="15.75" x14ac:dyDescent="0.2">
      <c r="D113" s="24">
        <f t="shared" si="84"/>
        <v>0.80373256307760343</v>
      </c>
      <c r="E113" s="24">
        <f t="shared" si="85"/>
        <v>-9.4888435954281813E-2</v>
      </c>
      <c r="F113" s="24">
        <f t="shared" si="86"/>
        <v>-2.2435587725099011</v>
      </c>
      <c r="G113" s="25">
        <f t="shared" si="87"/>
        <v>8.7920565010400371E-3</v>
      </c>
      <c r="H113" s="24">
        <f t="shared" si="92"/>
        <v>-0.18764924287290854</v>
      </c>
      <c r="I113" s="24">
        <f t="shared" si="88"/>
        <v>1.1525156142558302</v>
      </c>
      <c r="J113" s="25">
        <f t="shared" si="93"/>
        <v>0.48201280026072907</v>
      </c>
      <c r="K113" s="25">
        <f>26.4*101325/8.314/O113/1000000</f>
        <v>3.0788903941354469E-4</v>
      </c>
      <c r="L113" s="26">
        <f t="shared" si="94"/>
        <v>76925503899364.703</v>
      </c>
      <c r="M113" s="25">
        <f t="shared" si="89"/>
        <v>2196678965715844.5</v>
      </c>
      <c r="N113" s="24">
        <f t="shared" si="90"/>
        <v>9.5693779904306222</v>
      </c>
      <c r="O113" s="27">
        <v>1045</v>
      </c>
      <c r="P113" s="28"/>
      <c r="Q113" s="25">
        <f t="shared" si="91"/>
        <v>538853527652.29883</v>
      </c>
      <c r="R113" s="25"/>
      <c r="S113" s="19"/>
      <c r="T113" s="25"/>
    </row>
    <row r="114" spans="4:20" ht="15.75" x14ac:dyDescent="0.2">
      <c r="D114" s="24">
        <f t="shared" si="84"/>
        <v>0.80312640021838066</v>
      </c>
      <c r="E114" s="24">
        <f t="shared" si="85"/>
        <v>-9.5216097813095674E-2</v>
      </c>
      <c r="F114" s="24">
        <f t="shared" si="86"/>
        <v>-2.2365432884026997</v>
      </c>
      <c r="G114" s="25">
        <f t="shared" si="87"/>
        <v>8.935234493302649E-3</v>
      </c>
      <c r="H114" s="24">
        <f t="shared" si="92"/>
        <v>-0.18764924287290854</v>
      </c>
      <c r="I114" s="24">
        <f t="shared" si="88"/>
        <v>1.1525156142558302</v>
      </c>
      <c r="J114" s="25">
        <f t="shared" si="93"/>
        <v>0.48201280026072907</v>
      </c>
      <c r="K114" s="25">
        <f>33.2*101325/8.314/O114/1000000</f>
        <v>3.5680556669250442E-4</v>
      </c>
      <c r="L114" s="26">
        <f t="shared" si="94"/>
        <v>80088190015419.578</v>
      </c>
      <c r="M114" s="25">
        <f t="shared" si="89"/>
        <v>2005593030863963</v>
      </c>
      <c r="N114" s="24">
        <f t="shared" si="90"/>
        <v>8.8183421516754859</v>
      </c>
      <c r="O114" s="27">
        <v>1134</v>
      </c>
      <c r="P114" s="28"/>
      <c r="Q114" s="25">
        <f t="shared" si="91"/>
        <v>569632876146.3739</v>
      </c>
      <c r="R114" s="25"/>
      <c r="S114" s="19"/>
      <c r="T114" s="25"/>
    </row>
    <row r="115" spans="4:20" ht="15.75" x14ac:dyDescent="0.2">
      <c r="D115" s="24">
        <f t="shared" si="84"/>
        <v>0.80712678957925243</v>
      </c>
      <c r="E115" s="24">
        <f t="shared" si="85"/>
        <v>-9.3058237657768744E-2</v>
      </c>
      <c r="F115" s="24">
        <f t="shared" si="86"/>
        <v>-2.2835052782637604</v>
      </c>
      <c r="G115" s="25">
        <f t="shared" si="87"/>
        <v>8.0194385631206198E-3</v>
      </c>
      <c r="H115" s="24">
        <f t="shared" si="92"/>
        <v>-0.18764924287290854</v>
      </c>
      <c r="I115" s="24">
        <f t="shared" si="88"/>
        <v>1.1525156142558302</v>
      </c>
      <c r="J115" s="25">
        <f t="shared" si="93"/>
        <v>0.48201280026072907</v>
      </c>
      <c r="K115" s="25">
        <f>35.7*101325/8.314/O115/1000000</f>
        <v>3.5809522536729661E-4</v>
      </c>
      <c r="L115" s="26">
        <f t="shared" si="94"/>
        <v>82905166068163.266</v>
      </c>
      <c r="M115" s="25">
        <f t="shared" si="89"/>
        <v>1856637114239686</v>
      </c>
      <c r="N115" s="24">
        <f t="shared" si="90"/>
        <v>8.2304526748971192</v>
      </c>
      <c r="O115" s="27">
        <v>1215</v>
      </c>
      <c r="P115" s="28"/>
      <c r="Q115" s="25">
        <f t="shared" si="91"/>
        <v>532351415824.56689</v>
      </c>
      <c r="R115" s="25"/>
      <c r="S115" s="19"/>
      <c r="T115" s="25"/>
    </row>
    <row r="116" spans="4:20" ht="15.75" x14ac:dyDescent="0.2">
      <c r="D116" s="24">
        <f>10^E116</f>
        <v>0.80203189602304314</v>
      </c>
      <c r="E116" s="24">
        <f>LOG(J116)/(1+(F116/(I116-0.14*F116))^2)</f>
        <v>-9.5808359906169288E-2</v>
      </c>
      <c r="F116" s="24">
        <f>LOG(G116)+H116</f>
        <v>-2.2239644650472088</v>
      </c>
      <c r="G116" s="25">
        <f>M116*K116/L116</f>
        <v>9.1978172803164285E-3</v>
      </c>
      <c r="H116" s="24">
        <f>-0.4-0.67*LOG(J116)</f>
        <v>-0.18764924287290854</v>
      </c>
      <c r="I116" s="24">
        <f>0.75-1.27*LOG(J116)</f>
        <v>1.1525156142558302</v>
      </c>
      <c r="J116" s="25">
        <f t="shared" si="93"/>
        <v>0.48201280026072907</v>
      </c>
      <c r="K116" s="25">
        <f>32.7*101325/8.314/O116/1000000</f>
        <v>3.5742051604565641E-4</v>
      </c>
      <c r="L116" s="26">
        <f t="shared" si="94"/>
        <v>79419072727256.312</v>
      </c>
      <c r="M116" s="25">
        <f>$B$7*O116^$B$8*EXP(-$B$9/1.987/O116)</f>
        <v>2043761023007852.7</v>
      </c>
      <c r="N116" s="24">
        <f>10000/O116</f>
        <v>8.9686098654708513</v>
      </c>
      <c r="O116" s="27">
        <v>1115</v>
      </c>
      <c r="P116" s="28"/>
      <c r="Q116" s="25">
        <f>L116/(1+L116/M116/K116)*D116</f>
        <v>580530347267.67725</v>
      </c>
      <c r="R116" s="25"/>
      <c r="S116" s="19"/>
      <c r="T116" s="25"/>
    </row>
    <row r="117" spans="4:20" ht="15.75" x14ac:dyDescent="0.2">
      <c r="D117" s="24">
        <f>10^E117</f>
        <v>0.80815606067097523</v>
      </c>
      <c r="E117" s="24">
        <f>LOG(J117)/(1+(F117/(I117-0.14*F117))^2)</f>
        <v>-9.2504765780136305E-2</v>
      </c>
      <c r="F117" s="24">
        <f>LOG(G117)+H117</f>
        <v>-2.295846994346324</v>
      </c>
      <c r="G117" s="25">
        <f>M117*K117/L117</f>
        <v>7.7947510382715352E-3</v>
      </c>
      <c r="H117" s="24">
        <f>-0.4-0.67*LOG(J117)</f>
        <v>-0.18764924287290854</v>
      </c>
      <c r="I117" s="24">
        <f>0.75-1.27*LOG(J117)</f>
        <v>1.1525156142558302</v>
      </c>
      <c r="J117" s="25">
        <f t="shared" si="93"/>
        <v>0.48201280026072907</v>
      </c>
      <c r="K117" s="25">
        <f>38.5*101325/8.314/O117/1000000</f>
        <v>3.7121049632616026E-4</v>
      </c>
      <c r="L117" s="26">
        <f t="shared" si="94"/>
        <v>84582210747944.609</v>
      </c>
      <c r="M117" s="25">
        <f>$B$7*O117^$B$8*EXP(-$B$9/1.987/O117)</f>
        <v>1776073903006121.7</v>
      </c>
      <c r="N117" s="24">
        <f>10000/O117</f>
        <v>7.9113924050632916</v>
      </c>
      <c r="O117" s="27">
        <v>1264</v>
      </c>
      <c r="P117" s="28"/>
      <c r="Q117" s="25">
        <f>L117/(1+L117/M117/K117)*D117</f>
        <v>528694050116.88861</v>
      </c>
      <c r="R117" s="25"/>
      <c r="S117" s="19"/>
      <c r="T117" s="25"/>
    </row>
    <row r="118" spans="4:20" x14ac:dyDescent="0.2">
      <c r="D118" s="2" t="s">
        <v>1</v>
      </c>
      <c r="E118" s="2" t="s">
        <v>2</v>
      </c>
      <c r="F118" s="58" t="s">
        <v>3</v>
      </c>
      <c r="G118" s="58" t="s">
        <v>4</v>
      </c>
      <c r="H118" s="58" t="s">
        <v>5</v>
      </c>
      <c r="I118" s="58" t="s">
        <v>6</v>
      </c>
      <c r="J118" s="58" t="s">
        <v>7</v>
      </c>
      <c r="K118" s="58" t="s">
        <v>8</v>
      </c>
      <c r="L118" s="58" t="s">
        <v>9</v>
      </c>
      <c r="M118" s="58" t="s">
        <v>10</v>
      </c>
      <c r="N118" s="58" t="s">
        <v>11</v>
      </c>
      <c r="O118" s="58"/>
      <c r="P118" s="58">
        <f>760*40</f>
        <v>30400</v>
      </c>
      <c r="Q118" s="58" t="s">
        <v>13</v>
      </c>
    </row>
    <row r="119" spans="4:20" ht="15.75" x14ac:dyDescent="0.2">
      <c r="D119" s="2">
        <f t="shared" ref="D119:D131" si="95">10^E119</f>
        <v>0.58497915349910012</v>
      </c>
      <c r="E119" s="2">
        <f t="shared" ref="E119:E129" si="96">LOG(J119)/(1+(F119/(I119-0.14*F119))^2)</f>
        <v>-0.23285961029666213</v>
      </c>
      <c r="F119" s="2">
        <f t="shared" ref="F119:F129" si="97">LOG(G119)+H119</f>
        <v>-0.75616263509819304</v>
      </c>
      <c r="G119" s="62">
        <f t="shared" ref="G119:G129" si="98">M119*K119/L119</f>
        <v>0.27007638242932985</v>
      </c>
      <c r="H119" s="2">
        <f>-0.4-0.67*LOG(J119)</f>
        <v>-0.18764924287290854</v>
      </c>
      <c r="I119" s="2">
        <f t="shared" ref="I119:I129" si="99">0.75-1.27*LOG(J119)</f>
        <v>1.1525156142558302</v>
      </c>
      <c r="J119" s="62">
        <f>(1-$B$10)*EXP(-O119/$B$11)+$B$10*EXP(-O119/$B$12)+EXP(-B$13/O119)</f>
        <v>0.48201280026072907</v>
      </c>
      <c r="K119" s="62">
        <f>$P$118*101325/760/8.314/O119/1000000</f>
        <v>1.6249699302381525E-3</v>
      </c>
      <c r="L119" s="63">
        <f>B$4*O119^B$5*EXP(-B$6/1.987/O119)</f>
        <v>48271057302442.148</v>
      </c>
      <c r="M119" s="62">
        <f t="shared" ref="M119:M129" si="100">$B$7*O119^$B$8*EXP(-$B$9/1.987/O119)</f>
        <v>8022839247475676</v>
      </c>
      <c r="N119" s="2">
        <f t="shared" ref="N119:N129" si="101">10000/O119</f>
        <v>33.333333333333336</v>
      </c>
      <c r="O119" s="11">
        <v>300</v>
      </c>
      <c r="P119" s="12"/>
      <c r="Q119" s="62">
        <f t="shared" ref="Q119:Q129" si="102">L119/(1+L119/M119/K119)*D119</f>
        <v>6004598434956.4199</v>
      </c>
      <c r="R119" s="6"/>
      <c r="S119" s="6"/>
      <c r="T119" s="6"/>
    </row>
    <row r="120" spans="4:20" ht="15.75" x14ac:dyDescent="0.2">
      <c r="D120" s="2">
        <f t="shared" si="95"/>
        <v>0.63979817856499632</v>
      </c>
      <c r="E120" s="2">
        <f t="shared" si="96"/>
        <v>-0.1939570006387471</v>
      </c>
      <c r="F120" s="2">
        <f t="shared" si="97"/>
        <v>-1.0328859513927142</v>
      </c>
      <c r="G120" s="62">
        <f t="shared" si="98"/>
        <v>0.14281153641940134</v>
      </c>
      <c r="H120" s="2">
        <f t="shared" ref="H120:H129" si="103">-0.4-0.67*LOG(J120)</f>
        <v>-0.18764924287290854</v>
      </c>
      <c r="I120" s="2">
        <f t="shared" si="99"/>
        <v>1.1525156142558302</v>
      </c>
      <c r="J120" s="62">
        <f t="shared" ref="J120:J131" si="104">(1-$B$10)*EXP(-O120/$B$11)+$B$10*EXP(-O120/$B$12)+EXP(-B$13/O120)</f>
        <v>0.48201280026072907</v>
      </c>
      <c r="K120" s="62">
        <f>$P$118*101325/760/8.314/O120/1000000</f>
        <v>1.2187274476786144E-3</v>
      </c>
      <c r="L120" s="63">
        <f t="shared" ref="L120:L131" si="105">B$4*O120^B$5*EXP(-B$6/1.987/O120)</f>
        <v>51915144096005.555</v>
      </c>
      <c r="M120" s="62">
        <f t="shared" si="100"/>
        <v>6083461487560017</v>
      </c>
      <c r="N120" s="2">
        <f t="shared" si="101"/>
        <v>25</v>
      </c>
      <c r="O120" s="11">
        <v>400</v>
      </c>
      <c r="P120" s="12"/>
      <c r="Q120" s="62">
        <f t="shared" si="102"/>
        <v>4150741992891.27</v>
      </c>
      <c r="R120" s="19"/>
      <c r="S120" s="19"/>
      <c r="T120" s="19"/>
    </row>
    <row r="121" spans="4:20" ht="15.75" x14ac:dyDescent="0.2">
      <c r="D121" s="24">
        <f t="shared" si="95"/>
        <v>0.81181349104276657</v>
      </c>
      <c r="E121" s="24">
        <f t="shared" si="96"/>
        <v>-9.0543735678570741E-2</v>
      </c>
      <c r="F121" s="24">
        <f t="shared" si="97"/>
        <v>-2.3405991695312713</v>
      </c>
      <c r="G121" s="25">
        <f t="shared" si="98"/>
        <v>7.0315338748095915E-3</v>
      </c>
      <c r="H121" s="24">
        <f t="shared" si="103"/>
        <v>-0.18764924287290854</v>
      </c>
      <c r="I121" s="24">
        <f t="shared" si="99"/>
        <v>1.1525156142558302</v>
      </c>
      <c r="J121" s="25">
        <f t="shared" si="104"/>
        <v>0.48201280026072907</v>
      </c>
      <c r="K121" s="25">
        <f>38.7*101325/8.314/O121/1000000</f>
        <v>3.5812264407868166E-4</v>
      </c>
      <c r="L121" s="26">
        <f t="shared" si="105"/>
        <v>86374146992233.531</v>
      </c>
      <c r="M121" s="25">
        <f t="shared" si="100"/>
        <v>1695907115971801.7</v>
      </c>
      <c r="N121" s="24">
        <f t="shared" si="101"/>
        <v>7.5930144267274109</v>
      </c>
      <c r="O121" s="27">
        <v>1317</v>
      </c>
      <c r="P121" s="28"/>
      <c r="Q121" s="25">
        <f t="shared" si="102"/>
        <v>489606346798.69476</v>
      </c>
      <c r="R121" s="25"/>
      <c r="S121" s="19"/>
      <c r="T121" s="25"/>
    </row>
    <row r="122" spans="4:20" ht="15.75" x14ac:dyDescent="0.2">
      <c r="D122" s="24">
        <f t="shared" si="95"/>
        <v>0.80159806688403812</v>
      </c>
      <c r="E122" s="24">
        <f t="shared" si="96"/>
        <v>-9.6043338810421583E-2</v>
      </c>
      <c r="F122" s="24">
        <f t="shared" si="97"/>
        <v>-2.2190097799098329</v>
      </c>
      <c r="G122" s="25">
        <f t="shared" si="98"/>
        <v>9.3033522100429561E-3</v>
      </c>
      <c r="H122" s="24">
        <f t="shared" si="103"/>
        <v>-0.18764924287290854</v>
      </c>
      <c r="I122" s="24">
        <f t="shared" si="99"/>
        <v>1.1525156142558302</v>
      </c>
      <c r="J122" s="25">
        <f t="shared" si="104"/>
        <v>0.48201280026072907</v>
      </c>
      <c r="K122" s="25">
        <f>31.7*101325/8.314/O122/1000000</f>
        <v>3.5217557056893409E-4</v>
      </c>
      <c r="L122" s="26">
        <f t="shared" si="105"/>
        <v>78782169838199.766</v>
      </c>
      <c r="M122" s="25">
        <f t="shared" si="100"/>
        <v>2081172957829372</v>
      </c>
      <c r="N122" s="24">
        <f t="shared" si="101"/>
        <v>9.115770282588878</v>
      </c>
      <c r="O122" s="27">
        <v>1097</v>
      </c>
      <c r="P122" s="28"/>
      <c r="Q122" s="25">
        <f t="shared" si="102"/>
        <v>582106362966.10107</v>
      </c>
      <c r="R122" s="25"/>
      <c r="S122" s="19"/>
      <c r="T122" s="25"/>
    </row>
    <row r="123" spans="4:20" ht="15.75" x14ac:dyDescent="0.2">
      <c r="D123" s="24">
        <f t="shared" si="95"/>
        <v>0.77013645876820191</v>
      </c>
      <c r="E123" s="24">
        <f t="shared" si="96"/>
        <v>-0.11343231633484027</v>
      </c>
      <c r="F123" s="24">
        <f t="shared" si="97"/>
        <v>-1.900021803774002</v>
      </c>
      <c r="G123" s="25">
        <f t="shared" si="98"/>
        <v>1.9392215964328205E-2</v>
      </c>
      <c r="H123" s="24">
        <f t="shared" si="103"/>
        <v>-0.18764924287290854</v>
      </c>
      <c r="I123" s="24">
        <f t="shared" si="99"/>
        <v>1.1525156142558302</v>
      </c>
      <c r="J123" s="25">
        <f t="shared" si="104"/>
        <v>0.48201280026072907</v>
      </c>
      <c r="K123" s="25">
        <f>67.5*101325/8.314/O123/1000000</f>
        <v>7.437983970913786E-4</v>
      </c>
      <c r="L123" s="26">
        <f t="shared" si="105"/>
        <v>79100988647881.641</v>
      </c>
      <c r="M123" s="25">
        <f t="shared" si="100"/>
        <v>2062310783204260.2</v>
      </c>
      <c r="N123" s="24">
        <f t="shared" si="101"/>
        <v>9.0415913200723335</v>
      </c>
      <c r="O123" s="27">
        <v>1106</v>
      </c>
      <c r="P123" s="28"/>
      <c r="Q123" s="25">
        <f t="shared" si="102"/>
        <v>1158872671155.8557</v>
      </c>
      <c r="R123" s="25"/>
      <c r="S123" s="25"/>
      <c r="T123" s="25"/>
    </row>
    <row r="124" spans="4:20" ht="15.75" x14ac:dyDescent="0.2">
      <c r="D124" s="24">
        <f t="shared" si="95"/>
        <v>0.77871081841768242</v>
      </c>
      <c r="E124" s="24">
        <f t="shared" si="96"/>
        <v>-0.10862379172678029</v>
      </c>
      <c r="F124" s="24">
        <f t="shared" si="97"/>
        <v>-1.9799152281223336</v>
      </c>
      <c r="G124" s="25">
        <f t="shared" si="98"/>
        <v>1.6133701397139467E-2</v>
      </c>
      <c r="H124" s="24">
        <f t="shared" si="103"/>
        <v>-0.18764924287290854</v>
      </c>
      <c r="I124" s="24">
        <f t="shared" si="99"/>
        <v>1.1525156142558302</v>
      </c>
      <c r="J124" s="25">
        <f t="shared" si="104"/>
        <v>0.48201280026072907</v>
      </c>
      <c r="K124" s="25">
        <f>73.7*101325/8.314/O124/1000000</f>
        <v>7.3203107493002352E-4</v>
      </c>
      <c r="L124" s="26">
        <f t="shared" si="105"/>
        <v>83317716478162.594</v>
      </c>
      <c r="M124" s="25">
        <f t="shared" si="100"/>
        <v>1836292480997066</v>
      </c>
      <c r="N124" s="24">
        <f t="shared" si="101"/>
        <v>8.1499592502037483</v>
      </c>
      <c r="O124" s="27">
        <v>1227</v>
      </c>
      <c r="P124" s="28"/>
      <c r="Q124" s="25">
        <f t="shared" si="102"/>
        <v>1030141126750.4674</v>
      </c>
      <c r="R124" s="25"/>
      <c r="S124" s="25"/>
      <c r="T124" s="25"/>
    </row>
    <row r="125" spans="4:20" ht="15.75" x14ac:dyDescent="0.2">
      <c r="D125" s="24">
        <f t="shared" si="95"/>
        <v>0.77207175840482833</v>
      </c>
      <c r="E125" s="24">
        <f t="shared" si="96"/>
        <v>-0.112342333302921</v>
      </c>
      <c r="F125" s="24">
        <f t="shared" si="97"/>
        <v>-1.9176542282677951</v>
      </c>
      <c r="G125" s="25">
        <f t="shared" si="98"/>
        <v>1.8620657613362315E-2</v>
      </c>
      <c r="H125" s="24">
        <f t="shared" si="103"/>
        <v>-0.18764924287290854</v>
      </c>
      <c r="I125" s="24">
        <f t="shared" si="99"/>
        <v>1.1525156142558302</v>
      </c>
      <c r="J125" s="25">
        <f t="shared" si="104"/>
        <v>0.48201280026072907</v>
      </c>
      <c r="K125" s="25">
        <f>66.2*101325/8.314/O125/1000000</f>
        <v>7.2358526489976933E-4</v>
      </c>
      <c r="L125" s="26">
        <f t="shared" si="105"/>
        <v>79419072727256.312</v>
      </c>
      <c r="M125" s="25">
        <f t="shared" si="100"/>
        <v>2043761023007852.7</v>
      </c>
      <c r="N125" s="24">
        <f t="shared" si="101"/>
        <v>8.9686098654708513</v>
      </c>
      <c r="O125" s="27">
        <v>1115</v>
      </c>
      <c r="P125" s="28"/>
      <c r="Q125" s="25">
        <f t="shared" si="102"/>
        <v>1120895211773.3069</v>
      </c>
      <c r="R125" s="25"/>
      <c r="S125" s="25"/>
      <c r="T125" s="25"/>
    </row>
    <row r="126" spans="4:20" ht="15.75" x14ac:dyDescent="0.2">
      <c r="D126" s="24">
        <f t="shared" si="95"/>
        <v>0.78059786412536702</v>
      </c>
      <c r="E126" s="24">
        <f t="shared" si="96"/>
        <v>-0.10757264137123972</v>
      </c>
      <c r="F126" s="24">
        <f t="shared" si="97"/>
        <v>-1.9981374299995189</v>
      </c>
      <c r="G126" s="25">
        <f t="shared" si="98"/>
        <v>1.5470765840848518E-2</v>
      </c>
      <c r="H126" s="24">
        <f t="shared" si="103"/>
        <v>-0.18764924287290854</v>
      </c>
      <c r="I126" s="24">
        <f t="shared" si="99"/>
        <v>1.1525156142558302</v>
      </c>
      <c r="J126" s="25">
        <f t="shared" si="104"/>
        <v>0.48201280026072907</v>
      </c>
      <c r="K126" s="25">
        <f>67.1*101325/8.314/O126/1000000</f>
        <v>6.7977233365947639E-4</v>
      </c>
      <c r="L126" s="26">
        <f t="shared" si="105"/>
        <v>82491401618577.031</v>
      </c>
      <c r="M126" s="25">
        <f t="shared" si="100"/>
        <v>1877400851920662.2</v>
      </c>
      <c r="N126" s="24">
        <f t="shared" si="101"/>
        <v>8.3125519534497094</v>
      </c>
      <c r="O126" s="27">
        <v>1203</v>
      </c>
      <c r="P126" s="28"/>
      <c r="Q126" s="25">
        <f t="shared" si="102"/>
        <v>981025800333.01746</v>
      </c>
      <c r="R126" s="25"/>
      <c r="S126" s="25"/>
      <c r="T126" s="25"/>
    </row>
    <row r="127" spans="4:20" ht="15.75" x14ac:dyDescent="0.2">
      <c r="D127" s="24">
        <f t="shared" si="95"/>
        <v>0.76598892414069575</v>
      </c>
      <c r="E127" s="24">
        <f t="shared" si="96"/>
        <v>-0.11577751002712788</v>
      </c>
      <c r="F127" s="24">
        <f t="shared" si="97"/>
        <v>-1.8629757422593569</v>
      </c>
      <c r="G127" s="25">
        <f t="shared" si="98"/>
        <v>2.111900731487875E-2</v>
      </c>
      <c r="H127" s="24">
        <f t="shared" si="103"/>
        <v>-0.18764924287290854</v>
      </c>
      <c r="I127" s="24">
        <f t="shared" si="99"/>
        <v>1.1525156142558302</v>
      </c>
      <c r="J127" s="25">
        <f t="shared" si="104"/>
        <v>0.48201280026072907</v>
      </c>
      <c r="K127" s="25">
        <f>92.6*101325/8.314/O127/1000000</f>
        <v>9.342231925086068E-4</v>
      </c>
      <c r="L127" s="26">
        <f t="shared" si="105"/>
        <v>82663951655718.766</v>
      </c>
      <c r="M127" s="25">
        <f t="shared" si="100"/>
        <v>1868697559312438.5</v>
      </c>
      <c r="N127" s="24">
        <f t="shared" si="101"/>
        <v>8.2781456953642376</v>
      </c>
      <c r="O127" s="27">
        <v>1208</v>
      </c>
      <c r="P127" s="28"/>
      <c r="Q127" s="25">
        <f t="shared" si="102"/>
        <v>1309591334375.0664</v>
      </c>
      <c r="R127" s="25"/>
      <c r="S127" s="25"/>
      <c r="T127" s="25"/>
    </row>
    <row r="128" spans="4:20" ht="15.75" x14ac:dyDescent="0.2">
      <c r="D128" s="24">
        <f t="shared" si="95"/>
        <v>0.75949378169260928</v>
      </c>
      <c r="E128" s="24">
        <f t="shared" si="96"/>
        <v>-0.11947577754529218</v>
      </c>
      <c r="F128" s="24">
        <f t="shared" si="97"/>
        <v>-1.806884265240017</v>
      </c>
      <c r="G128" s="25">
        <f t="shared" si="98"/>
        <v>2.4030620094397971E-2</v>
      </c>
      <c r="H128" s="24">
        <f t="shared" si="103"/>
        <v>-0.18764924287290854</v>
      </c>
      <c r="I128" s="24">
        <f t="shared" si="99"/>
        <v>1.1525156142558302</v>
      </c>
      <c r="J128" s="25">
        <f t="shared" si="104"/>
        <v>0.48201280026072907</v>
      </c>
      <c r="K128" s="25">
        <f>92.2*101325/8.314/O128/1000000</f>
        <v>9.7880375153282435E-4</v>
      </c>
      <c r="L128" s="26">
        <f t="shared" si="105"/>
        <v>80579164243912.5</v>
      </c>
      <c r="M128" s="25">
        <f t="shared" si="100"/>
        <v>1978299817953468.5</v>
      </c>
      <c r="N128" s="24">
        <f t="shared" si="101"/>
        <v>8.7108013937282234</v>
      </c>
      <c r="O128" s="27">
        <v>1148</v>
      </c>
      <c r="P128" s="28"/>
      <c r="Q128" s="25">
        <f t="shared" si="102"/>
        <v>1436147398339.095</v>
      </c>
      <c r="R128" s="25"/>
      <c r="S128" s="25"/>
      <c r="T128" s="25"/>
    </row>
    <row r="129" spans="4:20" ht="15.75" x14ac:dyDescent="0.2">
      <c r="D129" s="24">
        <f t="shared" si="95"/>
        <v>0.75958973335865088</v>
      </c>
      <c r="E129" s="24">
        <f t="shared" si="96"/>
        <v>-0.11942091383472744</v>
      </c>
      <c r="F129" s="24">
        <f t="shared" si="97"/>
        <v>-1.8076965818771487</v>
      </c>
      <c r="G129" s="25">
        <f t="shared" si="98"/>
        <v>2.3985714554788925E-2</v>
      </c>
      <c r="H129" s="24">
        <f t="shared" si="103"/>
        <v>-0.18764924287290854</v>
      </c>
      <c r="I129" s="24">
        <f t="shared" si="99"/>
        <v>1.1525156142558302</v>
      </c>
      <c r="J129" s="25">
        <f t="shared" si="104"/>
        <v>0.48201280026072907</v>
      </c>
      <c r="K129" s="25">
        <f>91.4*101325/8.314/O129/1000000</f>
        <v>9.728531765748939E-4</v>
      </c>
      <c r="L129" s="26">
        <f t="shared" si="105"/>
        <v>80474101619727</v>
      </c>
      <c r="M129" s="25">
        <f t="shared" si="100"/>
        <v>1984090587337721</v>
      </c>
      <c r="N129" s="24">
        <f t="shared" si="101"/>
        <v>8.7336244541484724</v>
      </c>
      <c r="O129" s="27">
        <v>1145</v>
      </c>
      <c r="P129" s="28"/>
      <c r="Q129" s="25">
        <f t="shared" si="102"/>
        <v>1431838337042.6895</v>
      </c>
      <c r="R129" s="25"/>
      <c r="S129" s="25"/>
      <c r="T129" s="25"/>
    </row>
    <row r="130" spans="4:20" ht="15.75" x14ac:dyDescent="0.2">
      <c r="D130" s="24">
        <f t="shared" si="95"/>
        <v>0.7648644571628912</v>
      </c>
      <c r="E130" s="24">
        <f>LOG(J130)/(1+(F130/(I130-0.14*F130))^2)</f>
        <v>-0.11641552003819203</v>
      </c>
      <c r="F130" s="24">
        <f>LOG(G130)+H130</f>
        <v>-1.8531007741637116</v>
      </c>
      <c r="G130" s="25">
        <f>M130*K130/L130</f>
        <v>2.1604711370879607E-2</v>
      </c>
      <c r="H130" s="24">
        <f>-0.4-0.67*LOG(J130)</f>
        <v>-0.18764924287290854</v>
      </c>
      <c r="I130" s="24">
        <f>0.75-1.27*LOG(J130)</f>
        <v>1.1525156142558302</v>
      </c>
      <c r="J130" s="25">
        <f t="shared" si="104"/>
        <v>0.48201280026072907</v>
      </c>
      <c r="K130" s="25">
        <f>93.5*101325/8.314/O130/1000000</f>
        <v>9.4801178334401369E-4</v>
      </c>
      <c r="L130" s="26">
        <f t="shared" si="105"/>
        <v>82456866132649.703</v>
      </c>
      <c r="M130" s="25">
        <f>$B$7*O130^$B$8*EXP(-$B$9/1.987/O130)</f>
        <v>1879150475386761.3</v>
      </c>
      <c r="N130" s="24">
        <f>10000/O130</f>
        <v>8.3194675540765388</v>
      </c>
      <c r="O130" s="27">
        <v>1202</v>
      </c>
      <c r="P130" s="28"/>
      <c r="Q130" s="25">
        <f>L130/(1+L130/M130/K130)*D130</f>
        <v>1333757536582.9468</v>
      </c>
      <c r="R130" s="25"/>
      <c r="S130" s="25"/>
      <c r="T130" s="25"/>
    </row>
    <row r="131" spans="4:20" ht="15.75" x14ac:dyDescent="0.2">
      <c r="D131" s="24">
        <f t="shared" si="95"/>
        <v>0.75938848603336961</v>
      </c>
      <c r="E131" s="24">
        <f>LOG(J131)/(1+(F131/(I131-0.14*F131))^2)</f>
        <v>-0.11953599198695247</v>
      </c>
      <c r="F131" s="24">
        <f>LOG(G131)+H131</f>
        <v>-1.8059933903807448</v>
      </c>
      <c r="G131" s="25">
        <f>M131*K131/L131</f>
        <v>2.40799650636974E-2</v>
      </c>
      <c r="H131" s="24">
        <f>-0.4-0.67*LOG(J131)</f>
        <v>-0.18764924287290854</v>
      </c>
      <c r="I131" s="24">
        <f>0.75-1.27*LOG(J131)</f>
        <v>1.1525156142558302</v>
      </c>
      <c r="J131" s="25">
        <f t="shared" si="104"/>
        <v>0.48201280026072907</v>
      </c>
      <c r="K131" s="25">
        <f>92.6*101325/8.314/O131/1000000</f>
        <v>9.8219461840765607E-4</v>
      </c>
      <c r="L131" s="26">
        <f t="shared" si="105"/>
        <v>80614167463776.062</v>
      </c>
      <c r="M131" s="25">
        <f>$B$7*O131^$B$8*EXP(-$B$9/1.987/O131)</f>
        <v>1976376473446627.5</v>
      </c>
      <c r="N131" s="24">
        <f>10000/O131</f>
        <v>8.7032201914708445</v>
      </c>
      <c r="O131" s="27">
        <v>1149</v>
      </c>
      <c r="P131" s="28"/>
      <c r="Q131" s="25">
        <f>L131/(1+L131/M131/K131)*D131</f>
        <v>1439452584973.3472</v>
      </c>
      <c r="R131" s="25"/>
      <c r="S131" s="25"/>
      <c r="T131" s="25"/>
    </row>
    <row r="132" spans="4:20" x14ac:dyDescent="0.2">
      <c r="D132" s="2" t="s">
        <v>1</v>
      </c>
      <c r="E132" s="2" t="s">
        <v>2</v>
      </c>
      <c r="F132" s="58" t="s">
        <v>3</v>
      </c>
      <c r="G132" s="58" t="s">
        <v>4</v>
      </c>
      <c r="H132" s="58" t="s">
        <v>5</v>
      </c>
      <c r="I132" s="58" t="s">
        <v>6</v>
      </c>
      <c r="J132" s="58" t="s">
        <v>7</v>
      </c>
      <c r="K132" s="58" t="s">
        <v>8</v>
      </c>
      <c r="L132" s="58" t="s">
        <v>9</v>
      </c>
      <c r="M132" s="58" t="s">
        <v>10</v>
      </c>
      <c r="N132" s="58" t="s">
        <v>11</v>
      </c>
      <c r="O132" s="58"/>
      <c r="P132" s="58">
        <f>760*50</f>
        <v>38000</v>
      </c>
      <c r="Q132" s="58" t="s">
        <v>13</v>
      </c>
      <c r="R132" s="6"/>
      <c r="S132" s="6"/>
      <c r="T132" s="6"/>
    </row>
    <row r="133" spans="4:20" ht="15.75" x14ac:dyDescent="0.2">
      <c r="D133" s="2">
        <f t="shared" ref="D133:D145" si="106">10^E133</f>
        <v>0.5655639321082665</v>
      </c>
      <c r="E133" s="2">
        <f t="shared" ref="E133:E143" si="107">LOG(J133)/(1+(F133/(I133-0.14*F133))^2)</f>
        <v>-0.24751829473063819</v>
      </c>
      <c r="F133" s="2">
        <f t="shared" ref="F133:F143" si="108">LOG(G133)+H133</f>
        <v>-0.65925262209013669</v>
      </c>
      <c r="G133" s="62">
        <f t="shared" ref="G133:G143" si="109">M133*K133/L133</f>
        <v>0.33759547803666229</v>
      </c>
      <c r="H133" s="2">
        <f>-0.4-0.67*LOG(J133)</f>
        <v>-0.18764924287290854</v>
      </c>
      <c r="I133" s="2">
        <f t="shared" ref="I133:I143" si="110">0.75-1.27*LOG(J133)</f>
        <v>1.1525156142558302</v>
      </c>
      <c r="J133" s="62">
        <f>(1-$B$10)*EXP(-O133/$B$11)+$B$10*EXP(-O133/$B$12)+EXP(-B$13/O133)</f>
        <v>0.48201280026072907</v>
      </c>
      <c r="K133" s="62">
        <f>$P$132*101325/760/8.314/O133/1000000</f>
        <v>2.0312124127976907E-3</v>
      </c>
      <c r="L133" s="63">
        <f>B$4*O133^B$5*EXP(-B$6/1.987/O133)</f>
        <v>48271057302442.148</v>
      </c>
      <c r="M133" s="62">
        <f t="shared" ref="M133:M143" si="111">$B$7*O133^$B$8*EXP(-$B$9/1.987/O133)</f>
        <v>8022839247475676</v>
      </c>
      <c r="N133" s="2">
        <f t="shared" ref="N133:N143" si="112">10000/O133</f>
        <v>33.333333333333336</v>
      </c>
      <c r="O133" s="11">
        <v>300</v>
      </c>
      <c r="P133" s="12"/>
      <c r="Q133" s="62">
        <f t="shared" ref="Q133:Q143" si="113">L133/(1+L133/M133/K133)*D133</f>
        <v>6890335131977.2393</v>
      </c>
      <c r="R133" s="6"/>
    </row>
    <row r="134" spans="4:20" ht="15.75" x14ac:dyDescent="0.2">
      <c r="D134" s="2">
        <f t="shared" si="106"/>
        <v>0.62098990642772189</v>
      </c>
      <c r="E134" s="2">
        <f t="shared" si="107"/>
        <v>-0.20691545879019638</v>
      </c>
      <c r="F134" s="2">
        <f t="shared" si="108"/>
        <v>-0.93597593838465765</v>
      </c>
      <c r="G134" s="62">
        <f t="shared" si="109"/>
        <v>0.17851442052425168</v>
      </c>
      <c r="H134" s="2">
        <f t="shared" ref="H134:H143" si="114">-0.4-0.67*LOG(J134)</f>
        <v>-0.18764924287290854</v>
      </c>
      <c r="I134" s="2">
        <f t="shared" si="110"/>
        <v>1.1525156142558302</v>
      </c>
      <c r="J134" s="62">
        <f t="shared" ref="J134:J145" si="115">(1-$B$10)*EXP(-O134/$B$11)+$B$10*EXP(-O134/$B$12)+EXP(-B$13/O134)</f>
        <v>0.48201280026072907</v>
      </c>
      <c r="K134" s="62">
        <f t="shared" ref="K134:K145" si="116">$P$132*101325/760/8.314/O134/1000000</f>
        <v>1.5234093095982679E-3</v>
      </c>
      <c r="L134" s="63">
        <f t="shared" ref="L134:L145" si="117">B$4*O134^B$5*EXP(-B$6/1.987/O134)</f>
        <v>51915144096005.555</v>
      </c>
      <c r="M134" s="62">
        <f t="shared" si="111"/>
        <v>6083461487560017</v>
      </c>
      <c r="N134" s="2">
        <f t="shared" si="112"/>
        <v>25</v>
      </c>
      <c r="O134" s="11">
        <v>400</v>
      </c>
      <c r="P134" s="12"/>
      <c r="Q134" s="62">
        <f t="shared" si="113"/>
        <v>4883340512905.1104</v>
      </c>
      <c r="R134" s="6"/>
      <c r="S134" s="6"/>
      <c r="T134" s="6"/>
    </row>
    <row r="135" spans="4:20" ht="15.75" x14ac:dyDescent="0.2">
      <c r="D135" s="2">
        <f t="shared" si="106"/>
        <v>0.66396500690521698</v>
      </c>
      <c r="E135" s="2">
        <f t="shared" si="107"/>
        <v>-0.17785480874709619</v>
      </c>
      <c r="F135" s="2">
        <f t="shared" si="108"/>
        <v>-1.1632039770626217</v>
      </c>
      <c r="G135" s="62">
        <f t="shared" si="109"/>
        <v>0.10579015801212982</v>
      </c>
      <c r="H135" s="2">
        <f t="shared" si="114"/>
        <v>-0.18764924287290854</v>
      </c>
      <c r="I135" s="2">
        <f t="shared" si="110"/>
        <v>1.1525156142558302</v>
      </c>
      <c r="J135" s="62">
        <f t="shared" si="115"/>
        <v>0.48201280026072907</v>
      </c>
      <c r="K135" s="62">
        <f t="shared" si="116"/>
        <v>1.2187274476786144E-3</v>
      </c>
      <c r="L135" s="63">
        <f t="shared" si="117"/>
        <v>55914419404048.281</v>
      </c>
      <c r="M135" s="62">
        <f t="shared" si="111"/>
        <v>4853583362857548</v>
      </c>
      <c r="N135" s="2">
        <f t="shared" si="112"/>
        <v>20</v>
      </c>
      <c r="O135" s="11">
        <v>500</v>
      </c>
      <c r="P135" s="12"/>
      <c r="Q135" s="62">
        <f t="shared" si="113"/>
        <v>3551743190867.8066</v>
      </c>
      <c r="R135" s="19"/>
      <c r="S135" s="19"/>
      <c r="T135" s="19"/>
    </row>
    <row r="136" spans="4:20" ht="15.75" x14ac:dyDescent="0.2">
      <c r="D136" s="2">
        <f t="shared" si="106"/>
        <v>0.69672980417630648</v>
      </c>
      <c r="E136" s="2">
        <f t="shared" si="107"/>
        <v>-0.15693561114986607</v>
      </c>
      <c r="F136" s="2">
        <f t="shared" si="108"/>
        <v>-1.3553275234993849</v>
      </c>
      <c r="G136" s="62">
        <f t="shared" si="109"/>
        <v>6.7970696372540107E-2</v>
      </c>
      <c r="H136" s="2">
        <f t="shared" si="114"/>
        <v>-0.18764924287290854</v>
      </c>
      <c r="I136" s="2">
        <f t="shared" si="110"/>
        <v>1.1525156142558302</v>
      </c>
      <c r="J136" s="62">
        <f t="shared" si="115"/>
        <v>0.48201280026072907</v>
      </c>
      <c r="K136" s="62">
        <f t="shared" si="116"/>
        <v>1.0156062063988453E-3</v>
      </c>
      <c r="L136" s="63">
        <f t="shared" si="117"/>
        <v>59954213423504.078</v>
      </c>
      <c r="M136" s="62">
        <f t="shared" si="111"/>
        <v>4012509584116398.5</v>
      </c>
      <c r="N136" s="2">
        <f t="shared" si="112"/>
        <v>16.666666666666668</v>
      </c>
      <c r="O136" s="11">
        <v>600</v>
      </c>
      <c r="P136" s="12"/>
      <c r="Q136" s="62">
        <f t="shared" si="113"/>
        <v>2658560093014.5034</v>
      </c>
      <c r="R136" s="6"/>
    </row>
    <row r="137" spans="4:20" ht="15.75" x14ac:dyDescent="0.2">
      <c r="D137" s="2">
        <f t="shared" si="106"/>
        <v>0.72211229900975804</v>
      </c>
      <c r="E137" s="2">
        <f t="shared" si="107"/>
        <v>-0.14139525804286016</v>
      </c>
      <c r="F137" s="2">
        <f t="shared" si="108"/>
        <v>-1.5215255356521509</v>
      </c>
      <c r="G137" s="62">
        <f t="shared" si="109"/>
        <v>4.635789497273253E-2</v>
      </c>
      <c r="H137" s="2">
        <f t="shared" si="114"/>
        <v>-0.18764924287290854</v>
      </c>
      <c r="I137" s="2">
        <f t="shared" si="110"/>
        <v>1.1525156142558302</v>
      </c>
      <c r="J137" s="62">
        <f t="shared" si="115"/>
        <v>0.48201280026072907</v>
      </c>
      <c r="K137" s="62">
        <f t="shared" si="116"/>
        <v>8.7051960548472458E-4</v>
      </c>
      <c r="L137" s="63">
        <f t="shared" si="117"/>
        <v>63935043186733.742</v>
      </c>
      <c r="M137" s="62">
        <f t="shared" si="111"/>
        <v>3404741258500846</v>
      </c>
      <c r="N137" s="2">
        <f t="shared" si="112"/>
        <v>14.285714285714286</v>
      </c>
      <c r="O137" s="11">
        <v>700</v>
      </c>
      <c r="P137" s="12"/>
      <c r="Q137" s="62">
        <f t="shared" si="113"/>
        <v>2045441940097.5034</v>
      </c>
      <c r="R137" s="6"/>
    </row>
    <row r="138" spans="4:20" ht="15.75" x14ac:dyDescent="0.2">
      <c r="D138" s="2">
        <f t="shared" si="106"/>
        <v>0.74222209867459965</v>
      </c>
      <c r="E138" s="2">
        <f t="shared" si="107"/>
        <v>-0.12946611925487153</v>
      </c>
      <c r="F138" s="2">
        <f t="shared" si="108"/>
        <v>-1.6678721432919492</v>
      </c>
      <c r="G138" s="62">
        <f t="shared" si="109"/>
        <v>3.3096121297384429E-2</v>
      </c>
      <c r="H138" s="2">
        <f t="shared" si="114"/>
        <v>-0.18764924287290854</v>
      </c>
      <c r="I138" s="2">
        <f t="shared" si="110"/>
        <v>1.1525156142558302</v>
      </c>
      <c r="J138" s="62">
        <f t="shared" si="115"/>
        <v>0.48201280026072907</v>
      </c>
      <c r="K138" s="62">
        <f t="shared" si="116"/>
        <v>7.6170465479913395E-4</v>
      </c>
      <c r="L138" s="63">
        <f t="shared" si="117"/>
        <v>67823786331033.422</v>
      </c>
      <c r="M138" s="62">
        <f t="shared" si="111"/>
        <v>2946948328485281.5</v>
      </c>
      <c r="N138" s="2">
        <f t="shared" si="112"/>
        <v>12.5</v>
      </c>
      <c r="O138" s="11">
        <v>800</v>
      </c>
      <c r="P138" s="12"/>
      <c r="Q138" s="62">
        <f t="shared" si="113"/>
        <v>1612695151850.2563</v>
      </c>
      <c r="R138" s="6"/>
    </row>
    <row r="139" spans="4:20" ht="15.75" x14ac:dyDescent="0.2">
      <c r="D139" s="2">
        <f t="shared" si="106"/>
        <v>0.75850726441934924</v>
      </c>
      <c r="E139" s="2">
        <f t="shared" si="107"/>
        <v>-0.12004025550727053</v>
      </c>
      <c r="F139" s="2">
        <f t="shared" si="108"/>
        <v>-1.7985599776128081</v>
      </c>
      <c r="G139" s="62">
        <f t="shared" si="109"/>
        <v>2.4495666761392705E-2</v>
      </c>
      <c r="H139" s="2">
        <f t="shared" si="114"/>
        <v>-0.18764924287290854</v>
      </c>
      <c r="I139" s="2">
        <f t="shared" si="110"/>
        <v>1.1525156142558302</v>
      </c>
      <c r="J139" s="62">
        <f t="shared" si="115"/>
        <v>0.48201280026072907</v>
      </c>
      <c r="K139" s="62">
        <f t="shared" si="116"/>
        <v>6.7707080426589682E-4</v>
      </c>
      <c r="L139" s="63">
        <f t="shared" si="117"/>
        <v>71611384152110.969</v>
      </c>
      <c r="M139" s="62">
        <f t="shared" si="111"/>
        <v>2590820031612673.5</v>
      </c>
      <c r="N139" s="2">
        <f t="shared" si="112"/>
        <v>11.111111111111111</v>
      </c>
      <c r="O139" s="11">
        <v>900</v>
      </c>
      <c r="P139" s="12"/>
      <c r="Q139" s="62">
        <f t="shared" si="113"/>
        <v>1298736218404.8369</v>
      </c>
      <c r="R139" s="6"/>
      <c r="S139" s="6"/>
      <c r="T139" s="6"/>
    </row>
    <row r="140" spans="4:20" ht="15.75" x14ac:dyDescent="0.2">
      <c r="D140" s="2">
        <f t="shared" si="106"/>
        <v>0.77195597443693587</v>
      </c>
      <c r="E140" s="2">
        <f t="shared" si="107"/>
        <v>-0.11240746728642814</v>
      </c>
      <c r="F140" s="2">
        <f t="shared" si="108"/>
        <v>-1.9165929640687402</v>
      </c>
      <c r="G140" s="62">
        <f t="shared" si="109"/>
        <v>1.8666215645575381E-2</v>
      </c>
      <c r="H140" s="2">
        <f t="shared" si="114"/>
        <v>-0.18764924287290854</v>
      </c>
      <c r="I140" s="2">
        <f t="shared" si="110"/>
        <v>1.1525156142558302</v>
      </c>
      <c r="J140" s="62">
        <f t="shared" si="115"/>
        <v>0.48201280026072907</v>
      </c>
      <c r="K140" s="62">
        <f t="shared" si="116"/>
        <v>6.093637238393072E-4</v>
      </c>
      <c r="L140" s="63">
        <f t="shared" si="117"/>
        <v>75298240556451.203</v>
      </c>
      <c r="M140" s="62">
        <f t="shared" si="111"/>
        <v>2306558695525130.5</v>
      </c>
      <c r="N140" s="2">
        <f t="shared" si="112"/>
        <v>10</v>
      </c>
      <c r="O140" s="11">
        <v>1000</v>
      </c>
      <c r="P140" s="12"/>
      <c r="Q140" s="62">
        <f t="shared" si="113"/>
        <v>1065127841903.0214</v>
      </c>
      <c r="R140" s="6"/>
    </row>
    <row r="141" spans="4:20" ht="15.75" x14ac:dyDescent="0.2">
      <c r="D141" s="2">
        <f t="shared" si="106"/>
        <v>0.7832531040258387</v>
      </c>
      <c r="E141" s="2">
        <f t="shared" si="107"/>
        <v>-0.10609787533725976</v>
      </c>
      <c r="F141" s="2">
        <f t="shared" si="108"/>
        <v>-2.0241923805047413</v>
      </c>
      <c r="G141" s="62">
        <f t="shared" si="109"/>
        <v>1.456990977443908E-2</v>
      </c>
      <c r="H141" s="2">
        <f t="shared" si="114"/>
        <v>-0.18764924287290854</v>
      </c>
      <c r="I141" s="2">
        <f t="shared" si="110"/>
        <v>1.1525156142558302</v>
      </c>
      <c r="J141" s="62">
        <f t="shared" si="115"/>
        <v>0.48201280026072907</v>
      </c>
      <c r="K141" s="62">
        <f t="shared" si="116"/>
        <v>5.5396702167209743E-4</v>
      </c>
      <c r="L141" s="63">
        <f t="shared" si="117"/>
        <v>78888524675193.109</v>
      </c>
      <c r="M141" s="62">
        <f t="shared" si="111"/>
        <v>2074850382405116</v>
      </c>
      <c r="N141" s="2">
        <f t="shared" si="112"/>
        <v>9.0909090909090917</v>
      </c>
      <c r="O141" s="11">
        <v>1100</v>
      </c>
      <c r="P141" s="12"/>
      <c r="Q141" s="62">
        <f t="shared" si="113"/>
        <v>887341602083.53308</v>
      </c>
      <c r="R141" s="6"/>
    </row>
    <row r="142" spans="4:20" ht="15.75" x14ac:dyDescent="0.2">
      <c r="D142" s="2">
        <f t="shared" si="106"/>
        <v>0.79288357800295639</v>
      </c>
      <c r="E142" s="2">
        <f t="shared" si="107"/>
        <v>-0.10079057704906257</v>
      </c>
      <c r="F142" s="2">
        <f t="shared" si="108"/>
        <v>-2.1230450319047205</v>
      </c>
      <c r="G142" s="62">
        <f t="shared" si="109"/>
        <v>1.1603906238374831E-2</v>
      </c>
      <c r="H142" s="2">
        <f t="shared" si="114"/>
        <v>-0.18764924287290854</v>
      </c>
      <c r="I142" s="2">
        <f t="shared" si="110"/>
        <v>1.1525156142558302</v>
      </c>
      <c r="J142" s="62">
        <f t="shared" si="115"/>
        <v>0.48201280026072907</v>
      </c>
      <c r="K142" s="62">
        <f t="shared" si="116"/>
        <v>5.0780310319942267E-4</v>
      </c>
      <c r="L142" s="63">
        <f t="shared" si="117"/>
        <v>82387769635664.406</v>
      </c>
      <c r="M142" s="62">
        <f t="shared" si="111"/>
        <v>1882658747096371.7</v>
      </c>
      <c r="N142" s="2">
        <f t="shared" si="112"/>
        <v>8.3333333333333339</v>
      </c>
      <c r="O142" s="11">
        <v>1200</v>
      </c>
      <c r="P142" s="12"/>
      <c r="Q142" s="62">
        <f t="shared" si="113"/>
        <v>749317511654.30042</v>
      </c>
    </row>
    <row r="143" spans="4:20" ht="15.75" x14ac:dyDescent="0.2">
      <c r="D143" s="2">
        <f t="shared" si="106"/>
        <v>0.80119842299786437</v>
      </c>
      <c r="E143" s="2">
        <f t="shared" si="107"/>
        <v>-9.6259914201226565E-2</v>
      </c>
      <c r="F143" s="2">
        <f t="shared" si="108"/>
        <v>-2.2144610326756236</v>
      </c>
      <c r="G143" s="62">
        <f t="shared" si="109"/>
        <v>9.4013064670793543E-3</v>
      </c>
      <c r="H143" s="2">
        <f t="shared" si="114"/>
        <v>-0.18764924287290854</v>
      </c>
      <c r="I143" s="2">
        <f t="shared" si="110"/>
        <v>1.1525156142558302</v>
      </c>
      <c r="J143" s="62">
        <f t="shared" si="115"/>
        <v>0.48201280026072907</v>
      </c>
      <c r="K143" s="62">
        <f t="shared" si="116"/>
        <v>4.6874132603023634E-4</v>
      </c>
      <c r="L143" s="63">
        <f t="shared" si="117"/>
        <v>85801817887422.609</v>
      </c>
      <c r="M143" s="62">
        <f t="shared" si="111"/>
        <v>1720883439537306.7</v>
      </c>
      <c r="N143" s="2">
        <f t="shared" si="112"/>
        <v>7.6923076923076925</v>
      </c>
      <c r="O143" s="11">
        <v>1300</v>
      </c>
      <c r="P143" s="12"/>
      <c r="Q143" s="62">
        <f t="shared" si="113"/>
        <v>640266711671.64124</v>
      </c>
      <c r="R143" s="6"/>
    </row>
    <row r="144" spans="4:20" ht="15.75" x14ac:dyDescent="0.2">
      <c r="D144" s="2">
        <f t="shared" si="106"/>
        <v>0.81485529956199443</v>
      </c>
      <c r="E144" s="2">
        <f>LOG(J144)/(1+(F144/(I144-0.14*F144))^2)</f>
        <v>-8.891950559273358E-2</v>
      </c>
      <c r="F144" s="2">
        <f>LOG(G144)+H144</f>
        <v>-2.3789301133811191</v>
      </c>
      <c r="G144" s="62">
        <f>M144*K144/L144</f>
        <v>6.4375279774168724E-3</v>
      </c>
      <c r="H144" s="2">
        <f>-0.4-0.67*LOG(J144)</f>
        <v>-0.18764924287290854</v>
      </c>
      <c r="I144" s="2">
        <f>0.75-1.27*LOG(J144)</f>
        <v>1.1525156142558302</v>
      </c>
      <c r="J144" s="62">
        <f t="shared" si="115"/>
        <v>0.48201280026072907</v>
      </c>
      <c r="K144" s="62">
        <f t="shared" si="116"/>
        <v>4.0624248255953814E-4</v>
      </c>
      <c r="L144" s="63">
        <f t="shared" si="117"/>
        <v>92396720595423.437</v>
      </c>
      <c r="M144" s="62">
        <f>$B$7*O144^$B$8*EXP(-$B$9/1.987/O144)</f>
        <v>1464166106181262</v>
      </c>
      <c r="N144" s="2">
        <f>10000/O144</f>
        <v>6.666666666666667</v>
      </c>
      <c r="O144" s="11">
        <v>1500</v>
      </c>
      <c r="P144" s="12"/>
      <c r="Q144" s="62">
        <f>L144/(1+L144/M144/K144)*D144</f>
        <v>481581016169.22821</v>
      </c>
      <c r="R144" s="6"/>
    </row>
    <row r="145" spans="4:20" ht="15.75" x14ac:dyDescent="0.2">
      <c r="D145" s="2">
        <f t="shared" si="106"/>
        <v>0.83022971679793911</v>
      </c>
      <c r="E145" s="2">
        <f>LOG(J145)/(1+(F145/(I145-0.14*F145))^2)</f>
        <v>-8.0801725775146119E-2</v>
      </c>
      <c r="F145" s="2">
        <f>LOG(G145)+H145</f>
        <v>-2.5901583550168388</v>
      </c>
      <c r="G145" s="62">
        <f>M145*K145/L145</f>
        <v>3.9581375998742636E-3</v>
      </c>
      <c r="H145" s="2">
        <f>-0.4-0.67*LOG(J145)</f>
        <v>-0.18764924287290854</v>
      </c>
      <c r="I145" s="2">
        <f>0.75-1.27*LOG(J145)</f>
        <v>1.1525156142558302</v>
      </c>
      <c r="J145" s="62">
        <f t="shared" si="115"/>
        <v>0.48201280026072907</v>
      </c>
      <c r="K145" s="62">
        <f t="shared" si="116"/>
        <v>3.3853540213294841E-4</v>
      </c>
      <c r="L145" s="63">
        <f t="shared" si="117"/>
        <v>101779852540394.17</v>
      </c>
      <c r="M145" s="62">
        <f>$B$7*O145^$B$8*EXP(-$B$9/1.987/O145)</f>
        <v>1190004527477994.7</v>
      </c>
      <c r="N145" s="2">
        <f>10000/O145</f>
        <v>5.5555555555555554</v>
      </c>
      <c r="O145" s="11">
        <v>1800</v>
      </c>
      <c r="P145" s="12"/>
      <c r="Q145" s="62">
        <f>L145/(1+L145/M145/K145)*D145</f>
        <v>333146592186.20972</v>
      </c>
      <c r="R145" s="6"/>
    </row>
    <row r="146" spans="4:20" x14ac:dyDescent="0.2">
      <c r="D146" s="2" t="s">
        <v>1</v>
      </c>
      <c r="E146" s="2" t="s">
        <v>2</v>
      </c>
      <c r="F146" s="58" t="s">
        <v>3</v>
      </c>
      <c r="G146" s="58" t="s">
        <v>4</v>
      </c>
      <c r="H146" s="58" t="s">
        <v>5</v>
      </c>
      <c r="I146" s="58" t="s">
        <v>6</v>
      </c>
      <c r="J146" s="58" t="s">
        <v>7</v>
      </c>
      <c r="K146" s="58" t="s">
        <v>8</v>
      </c>
      <c r="L146" s="58" t="s">
        <v>9</v>
      </c>
      <c r="M146" s="58" t="s">
        <v>10</v>
      </c>
      <c r="N146" s="58" t="s">
        <v>11</v>
      </c>
      <c r="O146" s="58"/>
      <c r="P146" s="58">
        <f>760*100</f>
        <v>76000</v>
      </c>
      <c r="Q146" s="58" t="s">
        <v>13</v>
      </c>
      <c r="R146" s="6"/>
    </row>
    <row r="147" spans="4:20" ht="15.75" x14ac:dyDescent="0.2">
      <c r="D147" s="2">
        <f t="shared" ref="D147:D159" si="118">10^E147</f>
        <v>0.51154736688971136</v>
      </c>
      <c r="E147" s="2">
        <f t="shared" ref="E147:E157" si="119">LOG(J147)/(1+(F147/(I147-0.14*F147))^2)</f>
        <v>-0.29111414645543826</v>
      </c>
      <c r="F147" s="2">
        <f t="shared" ref="F147:F157" si="120">LOG(G147)+H147</f>
        <v>-0.35822262642615554</v>
      </c>
      <c r="G147" s="62">
        <f t="shared" ref="G147:G157" si="121">M147*K147/L147</f>
        <v>0.67519095607332458</v>
      </c>
      <c r="H147" s="2">
        <f>-0.4-0.67*LOG(J147)</f>
        <v>-0.18764924287290854</v>
      </c>
      <c r="I147" s="2">
        <f t="shared" ref="I147:I157" si="122">0.75-1.27*LOG(J147)</f>
        <v>1.1525156142558302</v>
      </c>
      <c r="J147" s="62">
        <f>(1-$B$10)*EXP(-O147/$B$11)+$B$10*EXP(-O147/$B$12)+EXP(-B$13/O147)</f>
        <v>0.48201280026072907</v>
      </c>
      <c r="K147" s="62">
        <f>$P$146*101325/760/8.314/O147/1000000</f>
        <v>4.0624248255953814E-3</v>
      </c>
      <c r="L147" s="63">
        <f>B$4*O147^B$5*EXP(-B$6/1.987/O147)</f>
        <v>48271057302442.148</v>
      </c>
      <c r="M147" s="62">
        <f t="shared" ref="M147:M157" si="123">$B$7*O147^$B$8*EXP(-$B$9/1.987/O147)</f>
        <v>8022839247475676</v>
      </c>
      <c r="N147" s="2">
        <f t="shared" ref="N147:N157" si="124">10000/O147</f>
        <v>33.333333333333336</v>
      </c>
      <c r="O147" s="11">
        <v>300</v>
      </c>
      <c r="P147" s="12"/>
      <c r="Q147" s="62">
        <f t="shared" ref="Q147:Q157" si="125">L147/(1+L147/M147/K147)*D147</f>
        <v>9952563605044.3047</v>
      </c>
      <c r="R147" s="19"/>
      <c r="S147" s="19"/>
      <c r="T147" s="19"/>
    </row>
    <row r="148" spans="4:20" ht="15.75" x14ac:dyDescent="0.2">
      <c r="D148" s="2">
        <f t="shared" si="118"/>
        <v>0.56076253911684781</v>
      </c>
      <c r="E148" s="2">
        <f t="shared" si="119"/>
        <v>-0.25122100645053252</v>
      </c>
      <c r="F148" s="2">
        <f t="shared" si="120"/>
        <v>-0.6349459427206765</v>
      </c>
      <c r="G148" s="62">
        <f t="shared" si="121"/>
        <v>0.35702884104850335</v>
      </c>
      <c r="H148" s="2">
        <f t="shared" ref="H148:H157" si="126">-0.4-0.67*LOG(J148)</f>
        <v>-0.18764924287290854</v>
      </c>
      <c r="I148" s="2">
        <f t="shared" si="122"/>
        <v>1.1525156142558302</v>
      </c>
      <c r="J148" s="62">
        <f t="shared" ref="J148:J159" si="127">(1-$B$10)*EXP(-O148/$B$11)+$B$10*EXP(-O148/$B$12)+EXP(-B$13/O148)</f>
        <v>0.48201280026072907</v>
      </c>
      <c r="K148" s="62">
        <f>$P$146*101325/760/8.314/O148/1000000</f>
        <v>3.0468186191965358E-3</v>
      </c>
      <c r="L148" s="63">
        <f t="shared" ref="L148:L159" si="128">B$4*O148^B$5*EXP(-B$6/1.987/O148)</f>
        <v>51915144096005.555</v>
      </c>
      <c r="M148" s="62">
        <f t="shared" si="123"/>
        <v>6083461487560017</v>
      </c>
      <c r="N148" s="2">
        <f t="shared" si="124"/>
        <v>25</v>
      </c>
      <c r="O148" s="11">
        <v>400</v>
      </c>
      <c r="P148" s="12"/>
      <c r="Q148" s="62">
        <f t="shared" si="125"/>
        <v>7659268242486.9629</v>
      </c>
      <c r="R148" s="19"/>
      <c r="S148" s="19"/>
      <c r="T148" s="19"/>
    </row>
    <row r="149" spans="4:20" ht="15.75" x14ac:dyDescent="0.2">
      <c r="D149" s="2">
        <f t="shared" si="118"/>
        <v>0.6063179533925096</v>
      </c>
      <c r="E149" s="2">
        <f t="shared" si="119"/>
        <v>-0.21729957188731674</v>
      </c>
      <c r="F149" s="2">
        <f t="shared" si="120"/>
        <v>-0.86217398139864043</v>
      </c>
      <c r="G149" s="62">
        <f t="shared" si="121"/>
        <v>0.21158031602425964</v>
      </c>
      <c r="H149" s="2">
        <f t="shared" si="126"/>
        <v>-0.18764924287290854</v>
      </c>
      <c r="I149" s="2">
        <f t="shared" si="122"/>
        <v>1.1525156142558302</v>
      </c>
      <c r="J149" s="62">
        <f t="shared" si="127"/>
        <v>0.48201280026072907</v>
      </c>
      <c r="K149" s="62">
        <f>$P$146*101325/760/8.314/O149/1000000</f>
        <v>2.4374548953572288E-3</v>
      </c>
      <c r="L149" s="63">
        <f t="shared" si="128"/>
        <v>55914419404048.281</v>
      </c>
      <c r="M149" s="62">
        <f t="shared" si="123"/>
        <v>4853583362857548</v>
      </c>
      <c r="N149" s="2">
        <f t="shared" si="124"/>
        <v>20</v>
      </c>
      <c r="O149" s="11">
        <v>500</v>
      </c>
      <c r="P149" s="12"/>
      <c r="Q149" s="62">
        <f t="shared" si="125"/>
        <v>5920348884670.4365</v>
      </c>
      <c r="R149" s="19"/>
      <c r="S149" s="19"/>
      <c r="T149" s="19"/>
    </row>
    <row r="150" spans="4:20" ht="15.75" x14ac:dyDescent="0.2">
      <c r="D150" s="2">
        <f t="shared" si="118"/>
        <v>0.64386512703828291</v>
      </c>
      <c r="E150" s="2">
        <f t="shared" si="119"/>
        <v>-0.19120509648728035</v>
      </c>
      <c r="F150" s="2">
        <f t="shared" si="120"/>
        <v>-1.0542975278354036</v>
      </c>
      <c r="G150" s="62">
        <f t="shared" si="121"/>
        <v>0.13594139274508021</v>
      </c>
      <c r="H150" s="2">
        <f t="shared" si="126"/>
        <v>-0.18764924287290854</v>
      </c>
      <c r="I150" s="2">
        <f t="shared" si="122"/>
        <v>1.1525156142558302</v>
      </c>
      <c r="J150" s="62">
        <f t="shared" si="127"/>
        <v>0.48201280026072907</v>
      </c>
      <c r="K150" s="62">
        <f>$P$146*101325/760/8.314/O150/1000000</f>
        <v>2.0312124127976907E-3</v>
      </c>
      <c r="L150" s="63">
        <f t="shared" si="128"/>
        <v>59954213423504.078</v>
      </c>
      <c r="M150" s="62">
        <f t="shared" si="123"/>
        <v>4012509584116398.5</v>
      </c>
      <c r="N150" s="2">
        <f t="shared" si="124"/>
        <v>16.666666666666668</v>
      </c>
      <c r="O150" s="11">
        <v>600</v>
      </c>
      <c r="P150" s="12"/>
      <c r="Q150" s="62">
        <f t="shared" si="125"/>
        <v>4619664144812.7734</v>
      </c>
      <c r="R150" s="19"/>
      <c r="S150" s="19"/>
      <c r="T150" s="19"/>
    </row>
    <row r="151" spans="4:20" ht="15.75" x14ac:dyDescent="0.2">
      <c r="D151" s="24">
        <f t="shared" si="118"/>
        <v>0.73914580283692122</v>
      </c>
      <c r="E151" s="24">
        <f t="shared" si="119"/>
        <v>-0.13126988485041224</v>
      </c>
      <c r="F151" s="24">
        <f t="shared" si="120"/>
        <v>-1.6444933390714787</v>
      </c>
      <c r="G151" s="25">
        <f t="shared" si="121"/>
        <v>3.4926567298588923E-2</v>
      </c>
      <c r="H151" s="24">
        <f t="shared" si="126"/>
        <v>-0.18764924287290854</v>
      </c>
      <c r="I151" s="24">
        <f t="shared" si="122"/>
        <v>1.1525156142558302</v>
      </c>
      <c r="J151" s="25">
        <f t="shared" si="127"/>
        <v>0.48201280026072907</v>
      </c>
      <c r="K151" s="25">
        <f>127.1*101325/8.314/O151/1000000</f>
        <v>1.3768911875551278E-3</v>
      </c>
      <c r="L151" s="26">
        <f t="shared" si="128"/>
        <v>79771642967365.547</v>
      </c>
      <c r="M151" s="25">
        <f t="shared" si="123"/>
        <v>2023507508654999.7</v>
      </c>
      <c r="N151" s="24">
        <f t="shared" si="124"/>
        <v>8.8888888888888893</v>
      </c>
      <c r="O151" s="27">
        <v>1125</v>
      </c>
      <c r="P151" s="28"/>
      <c r="Q151" s="25">
        <f t="shared" si="125"/>
        <v>1989871445798.0361</v>
      </c>
      <c r="R151" s="25"/>
      <c r="S151" s="25"/>
      <c r="T151" s="25"/>
    </row>
    <row r="152" spans="4:20" ht="15.75" x14ac:dyDescent="0.2">
      <c r="D152" s="24">
        <f t="shared" si="118"/>
        <v>0.7410144456764497</v>
      </c>
      <c r="E152" s="24">
        <f t="shared" si="119"/>
        <v>-0.13017332560175401</v>
      </c>
      <c r="F152" s="24">
        <f t="shared" si="120"/>
        <v>-1.6586483482295007</v>
      </c>
      <c r="G152" s="25">
        <f t="shared" si="121"/>
        <v>3.3806553261775119E-2</v>
      </c>
      <c r="H152" s="24">
        <f t="shared" si="126"/>
        <v>-0.18764924287290854</v>
      </c>
      <c r="I152" s="24">
        <f t="shared" si="122"/>
        <v>1.1525156142558302</v>
      </c>
      <c r="J152" s="25">
        <f t="shared" si="127"/>
        <v>0.48201280026072907</v>
      </c>
      <c r="K152" s="25">
        <f>130.3*101325/8.314/O152/1000000</f>
        <v>1.3808711863697693E-3</v>
      </c>
      <c r="L152" s="26">
        <f t="shared" si="128"/>
        <v>80649161866033.281</v>
      </c>
      <c r="M152" s="25">
        <f t="shared" si="123"/>
        <v>1974456569920406.2</v>
      </c>
      <c r="N152" s="24">
        <f t="shared" si="124"/>
        <v>8.695652173913043</v>
      </c>
      <c r="O152" s="27">
        <v>1150</v>
      </c>
      <c r="P152" s="28"/>
      <c r="Q152" s="25">
        <f t="shared" si="125"/>
        <v>1954286115968.8196</v>
      </c>
      <c r="R152" s="25"/>
      <c r="S152" s="25"/>
      <c r="T152" s="25"/>
    </row>
    <row r="153" spans="4:20" ht="15.75" x14ac:dyDescent="0.2">
      <c r="D153" s="24">
        <f t="shared" si="118"/>
        <v>0.74091802713795263</v>
      </c>
      <c r="E153" s="24">
        <f t="shared" si="119"/>
        <v>-0.13022983835122096</v>
      </c>
      <c r="F153" s="24">
        <f t="shared" si="120"/>
        <v>-1.6579145080859621</v>
      </c>
      <c r="G153" s="25">
        <f t="shared" si="121"/>
        <v>3.3863725477076924E-2</v>
      </c>
      <c r="H153" s="24">
        <f t="shared" si="126"/>
        <v>-0.18764924287290854</v>
      </c>
      <c r="I153" s="24">
        <f t="shared" si="122"/>
        <v>1.1525156142558302</v>
      </c>
      <c r="J153" s="25">
        <f t="shared" si="127"/>
        <v>0.48201280026072907</v>
      </c>
      <c r="K153" s="25">
        <f>150.1*101325/8.314/O153/1000000</f>
        <v>1.5080873033516903E-3</v>
      </c>
      <c r="L153" s="26">
        <f t="shared" si="128"/>
        <v>82836289905731.891</v>
      </c>
      <c r="M153" s="25">
        <f t="shared" si="123"/>
        <v>1860068296227208</v>
      </c>
      <c r="N153" s="24">
        <f t="shared" si="124"/>
        <v>8.2440230832646328</v>
      </c>
      <c r="O153" s="27">
        <v>1213</v>
      </c>
      <c r="P153" s="28"/>
      <c r="Q153" s="25">
        <f t="shared" si="125"/>
        <v>2010306320107.9807</v>
      </c>
      <c r="R153" s="25"/>
      <c r="S153" s="25"/>
      <c r="T153" s="25"/>
    </row>
    <row r="154" spans="4:20" ht="15.75" x14ac:dyDescent="0.2">
      <c r="D154" s="24">
        <f t="shared" si="118"/>
        <v>0.73735050515112821</v>
      </c>
      <c r="E154" s="24">
        <f t="shared" si="119"/>
        <v>-0.13232601788418991</v>
      </c>
      <c r="F154" s="24">
        <f t="shared" si="120"/>
        <v>-1.6310254796791446</v>
      </c>
      <c r="G154" s="25">
        <f t="shared" si="121"/>
        <v>3.6026640278815386E-2</v>
      </c>
      <c r="H154" s="24">
        <f t="shared" si="126"/>
        <v>-0.18764924287290854</v>
      </c>
      <c r="I154" s="24">
        <f t="shared" si="122"/>
        <v>1.1525156142558302</v>
      </c>
      <c r="J154" s="25">
        <f t="shared" si="127"/>
        <v>0.48201280026072907</v>
      </c>
      <c r="K154" s="25">
        <f>152.2*101325/8.314/O154/1000000</f>
        <v>1.5574333966136447E-3</v>
      </c>
      <c r="L154" s="26">
        <f t="shared" si="128"/>
        <v>82076413078770.125</v>
      </c>
      <c r="M154" s="25">
        <f t="shared" si="123"/>
        <v>1898596380296988.2</v>
      </c>
      <c r="N154" s="24">
        <f t="shared" si="124"/>
        <v>8.3963056255247697</v>
      </c>
      <c r="O154" s="27">
        <v>1191</v>
      </c>
      <c r="P154" s="28"/>
      <c r="Q154" s="25">
        <f t="shared" si="125"/>
        <v>2104481880802.1001</v>
      </c>
      <c r="R154" s="25"/>
      <c r="S154" s="25"/>
      <c r="T154" s="25"/>
    </row>
    <row r="155" spans="4:20" ht="15.75" x14ac:dyDescent="0.2">
      <c r="D155" s="24">
        <f t="shared" si="118"/>
        <v>0.73676909722249018</v>
      </c>
      <c r="E155" s="24">
        <f t="shared" si="119"/>
        <v>-0.1326685983204432</v>
      </c>
      <c r="F155" s="24">
        <f t="shared" si="120"/>
        <v>-1.6266910693068966</v>
      </c>
      <c r="G155" s="25">
        <f t="shared" si="121"/>
        <v>3.638799895495471E-2</v>
      </c>
      <c r="H155" s="24">
        <f t="shared" si="126"/>
        <v>-0.18764924287290854</v>
      </c>
      <c r="I155" s="24">
        <f t="shared" si="122"/>
        <v>1.1525156142558302</v>
      </c>
      <c r="J155" s="25">
        <f t="shared" si="127"/>
        <v>0.48201280026072907</v>
      </c>
      <c r="K155" s="25">
        <f>150.7*101325/8.314/O155/1000000</f>
        <v>1.5538259421756951E-3</v>
      </c>
      <c r="L155" s="26">
        <f t="shared" si="128"/>
        <v>81764362294610.953</v>
      </c>
      <c r="M155" s="25">
        <f t="shared" si="123"/>
        <v>1914784306897885.2</v>
      </c>
      <c r="N155" s="24">
        <f t="shared" si="124"/>
        <v>8.4602368866328259</v>
      </c>
      <c r="O155" s="27">
        <v>1182</v>
      </c>
      <c r="P155" s="28"/>
      <c r="Q155" s="25">
        <f t="shared" si="125"/>
        <v>2115101697518.262</v>
      </c>
      <c r="R155" s="25"/>
      <c r="S155" s="25"/>
      <c r="T155" s="25"/>
    </row>
    <row r="156" spans="4:20" ht="15.75" x14ac:dyDescent="0.2">
      <c r="D156" s="24">
        <f t="shared" si="118"/>
        <v>0.74818056086195872</v>
      </c>
      <c r="E156" s="24">
        <f t="shared" si="119"/>
        <v>-0.12599357977862755</v>
      </c>
      <c r="F156" s="24">
        <f t="shared" si="120"/>
        <v>-1.7142859280645681</v>
      </c>
      <c r="G156" s="25">
        <f t="shared" si="121"/>
        <v>2.9741530584989313E-2</v>
      </c>
      <c r="H156" s="24">
        <f t="shared" si="126"/>
        <v>-0.18764924287290854</v>
      </c>
      <c r="I156" s="24">
        <f t="shared" si="122"/>
        <v>1.1525156142558302</v>
      </c>
      <c r="J156" s="25">
        <f t="shared" si="127"/>
        <v>0.48201280026072907</v>
      </c>
      <c r="K156" s="25">
        <f>146.9*101325/8.314/O156/1000000</f>
        <v>1.416384984683453E-3</v>
      </c>
      <c r="L156" s="26">
        <f t="shared" si="128"/>
        <v>84582210747944.609</v>
      </c>
      <c r="M156" s="25">
        <f t="shared" si="123"/>
        <v>1776073903006121.7</v>
      </c>
      <c r="N156" s="24">
        <f t="shared" si="124"/>
        <v>7.9113924050632916</v>
      </c>
      <c r="O156" s="27">
        <v>1264</v>
      </c>
      <c r="P156" s="28"/>
      <c r="Q156" s="25">
        <f t="shared" si="125"/>
        <v>1827765765400.0881</v>
      </c>
      <c r="R156" s="25"/>
      <c r="S156" s="25"/>
      <c r="T156" s="25"/>
    </row>
    <row r="157" spans="4:20" ht="15.75" x14ac:dyDescent="0.2">
      <c r="D157" s="24">
        <f t="shared" si="118"/>
        <v>0.74552999591824565</v>
      </c>
      <c r="E157" s="24">
        <f t="shared" si="119"/>
        <v>-0.12753487830125826</v>
      </c>
      <c r="F157" s="24">
        <f t="shared" si="120"/>
        <v>-1.6934500234002174</v>
      </c>
      <c r="G157" s="25">
        <f t="shared" si="121"/>
        <v>3.120320608657462E-2</v>
      </c>
      <c r="H157" s="24">
        <f t="shared" si="126"/>
        <v>-0.18764924287290854</v>
      </c>
      <c r="I157" s="24">
        <f t="shared" si="122"/>
        <v>1.1525156142558302</v>
      </c>
      <c r="J157" s="25">
        <f t="shared" si="127"/>
        <v>0.48201280026072907</v>
      </c>
      <c r="K157" s="25">
        <f>148.1*101325/8.314/O157/1000000</f>
        <v>1.4497472690859661E-3</v>
      </c>
      <c r="L157" s="26">
        <f t="shared" si="128"/>
        <v>83934287634319.766</v>
      </c>
      <c r="M157" s="25">
        <f t="shared" si="123"/>
        <v>1806534787566625.5</v>
      </c>
      <c r="N157" s="24">
        <f t="shared" si="124"/>
        <v>8.0321285140562253</v>
      </c>
      <c r="O157" s="27">
        <v>1245</v>
      </c>
      <c r="P157" s="28"/>
      <c r="Q157" s="25">
        <f t="shared" si="125"/>
        <v>1893474651264.062</v>
      </c>
      <c r="R157" s="25"/>
      <c r="S157" s="25"/>
      <c r="T157" s="25"/>
    </row>
    <row r="158" spans="4:20" ht="15.75" x14ac:dyDescent="0.2">
      <c r="D158" s="24">
        <f t="shared" si="118"/>
        <v>0.75568168437071803</v>
      </c>
      <c r="E158" s="24">
        <f>LOG(J158)/(1+(F158/(I158-0.14*F158))^2)</f>
        <v>-0.1216611037490434</v>
      </c>
      <c r="F158" s="24">
        <f>LOG(G158)+H158</f>
        <v>-1.7749899957352324</v>
      </c>
      <c r="G158" s="25">
        <f>M158*K158/L158</f>
        <v>2.5861829675129167E-2</v>
      </c>
      <c r="H158" s="24">
        <f>-0.4-0.67*LOG(J158)</f>
        <v>-0.18764924287290854</v>
      </c>
      <c r="I158" s="24">
        <f>0.75-1.27*LOG(J158)</f>
        <v>1.1525156142558302</v>
      </c>
      <c r="J158" s="25">
        <f t="shared" si="127"/>
        <v>0.48201280026072907</v>
      </c>
      <c r="K158" s="25">
        <f>99*101325/8.314/O158/1000000</f>
        <v>1.0519094796877316E-3</v>
      </c>
      <c r="L158" s="26">
        <f t="shared" si="128"/>
        <v>80544152200547.078</v>
      </c>
      <c r="M158" s="25">
        <f>$B$7*O158^$B$8*EXP(-$B$9/1.987/O158)</f>
        <v>1980226612423524.2</v>
      </c>
      <c r="N158" s="24">
        <f>10000/O158</f>
        <v>8.7183958151700089</v>
      </c>
      <c r="O158" s="27">
        <v>1147</v>
      </c>
      <c r="P158" s="28"/>
      <c r="Q158" s="25">
        <f>L158/(1+L158/M158/K158)*D158</f>
        <v>1534416595824.8682</v>
      </c>
      <c r="R158" s="30"/>
    </row>
    <row r="159" spans="4:20" ht="15.75" x14ac:dyDescent="0.2">
      <c r="D159" s="2">
        <f t="shared" si="118"/>
        <v>0.8075968632935363</v>
      </c>
      <c r="E159" s="2">
        <f>LOG(J159)/(1+(F159/(I159-0.14*F159))^2)</f>
        <v>-9.2805376525022895E-2</v>
      </c>
      <c r="F159" s="2">
        <f>LOG(G159)+H159</f>
        <v>-2.289128359352858</v>
      </c>
      <c r="G159" s="62">
        <f>M159*K159/L159</f>
        <v>7.9162751997485271E-3</v>
      </c>
      <c r="H159" s="2">
        <f>-0.4-0.67*LOG(J159)</f>
        <v>-0.18764924287290854</v>
      </c>
      <c r="I159" s="2">
        <f>0.75-1.27*LOG(J159)</f>
        <v>1.1525156142558302</v>
      </c>
      <c r="J159" s="62">
        <f t="shared" si="127"/>
        <v>0.48201280026072907</v>
      </c>
      <c r="K159" s="62">
        <f>$P$146*101325/760/8.314/O159/1000000</f>
        <v>6.7707080426589682E-4</v>
      </c>
      <c r="L159" s="63">
        <f t="shared" si="128"/>
        <v>101779852540394.17</v>
      </c>
      <c r="M159" s="62">
        <f>$B$7*O159^$B$8*EXP(-$B$9/1.987/O159)</f>
        <v>1190004527477994.7</v>
      </c>
      <c r="N159" s="2">
        <f>10000/O159</f>
        <v>5.5555555555555554</v>
      </c>
      <c r="O159" s="11">
        <v>1800</v>
      </c>
      <c r="P159" s="12"/>
      <c r="Q159" s="62">
        <f>L159/(1+L159/M159/K159)*D159</f>
        <v>645584160473.02795</v>
      </c>
    </row>
    <row r="160" spans="4:20" x14ac:dyDescent="0.2">
      <c r="D160" s="2" t="s">
        <v>1</v>
      </c>
      <c r="E160" s="2" t="s">
        <v>2</v>
      </c>
      <c r="F160" s="58" t="s">
        <v>3</v>
      </c>
      <c r="G160" s="58" t="s">
        <v>4</v>
      </c>
      <c r="H160" s="58" t="s">
        <v>5</v>
      </c>
      <c r="I160" s="58" t="s">
        <v>6</v>
      </c>
      <c r="J160" s="58" t="s">
        <v>7</v>
      </c>
      <c r="K160" s="58" t="s">
        <v>8</v>
      </c>
      <c r="L160" s="58" t="s">
        <v>9</v>
      </c>
      <c r="M160" s="58" t="s">
        <v>10</v>
      </c>
      <c r="N160" s="58" t="s">
        <v>11</v>
      </c>
      <c r="O160" s="58"/>
      <c r="P160" s="58">
        <f>760*300</f>
        <v>228000</v>
      </c>
      <c r="Q160" s="58" t="s">
        <v>13</v>
      </c>
      <c r="R160" s="6"/>
    </row>
    <row r="161" spans="4:20" ht="15.75" x14ac:dyDescent="0.2">
      <c r="D161" s="2">
        <f t="shared" ref="D161:D173" si="129">10^E161</f>
        <v>0.48584048189263535</v>
      </c>
      <c r="E161" s="2">
        <f t="shared" ref="E161:E171" si="130">LOG(J161)/(1+(F161/(I161-0.14*F161))^2)</f>
        <v>-0.31350630111979105</v>
      </c>
      <c r="F161" s="2">
        <f t="shared" ref="F161:F171" si="131">LOG(G161)+H161</f>
        <v>0.11889862829350686</v>
      </c>
      <c r="G161" s="62">
        <f t="shared" ref="G161:G171" si="132">M161*K161/L161</f>
        <v>2.0255728682199736</v>
      </c>
      <c r="H161" s="2">
        <f>-0.4-0.67*LOG(J161)</f>
        <v>-0.18764924287290854</v>
      </c>
      <c r="I161" s="2">
        <f t="shared" ref="I161:I171" si="133">0.75-1.27*LOG(J161)</f>
        <v>1.1525156142558302</v>
      </c>
      <c r="J161" s="62">
        <f>(1-$B$10)*EXP(-O161/$B$11)+$B$10*EXP(-O161/$B$12)+EXP(-B$13/O161)</f>
        <v>0.48201280026072907</v>
      </c>
      <c r="K161" s="62">
        <f>$P$160*101325/760/8.314/O161/1000000</f>
        <v>1.2187274476786143E-2</v>
      </c>
      <c r="L161" s="63">
        <f>B$4*O161^B$5*EXP(-B$6/1.987/O161)</f>
        <v>48271057302442.148</v>
      </c>
      <c r="M161" s="62">
        <f t="shared" ref="M161:M171" si="134">$B$7*O161^$B$8*EXP(-$B$9/1.987/O161)</f>
        <v>8022839247475676</v>
      </c>
      <c r="N161" s="2">
        <f t="shared" ref="N161:N171" si="135">10000/O161</f>
        <v>33.333333333333336</v>
      </c>
      <c r="O161" s="11">
        <v>300</v>
      </c>
      <c r="P161" s="12"/>
      <c r="Q161" s="62">
        <f t="shared" ref="Q161:Q171" si="136">L161/(1+L161/M161/K161)*D161</f>
        <v>15700763233930.986</v>
      </c>
      <c r="R161" s="19"/>
      <c r="S161" s="19"/>
      <c r="T161" s="19"/>
    </row>
    <row r="162" spans="4:20" ht="15.75" x14ac:dyDescent="0.2">
      <c r="D162" s="2">
        <f t="shared" si="129"/>
        <v>0.48829132505474154</v>
      </c>
      <c r="E162" s="2">
        <f t="shared" si="130"/>
        <v>-0.31132099128893148</v>
      </c>
      <c r="F162" s="2">
        <f t="shared" si="131"/>
        <v>-0.15782468800101407</v>
      </c>
      <c r="G162" s="62">
        <f t="shared" si="132"/>
        <v>1.07108652314551</v>
      </c>
      <c r="H162" s="2">
        <f t="shared" ref="H162:H171" si="137">-0.4-0.67*LOG(J162)</f>
        <v>-0.18764924287290854</v>
      </c>
      <c r="I162" s="2">
        <f t="shared" si="133"/>
        <v>1.1525156142558302</v>
      </c>
      <c r="J162" s="62">
        <f t="shared" ref="J162:J173" si="138">(1-$B$10)*EXP(-O162/$B$11)+$B$10*EXP(-O162/$B$12)+EXP(-B$13/O162)</f>
        <v>0.48201280026072907</v>
      </c>
      <c r="K162" s="62">
        <f t="shared" ref="K162:K173" si="139">$P$160*101325/760/8.314/O162/1000000</f>
        <v>9.1404558575896074E-3</v>
      </c>
      <c r="L162" s="63">
        <f t="shared" ref="L162:L173" si="140">B$4*O162^B$5*EXP(-B$6/1.987/O162)</f>
        <v>51915144096005.555</v>
      </c>
      <c r="M162" s="62">
        <f t="shared" si="134"/>
        <v>6083461487560017</v>
      </c>
      <c r="N162" s="2">
        <f t="shared" si="135"/>
        <v>25</v>
      </c>
      <c r="O162" s="11">
        <v>400</v>
      </c>
      <c r="P162" s="12"/>
      <c r="Q162" s="62">
        <f t="shared" si="136"/>
        <v>13109900172794.219</v>
      </c>
      <c r="R162" s="19"/>
      <c r="S162" s="19"/>
      <c r="T162" s="19"/>
    </row>
    <row r="163" spans="4:20" ht="15.75" x14ac:dyDescent="0.2">
      <c r="D163" s="2">
        <f t="shared" si="129"/>
        <v>0.51565603247581282</v>
      </c>
      <c r="E163" s="2">
        <f t="shared" si="130"/>
        <v>-0.28763989722849492</v>
      </c>
      <c r="F163" s="2">
        <f t="shared" si="131"/>
        <v>-0.38505272667897805</v>
      </c>
      <c r="G163" s="62">
        <f t="shared" si="132"/>
        <v>0.63474094807277892</v>
      </c>
      <c r="H163" s="2">
        <f t="shared" si="137"/>
        <v>-0.18764924287290854</v>
      </c>
      <c r="I163" s="2">
        <f t="shared" si="133"/>
        <v>1.1525156142558302</v>
      </c>
      <c r="J163" s="62">
        <f t="shared" si="138"/>
        <v>0.48201280026072907</v>
      </c>
      <c r="K163" s="62">
        <f t="shared" si="139"/>
        <v>7.3123646860716865E-3</v>
      </c>
      <c r="L163" s="63">
        <f t="shared" si="140"/>
        <v>55914419404048.281</v>
      </c>
      <c r="M163" s="62">
        <f t="shared" si="134"/>
        <v>4853583362857548</v>
      </c>
      <c r="N163" s="2">
        <f t="shared" si="135"/>
        <v>20</v>
      </c>
      <c r="O163" s="11">
        <v>500</v>
      </c>
      <c r="P163" s="12"/>
      <c r="Q163" s="62">
        <f t="shared" si="136"/>
        <v>11195190741519.793</v>
      </c>
      <c r="R163" s="19"/>
      <c r="S163" s="19"/>
      <c r="T163" s="19"/>
    </row>
    <row r="164" spans="4:20" ht="15.75" x14ac:dyDescent="0.2">
      <c r="D164" s="2">
        <f t="shared" si="129"/>
        <v>0.54954225854969108</v>
      </c>
      <c r="E164" s="2">
        <f t="shared" si="130"/>
        <v>-0.25999890569856654</v>
      </c>
      <c r="F164" s="2">
        <f t="shared" si="131"/>
        <v>-0.57717627311574127</v>
      </c>
      <c r="G164" s="62">
        <f t="shared" si="132"/>
        <v>0.40782417823524059</v>
      </c>
      <c r="H164" s="2">
        <f t="shared" si="137"/>
        <v>-0.18764924287290854</v>
      </c>
      <c r="I164" s="2">
        <f t="shared" si="133"/>
        <v>1.1525156142558302</v>
      </c>
      <c r="J164" s="62">
        <f t="shared" si="138"/>
        <v>0.48201280026072907</v>
      </c>
      <c r="K164" s="62">
        <f t="shared" si="139"/>
        <v>6.0936372383930716E-3</v>
      </c>
      <c r="L164" s="63">
        <f t="shared" si="140"/>
        <v>59954213423504.078</v>
      </c>
      <c r="M164" s="62">
        <f t="shared" si="134"/>
        <v>4012509584116398.5</v>
      </c>
      <c r="N164" s="2">
        <f t="shared" si="135"/>
        <v>16.666666666666668</v>
      </c>
      <c r="O164" s="11">
        <v>600</v>
      </c>
      <c r="P164" s="12"/>
      <c r="Q164" s="62">
        <f t="shared" si="136"/>
        <v>9544327960038.1797</v>
      </c>
      <c r="R164" s="19"/>
      <c r="S164" s="19"/>
      <c r="T164" s="19"/>
    </row>
    <row r="165" spans="4:20" ht="15.75" x14ac:dyDescent="0.2">
      <c r="D165" s="2">
        <f t="shared" si="129"/>
        <v>0.58240236971115178</v>
      </c>
      <c r="E165" s="2">
        <f t="shared" si="130"/>
        <v>-0.23477686660988328</v>
      </c>
      <c r="F165" s="2">
        <f t="shared" si="131"/>
        <v>-0.74337428526850713</v>
      </c>
      <c r="G165" s="62">
        <f t="shared" si="132"/>
        <v>0.27814736983639521</v>
      </c>
      <c r="H165" s="2">
        <f t="shared" si="137"/>
        <v>-0.18764924287290854</v>
      </c>
      <c r="I165" s="2">
        <f t="shared" si="133"/>
        <v>1.1525156142558302</v>
      </c>
      <c r="J165" s="62">
        <f t="shared" si="138"/>
        <v>0.48201280026072907</v>
      </c>
      <c r="K165" s="62">
        <f t="shared" si="139"/>
        <v>5.2231176329083475E-3</v>
      </c>
      <c r="L165" s="63">
        <f t="shared" si="140"/>
        <v>63935043186733.742</v>
      </c>
      <c r="M165" s="62">
        <f t="shared" si="134"/>
        <v>3404741258500846</v>
      </c>
      <c r="N165" s="2">
        <f t="shared" si="135"/>
        <v>14.285714285714286</v>
      </c>
      <c r="O165" s="11">
        <v>700</v>
      </c>
      <c r="P165" s="12"/>
      <c r="Q165" s="62">
        <f t="shared" si="136"/>
        <v>8103191884839.5879</v>
      </c>
      <c r="R165" s="6"/>
    </row>
    <row r="166" spans="4:20" ht="15.75" x14ac:dyDescent="0.2">
      <c r="D166" s="2">
        <f t="shared" si="129"/>
        <v>0.61182148028880001</v>
      </c>
      <c r="E166" s="2">
        <f t="shared" si="130"/>
        <v>-0.2133752795462848</v>
      </c>
      <c r="F166" s="2">
        <f t="shared" si="131"/>
        <v>-0.88972089290830558</v>
      </c>
      <c r="G166" s="62">
        <f t="shared" si="132"/>
        <v>0.19857672778430657</v>
      </c>
      <c r="H166" s="2">
        <f t="shared" si="137"/>
        <v>-0.18764924287290854</v>
      </c>
      <c r="I166" s="2">
        <f t="shared" si="133"/>
        <v>1.1525156142558302</v>
      </c>
      <c r="J166" s="62">
        <f t="shared" si="138"/>
        <v>0.48201280026072907</v>
      </c>
      <c r="K166" s="62">
        <f t="shared" si="139"/>
        <v>4.5702279287948037E-3</v>
      </c>
      <c r="L166" s="63">
        <f t="shared" si="140"/>
        <v>67823786331033.422</v>
      </c>
      <c r="M166" s="62">
        <f t="shared" si="134"/>
        <v>2946948328485281.5</v>
      </c>
      <c r="N166" s="2">
        <f t="shared" si="135"/>
        <v>12.5</v>
      </c>
      <c r="O166" s="11">
        <v>800</v>
      </c>
      <c r="P166" s="12"/>
      <c r="Q166" s="62">
        <f t="shared" si="136"/>
        <v>6874945512664.9072</v>
      </c>
      <c r="R166" s="6"/>
    </row>
    <row r="167" spans="4:20" ht="15.75" x14ac:dyDescent="0.2">
      <c r="D167" s="2">
        <f t="shared" si="129"/>
        <v>0.63741229224887197</v>
      </c>
      <c r="E167" s="2">
        <f t="shared" si="130"/>
        <v>-0.1955795655808617</v>
      </c>
      <c r="F167" s="2">
        <f t="shared" si="131"/>
        <v>-1.0204087272291642</v>
      </c>
      <c r="G167" s="62">
        <f t="shared" si="132"/>
        <v>0.14697400056835624</v>
      </c>
      <c r="H167" s="2">
        <f t="shared" si="137"/>
        <v>-0.18764924287290854</v>
      </c>
      <c r="I167" s="2">
        <f t="shared" si="133"/>
        <v>1.1525156142558302</v>
      </c>
      <c r="J167" s="62">
        <f t="shared" si="138"/>
        <v>0.48201280026072907</v>
      </c>
      <c r="K167" s="62">
        <f t="shared" si="139"/>
        <v>4.0624248255953814E-3</v>
      </c>
      <c r="L167" s="63">
        <f t="shared" si="140"/>
        <v>71611384152110.969</v>
      </c>
      <c r="M167" s="62">
        <f t="shared" si="134"/>
        <v>2590820031612673.5</v>
      </c>
      <c r="N167" s="2">
        <f t="shared" si="135"/>
        <v>11.111111111111111</v>
      </c>
      <c r="O167" s="11">
        <v>900</v>
      </c>
      <c r="P167" s="12"/>
      <c r="Q167" s="62">
        <f t="shared" si="136"/>
        <v>5849105364363.4414</v>
      </c>
      <c r="R167" s="6"/>
    </row>
    <row r="168" spans="4:20" ht="15.75" x14ac:dyDescent="0.2">
      <c r="D168" s="2">
        <f t="shared" si="129"/>
        <v>0.65948565741545129</v>
      </c>
      <c r="E168" s="2">
        <f t="shared" si="130"/>
        <v>-0.1807946451108817</v>
      </c>
      <c r="F168" s="2">
        <f t="shared" si="131"/>
        <v>-1.1384417136850966</v>
      </c>
      <c r="G168" s="62">
        <f t="shared" si="132"/>
        <v>0.11199729387345229</v>
      </c>
      <c r="H168" s="2">
        <f t="shared" si="137"/>
        <v>-0.18764924287290854</v>
      </c>
      <c r="I168" s="2">
        <f t="shared" si="133"/>
        <v>1.1525156142558302</v>
      </c>
      <c r="J168" s="62">
        <f t="shared" si="138"/>
        <v>0.48201280026072907</v>
      </c>
      <c r="K168" s="62">
        <f t="shared" si="139"/>
        <v>3.6561823430358432E-3</v>
      </c>
      <c r="L168" s="63">
        <f t="shared" si="140"/>
        <v>75298240556451.203</v>
      </c>
      <c r="M168" s="62">
        <f t="shared" si="134"/>
        <v>2306558695525130.5</v>
      </c>
      <c r="N168" s="2">
        <f t="shared" si="135"/>
        <v>10</v>
      </c>
      <c r="O168" s="11">
        <v>1000</v>
      </c>
      <c r="P168" s="12"/>
      <c r="Q168" s="62">
        <f t="shared" si="136"/>
        <v>5001427551289.5225</v>
      </c>
    </row>
    <row r="169" spans="4:20" ht="15.75" x14ac:dyDescent="0.2">
      <c r="D169" s="2">
        <f t="shared" si="129"/>
        <v>0.67853368338908804</v>
      </c>
      <c r="E169" s="2">
        <f t="shared" si="130"/>
        <v>-0.16842858846567879</v>
      </c>
      <c r="F169" s="2">
        <f t="shared" si="131"/>
        <v>-1.2460411301210979</v>
      </c>
      <c r="G169" s="62">
        <f t="shared" si="132"/>
        <v>8.7419458646634488E-2</v>
      </c>
      <c r="H169" s="2">
        <f t="shared" si="137"/>
        <v>-0.18764924287290854</v>
      </c>
      <c r="I169" s="2">
        <f t="shared" si="133"/>
        <v>1.1525156142558302</v>
      </c>
      <c r="J169" s="62">
        <f t="shared" si="138"/>
        <v>0.48201280026072907</v>
      </c>
      <c r="K169" s="62">
        <f t="shared" si="139"/>
        <v>3.3238021300325848E-3</v>
      </c>
      <c r="L169" s="63">
        <f t="shared" si="140"/>
        <v>78888524675193.109</v>
      </c>
      <c r="M169" s="62">
        <f t="shared" si="134"/>
        <v>2074850382405116</v>
      </c>
      <c r="N169" s="2">
        <f t="shared" si="135"/>
        <v>9.0909090909090917</v>
      </c>
      <c r="O169" s="11">
        <v>1100</v>
      </c>
      <c r="P169" s="12"/>
      <c r="Q169" s="62">
        <f t="shared" si="136"/>
        <v>4303246838591.0186</v>
      </c>
    </row>
    <row r="170" spans="4:20" ht="15.75" x14ac:dyDescent="0.2">
      <c r="D170" s="2">
        <f t="shared" si="129"/>
        <v>0.69504401499280055</v>
      </c>
      <c r="E170" s="2">
        <f t="shared" si="130"/>
        <v>-0.15798769200957</v>
      </c>
      <c r="F170" s="2">
        <f t="shared" si="131"/>
        <v>-1.3448937815210773</v>
      </c>
      <c r="G170" s="62">
        <f t="shared" si="132"/>
        <v>6.9623437430248972E-2</v>
      </c>
      <c r="H170" s="2">
        <f t="shared" si="137"/>
        <v>-0.18764924287290854</v>
      </c>
      <c r="I170" s="2">
        <f t="shared" si="133"/>
        <v>1.1525156142558302</v>
      </c>
      <c r="J170" s="62">
        <f t="shared" si="138"/>
        <v>0.48201280026072907</v>
      </c>
      <c r="K170" s="62">
        <f t="shared" si="139"/>
        <v>3.0468186191965358E-3</v>
      </c>
      <c r="L170" s="63">
        <f t="shared" si="140"/>
        <v>82387769635664.406</v>
      </c>
      <c r="M170" s="62">
        <f t="shared" si="134"/>
        <v>1882658747096371.7</v>
      </c>
      <c r="N170" s="2">
        <f t="shared" si="135"/>
        <v>8.3333333333333339</v>
      </c>
      <c r="O170" s="11">
        <v>1200</v>
      </c>
      <c r="P170" s="12"/>
      <c r="Q170" s="62">
        <f t="shared" si="136"/>
        <v>3727345104925.8945</v>
      </c>
    </row>
    <row r="171" spans="4:20" ht="15.75" x14ac:dyDescent="0.2">
      <c r="D171" s="2">
        <f t="shared" si="129"/>
        <v>0.70944251711319184</v>
      </c>
      <c r="E171" s="2">
        <f t="shared" si="130"/>
        <v>-0.14908278767923028</v>
      </c>
      <c r="F171" s="2">
        <f t="shared" si="131"/>
        <v>-1.4363097822919799</v>
      </c>
      <c r="G171" s="62">
        <f t="shared" si="132"/>
        <v>5.6407838802476129E-2</v>
      </c>
      <c r="H171" s="2">
        <f t="shared" si="137"/>
        <v>-0.18764924287290854</v>
      </c>
      <c r="I171" s="2">
        <f t="shared" si="133"/>
        <v>1.1525156142558302</v>
      </c>
      <c r="J171" s="62">
        <f t="shared" si="138"/>
        <v>0.48201280026072907</v>
      </c>
      <c r="K171" s="62">
        <f t="shared" si="139"/>
        <v>2.8124479561814179E-3</v>
      </c>
      <c r="L171" s="63">
        <f t="shared" si="140"/>
        <v>85801817887422.609</v>
      </c>
      <c r="M171" s="62">
        <f t="shared" si="134"/>
        <v>1720883439537306.7</v>
      </c>
      <c r="N171" s="2">
        <f t="shared" si="135"/>
        <v>7.6923076923076925</v>
      </c>
      <c r="O171" s="11">
        <v>1300</v>
      </c>
      <c r="P171" s="12"/>
      <c r="Q171" s="62">
        <f t="shared" si="136"/>
        <v>3250285775012.751</v>
      </c>
    </row>
    <row r="172" spans="4:20" ht="15.75" x14ac:dyDescent="0.2">
      <c r="D172" s="2">
        <f t="shared" si="129"/>
        <v>0.73325626752382389</v>
      </c>
      <c r="E172" s="2">
        <f>LOG(J172)/(1+(F172/(I172-0.14*F172))^2)</f>
        <v>-0.13474421619005747</v>
      </c>
      <c r="F172" s="2">
        <f>LOG(G172)+H172</f>
        <v>-1.6007788629974757</v>
      </c>
      <c r="G172" s="62">
        <f>M172*K172/L172</f>
        <v>3.8625167864501236E-2</v>
      </c>
      <c r="H172" s="2">
        <f>-0.4-0.67*LOG(J172)</f>
        <v>-0.18764924287290854</v>
      </c>
      <c r="I172" s="2">
        <f>0.75-1.27*LOG(J172)</f>
        <v>1.1525156142558302</v>
      </c>
      <c r="J172" s="62">
        <f t="shared" si="138"/>
        <v>0.48201280026072907</v>
      </c>
      <c r="K172" s="62">
        <f t="shared" si="139"/>
        <v>2.4374548953572288E-3</v>
      </c>
      <c r="L172" s="63">
        <f t="shared" si="140"/>
        <v>92396720595423.437</v>
      </c>
      <c r="M172" s="62">
        <f>$B$7*O172^$B$8*EXP(-$B$9/1.987/O172)</f>
        <v>1464166106181262</v>
      </c>
      <c r="N172" s="2">
        <f>10000/O172</f>
        <v>6.666666666666667</v>
      </c>
      <c r="O172" s="11">
        <v>1500</v>
      </c>
      <c r="P172" s="12"/>
      <c r="Q172" s="62">
        <f>L172/(1+L172/M172/K172)*D172</f>
        <v>2519555206703.0386</v>
      </c>
    </row>
    <row r="173" spans="4:20" ht="15.75" x14ac:dyDescent="0.2">
      <c r="D173" s="2">
        <f t="shared" si="129"/>
        <v>0.76009795750582987</v>
      </c>
      <c r="E173" s="2">
        <f>LOG(J173)/(1+(F173/(I173-0.14*F173))^2)</f>
        <v>-0.11913043447867931</v>
      </c>
      <c r="F173" s="2">
        <f>LOG(G173)+H173</f>
        <v>-1.8120071046331956</v>
      </c>
      <c r="G173" s="62">
        <f>M173*K173/L173</f>
        <v>2.3748825599245581E-2</v>
      </c>
      <c r="H173" s="2">
        <f>-0.4-0.67*LOG(J173)</f>
        <v>-0.18764924287290854</v>
      </c>
      <c r="I173" s="2">
        <f>0.75-1.27*LOG(J173)</f>
        <v>1.1525156142558302</v>
      </c>
      <c r="J173" s="62">
        <f t="shared" si="138"/>
        <v>0.48201280026072907</v>
      </c>
      <c r="K173" s="62">
        <f t="shared" si="139"/>
        <v>2.0312124127976907E-3</v>
      </c>
      <c r="L173" s="63">
        <f t="shared" si="140"/>
        <v>101779852540394.17</v>
      </c>
      <c r="M173" s="62">
        <f>$B$7*O173^$B$8*EXP(-$B$9/1.987/O173)</f>
        <v>1190004527477994.7</v>
      </c>
      <c r="N173" s="2">
        <f>10000/O173</f>
        <v>5.5555555555555554</v>
      </c>
      <c r="O173" s="11">
        <v>1800</v>
      </c>
      <c r="P173" s="12"/>
      <c r="Q173" s="62">
        <f>L173/(1+L173/M173/K173)*D173</f>
        <v>1794651410126.467</v>
      </c>
    </row>
    <row r="174" spans="4:20" x14ac:dyDescent="0.2">
      <c r="D174" s="2" t="s">
        <v>1</v>
      </c>
      <c r="E174" s="2" t="s">
        <v>2</v>
      </c>
      <c r="F174" s="58" t="s">
        <v>3</v>
      </c>
      <c r="G174" s="58" t="s">
        <v>4</v>
      </c>
      <c r="H174" s="58" t="s">
        <v>5</v>
      </c>
      <c r="I174" s="58" t="s">
        <v>6</v>
      </c>
      <c r="J174" s="58" t="s">
        <v>7</v>
      </c>
      <c r="K174" s="58" t="s">
        <v>8</v>
      </c>
      <c r="L174" s="58" t="s">
        <v>9</v>
      </c>
      <c r="M174" s="58" t="s">
        <v>10</v>
      </c>
      <c r="N174" s="58" t="s">
        <v>11</v>
      </c>
      <c r="O174" s="58"/>
      <c r="P174" s="58">
        <f>760*900</f>
        <v>684000</v>
      </c>
      <c r="Q174" s="58" t="s">
        <v>13</v>
      </c>
      <c r="R174" s="6"/>
    </row>
    <row r="175" spans="4:20" ht="15.75" x14ac:dyDescent="0.2">
      <c r="D175" s="2">
        <f t="shared" ref="D175:D187" si="141">10^E175</f>
        <v>0.5730744639261941</v>
      </c>
      <c r="E175" s="2">
        <f t="shared" ref="E175:E185" si="142">LOG(J175)/(1+(F175/(I175-0.14*F175))^2)</f>
        <v>-0.24178894317901131</v>
      </c>
      <c r="F175" s="2">
        <f t="shared" ref="F175:F185" si="143">LOG(G175)+H175</f>
        <v>0.59601988301316944</v>
      </c>
      <c r="G175" s="62">
        <f t="shared" ref="G175:G185" si="144">M175*K175/L175</f>
        <v>6.0767186046599218</v>
      </c>
      <c r="H175" s="2">
        <f>-0.4-0.67*LOG(J175)</f>
        <v>-0.18764924287290854</v>
      </c>
      <c r="I175" s="2">
        <f t="shared" ref="I175:I185" si="145">0.75-1.27*LOG(J175)</f>
        <v>1.1525156142558302</v>
      </c>
      <c r="J175" s="62">
        <f>(1-$B$10)*EXP(-O175/$B$11)+$B$10*EXP(-O175/$B$12)+EXP(-B$13/O175)</f>
        <v>0.48201280026072907</v>
      </c>
      <c r="K175" s="62">
        <f>$P$174*101325/760/8.314/O175/1000000</f>
        <v>3.656182343035843E-2</v>
      </c>
      <c r="L175" s="63">
        <f>B$4*O175^B$5*EXP(-B$6/1.987/O175)</f>
        <v>48271057302442.148</v>
      </c>
      <c r="M175" s="62">
        <f t="shared" ref="M175:M185" si="146">$B$7*O175^$B$8*EXP(-$B$9/1.987/O175)</f>
        <v>8022839247475676</v>
      </c>
      <c r="N175" s="2">
        <f t="shared" ref="N175:N185" si="147">10000/O175</f>
        <v>33.333333333333336</v>
      </c>
      <c r="O175" s="11">
        <v>300</v>
      </c>
      <c r="P175" s="12"/>
      <c r="Q175" s="62">
        <f t="shared" ref="Q175:Q185" si="148">L175/(1+L175/M175/K175)*D175</f>
        <v>23753907847604.16</v>
      </c>
      <c r="R175" s="19"/>
      <c r="S175" s="19"/>
      <c r="T175" s="19"/>
    </row>
    <row r="176" spans="4:20" ht="15.75" x14ac:dyDescent="0.2">
      <c r="D176" s="2">
        <f t="shared" si="141"/>
        <v>0.50976274474586381</v>
      </c>
      <c r="E176" s="2">
        <f t="shared" si="142"/>
        <v>-0.29263190747505929</v>
      </c>
      <c r="F176" s="2">
        <f t="shared" si="143"/>
        <v>0.31929656671864848</v>
      </c>
      <c r="G176" s="62">
        <f t="shared" si="144"/>
        <v>3.2132595694365307</v>
      </c>
      <c r="H176" s="2">
        <f t="shared" ref="H176:H185" si="149">-0.4-0.67*LOG(J176)</f>
        <v>-0.18764924287290854</v>
      </c>
      <c r="I176" s="2">
        <f t="shared" si="145"/>
        <v>1.1525156142558302</v>
      </c>
      <c r="J176" s="62">
        <f t="shared" ref="J176:J187" si="150">(1-$B$10)*EXP(-O176/$B$11)+$B$10*EXP(-O176/$B$12)+EXP(-B$13/O176)</f>
        <v>0.48201280026072907</v>
      </c>
      <c r="K176" s="62">
        <f t="shared" ref="K176:K187" si="151">$P$174*101325/760/8.314/O176/1000000</f>
        <v>2.7421367572768824E-2</v>
      </c>
      <c r="L176" s="63">
        <f t="shared" ref="L176:L187" si="152">B$4*O176^B$5*EXP(-B$6/1.987/O176)</f>
        <v>51915144096005.555</v>
      </c>
      <c r="M176" s="62">
        <f t="shared" si="146"/>
        <v>6083461487560017</v>
      </c>
      <c r="N176" s="2">
        <f t="shared" si="147"/>
        <v>25</v>
      </c>
      <c r="O176" s="11">
        <v>400</v>
      </c>
      <c r="P176" s="12"/>
      <c r="Q176" s="62">
        <f t="shared" si="148"/>
        <v>20183187279716</v>
      </c>
      <c r="R176" s="19"/>
      <c r="S176" s="19"/>
      <c r="T176" s="19"/>
    </row>
    <row r="177" spans="4:24" ht="15.75" x14ac:dyDescent="0.2">
      <c r="D177" s="2">
        <f t="shared" si="141"/>
        <v>0.48429920773130447</v>
      </c>
      <c r="E177" s="2">
        <f t="shared" si="142"/>
        <v>-0.31488624141847005</v>
      </c>
      <c r="F177" s="2">
        <f t="shared" si="143"/>
        <v>9.2068528040684466E-2</v>
      </c>
      <c r="G177" s="62">
        <f t="shared" si="144"/>
        <v>1.9042228442183369</v>
      </c>
      <c r="H177" s="2">
        <f t="shared" si="149"/>
        <v>-0.18764924287290854</v>
      </c>
      <c r="I177" s="2">
        <f t="shared" si="145"/>
        <v>1.1525156142558302</v>
      </c>
      <c r="J177" s="62">
        <f t="shared" si="150"/>
        <v>0.48201280026072907</v>
      </c>
      <c r="K177" s="62">
        <f t="shared" si="151"/>
        <v>2.1937094058215059E-2</v>
      </c>
      <c r="L177" s="63">
        <f t="shared" si="152"/>
        <v>55914419404048.281</v>
      </c>
      <c r="M177" s="62">
        <f t="shared" si="146"/>
        <v>4853583362857548</v>
      </c>
      <c r="N177" s="2">
        <f t="shared" si="147"/>
        <v>20</v>
      </c>
      <c r="O177" s="11">
        <v>500</v>
      </c>
      <c r="P177" s="12"/>
      <c r="Q177" s="62">
        <f t="shared" si="148"/>
        <v>17755193593576.203</v>
      </c>
      <c r="R177" s="19"/>
      <c r="S177" s="19"/>
      <c r="T177" s="19"/>
    </row>
    <row r="178" spans="4:24" ht="15.75" x14ac:dyDescent="0.2">
      <c r="D178" s="2">
        <f t="shared" si="141"/>
        <v>0.48458863906321548</v>
      </c>
      <c r="E178" s="2">
        <f t="shared" si="142"/>
        <v>-0.31462677189473992</v>
      </c>
      <c r="F178" s="2">
        <f t="shared" si="143"/>
        <v>-0.10005501839607876</v>
      </c>
      <c r="G178" s="62">
        <f t="shared" si="144"/>
        <v>1.2234725347057218</v>
      </c>
      <c r="H178" s="2">
        <f t="shared" si="149"/>
        <v>-0.18764924287290854</v>
      </c>
      <c r="I178" s="2">
        <f t="shared" si="145"/>
        <v>1.1525156142558302</v>
      </c>
      <c r="J178" s="62">
        <f t="shared" si="150"/>
        <v>0.48201280026072907</v>
      </c>
      <c r="K178" s="62">
        <f t="shared" si="151"/>
        <v>1.8280911715179215E-2</v>
      </c>
      <c r="L178" s="63">
        <f t="shared" si="152"/>
        <v>59954213423504.078</v>
      </c>
      <c r="M178" s="62">
        <f t="shared" si="146"/>
        <v>4012509584116398.5</v>
      </c>
      <c r="N178" s="2">
        <f t="shared" si="147"/>
        <v>16.666666666666668</v>
      </c>
      <c r="O178" s="11">
        <v>600</v>
      </c>
      <c r="P178" s="12"/>
      <c r="Q178" s="62">
        <f t="shared" si="148"/>
        <v>15986573654670.145</v>
      </c>
      <c r="R178" s="19"/>
      <c r="S178" s="19"/>
      <c r="T178" s="19"/>
    </row>
    <row r="179" spans="4:24" ht="15.75" x14ac:dyDescent="0.2">
      <c r="D179" s="2">
        <f t="shared" si="141"/>
        <v>0.49908379285783866</v>
      </c>
      <c r="E179" s="2">
        <f t="shared" si="142"/>
        <v>-0.30182653309258933</v>
      </c>
      <c r="F179" s="2">
        <f t="shared" si="143"/>
        <v>-0.26625303054884475</v>
      </c>
      <c r="G179" s="62">
        <f t="shared" si="144"/>
        <v>0.83444210950918551</v>
      </c>
      <c r="H179" s="2">
        <f t="shared" si="149"/>
        <v>-0.18764924287290854</v>
      </c>
      <c r="I179" s="2">
        <f t="shared" si="145"/>
        <v>1.1525156142558302</v>
      </c>
      <c r="J179" s="62">
        <f t="shared" si="150"/>
        <v>0.48201280026072907</v>
      </c>
      <c r="K179" s="62">
        <f t="shared" si="151"/>
        <v>1.5669352898725043E-2</v>
      </c>
      <c r="L179" s="63">
        <f t="shared" si="152"/>
        <v>63935043186733.742</v>
      </c>
      <c r="M179" s="62">
        <f t="shared" si="146"/>
        <v>3404741258500846</v>
      </c>
      <c r="N179" s="2">
        <f t="shared" si="147"/>
        <v>14.285714285714286</v>
      </c>
      <c r="O179" s="11">
        <v>700</v>
      </c>
      <c r="P179" s="12"/>
      <c r="Q179" s="62">
        <f t="shared" si="148"/>
        <v>14514585268469.238</v>
      </c>
      <c r="R179" s="19"/>
      <c r="S179" s="19"/>
      <c r="T179" s="19"/>
    </row>
    <row r="180" spans="4:24" ht="15.75" x14ac:dyDescent="0.2">
      <c r="D180" s="2">
        <f t="shared" si="141"/>
        <v>0.52006622129666868</v>
      </c>
      <c r="E180" s="2">
        <f t="shared" si="142"/>
        <v>-0.28394135307166496</v>
      </c>
      <c r="F180" s="2">
        <f t="shared" si="143"/>
        <v>-0.41259963818864309</v>
      </c>
      <c r="G180" s="62">
        <f t="shared" si="144"/>
        <v>0.59573018335291983</v>
      </c>
      <c r="H180" s="2">
        <f t="shared" si="149"/>
        <v>-0.18764924287290854</v>
      </c>
      <c r="I180" s="2">
        <f t="shared" si="145"/>
        <v>1.1525156142558302</v>
      </c>
      <c r="J180" s="62">
        <f t="shared" si="150"/>
        <v>0.48201280026072907</v>
      </c>
      <c r="K180" s="62">
        <f t="shared" si="151"/>
        <v>1.3710683786384412E-2</v>
      </c>
      <c r="L180" s="63">
        <f t="shared" si="152"/>
        <v>67823786331033.422</v>
      </c>
      <c r="M180" s="62">
        <f t="shared" si="146"/>
        <v>2946948328485281.5</v>
      </c>
      <c r="N180" s="2">
        <f t="shared" si="147"/>
        <v>12.5</v>
      </c>
      <c r="O180" s="11">
        <v>800</v>
      </c>
      <c r="P180" s="12"/>
      <c r="Q180" s="62">
        <f t="shared" si="148"/>
        <v>13168333679444.098</v>
      </c>
      <c r="R180" s="6"/>
      <c r="S180" s="6"/>
      <c r="T180" s="6"/>
    </row>
    <row r="181" spans="4:24" ht="15.75" x14ac:dyDescent="0.2">
      <c r="D181" s="2">
        <f t="shared" si="141"/>
        <v>0.54312378365936276</v>
      </c>
      <c r="E181" s="2">
        <f t="shared" si="142"/>
        <v>-0.26510117882059475</v>
      </c>
      <c r="F181" s="2">
        <f t="shared" si="143"/>
        <v>-0.54328747250950182</v>
      </c>
      <c r="G181" s="62">
        <f t="shared" si="144"/>
        <v>0.44092200170506873</v>
      </c>
      <c r="H181" s="2">
        <f t="shared" si="149"/>
        <v>-0.18764924287290854</v>
      </c>
      <c r="I181" s="2">
        <f t="shared" si="145"/>
        <v>1.1525156142558302</v>
      </c>
      <c r="J181" s="62">
        <f t="shared" si="150"/>
        <v>0.48201280026072907</v>
      </c>
      <c r="K181" s="62">
        <f t="shared" si="151"/>
        <v>1.2187274476786143E-2</v>
      </c>
      <c r="L181" s="63">
        <f t="shared" si="152"/>
        <v>71611384152110.969</v>
      </c>
      <c r="M181" s="62">
        <f t="shared" si="146"/>
        <v>2590820031612673.5</v>
      </c>
      <c r="N181" s="2">
        <f t="shared" si="147"/>
        <v>11.111111111111111</v>
      </c>
      <c r="O181" s="11">
        <v>900</v>
      </c>
      <c r="P181" s="12"/>
      <c r="Q181" s="62">
        <f t="shared" si="148"/>
        <v>11901513318568.865</v>
      </c>
      <c r="R181" s="6"/>
      <c r="S181" s="6"/>
      <c r="T181" s="6"/>
    </row>
    <row r="182" spans="4:24" ht="15.75" x14ac:dyDescent="0.2">
      <c r="D182" s="2">
        <f t="shared" si="141"/>
        <v>0.56597413747916803</v>
      </c>
      <c r="E182" s="2">
        <f t="shared" si="142"/>
        <v>-0.24720341369990317</v>
      </c>
      <c r="F182" s="2">
        <f t="shared" si="143"/>
        <v>-0.66132045896543423</v>
      </c>
      <c r="G182" s="62">
        <f t="shared" si="144"/>
        <v>0.33599188162035687</v>
      </c>
      <c r="H182" s="2">
        <f t="shared" si="149"/>
        <v>-0.18764924287290854</v>
      </c>
      <c r="I182" s="2">
        <f t="shared" si="145"/>
        <v>1.1525156142558302</v>
      </c>
      <c r="J182" s="62">
        <f t="shared" si="150"/>
        <v>0.48201280026072907</v>
      </c>
      <c r="K182" s="62">
        <f t="shared" si="151"/>
        <v>1.0968547029107529E-2</v>
      </c>
      <c r="L182" s="63">
        <f t="shared" si="152"/>
        <v>75298240556451.203</v>
      </c>
      <c r="M182" s="62">
        <f t="shared" si="146"/>
        <v>2306558695525130.5</v>
      </c>
      <c r="N182" s="2">
        <f t="shared" si="147"/>
        <v>10</v>
      </c>
      <c r="O182" s="11">
        <v>1000</v>
      </c>
      <c r="P182" s="12"/>
      <c r="Q182" s="62">
        <f t="shared" si="148"/>
        <v>10717818039206.061</v>
      </c>
      <c r="S182" s="6"/>
      <c r="T182" s="6"/>
    </row>
    <row r="183" spans="4:24" ht="15.75" x14ac:dyDescent="0.2">
      <c r="D183" s="2">
        <f t="shared" si="141"/>
        <v>0.58755124824297766</v>
      </c>
      <c r="E183" s="2">
        <f t="shared" si="142"/>
        <v>-0.2309542467439783</v>
      </c>
      <c r="F183" s="2">
        <f t="shared" si="143"/>
        <v>-0.76891987540143525</v>
      </c>
      <c r="G183" s="62">
        <f t="shared" si="144"/>
        <v>0.26225837593990348</v>
      </c>
      <c r="H183" s="2">
        <f t="shared" si="149"/>
        <v>-0.18764924287290854</v>
      </c>
      <c r="I183" s="2">
        <f t="shared" si="145"/>
        <v>1.1525156142558302</v>
      </c>
      <c r="J183" s="62">
        <f t="shared" si="150"/>
        <v>0.48201280026072907</v>
      </c>
      <c r="K183" s="62">
        <f t="shared" si="151"/>
        <v>9.9714063900977548E-3</v>
      </c>
      <c r="L183" s="63">
        <f t="shared" si="152"/>
        <v>78888524675193.109</v>
      </c>
      <c r="M183" s="62">
        <f t="shared" si="146"/>
        <v>2074850382405116</v>
      </c>
      <c r="N183" s="2">
        <f t="shared" si="147"/>
        <v>9.0909090909090917</v>
      </c>
      <c r="O183" s="11">
        <v>1100</v>
      </c>
      <c r="P183" s="12"/>
      <c r="Q183" s="62">
        <f t="shared" si="148"/>
        <v>9630319456056.0273</v>
      </c>
      <c r="S183" s="6"/>
      <c r="T183" s="6"/>
    </row>
    <row r="184" spans="4:24" ht="15.75" x14ac:dyDescent="0.2">
      <c r="D184" s="2">
        <f t="shared" si="141"/>
        <v>0.60743866305557437</v>
      </c>
      <c r="E184" s="2">
        <f t="shared" si="142"/>
        <v>-0.21649756899117228</v>
      </c>
      <c r="F184" s="2">
        <f t="shared" si="143"/>
        <v>-0.86777252680141459</v>
      </c>
      <c r="G184" s="62">
        <f t="shared" si="144"/>
        <v>0.20887031229074693</v>
      </c>
      <c r="H184" s="2">
        <f t="shared" si="149"/>
        <v>-0.18764924287290854</v>
      </c>
      <c r="I184" s="2">
        <f t="shared" si="145"/>
        <v>1.1525156142558302</v>
      </c>
      <c r="J184" s="62">
        <f t="shared" si="150"/>
        <v>0.48201280026072907</v>
      </c>
      <c r="K184" s="62">
        <f t="shared" si="151"/>
        <v>9.1404558575896074E-3</v>
      </c>
      <c r="L184" s="63">
        <f t="shared" si="152"/>
        <v>82387769635664.406</v>
      </c>
      <c r="M184" s="62">
        <f t="shared" si="146"/>
        <v>1882658747096371.7</v>
      </c>
      <c r="N184" s="2">
        <f t="shared" si="147"/>
        <v>8.3333333333333339</v>
      </c>
      <c r="O184" s="11">
        <v>1200</v>
      </c>
      <c r="P184" s="12"/>
      <c r="Q184" s="62">
        <f t="shared" si="148"/>
        <v>8646934731535.4092</v>
      </c>
      <c r="S184" s="6"/>
      <c r="T184" s="6"/>
    </row>
    <row r="185" spans="4:24" ht="15.75" x14ac:dyDescent="0.2">
      <c r="D185" s="2">
        <f t="shared" si="141"/>
        <v>0.62554922287180947</v>
      </c>
      <c r="E185" s="2">
        <f t="shared" si="142"/>
        <v>-0.2037385111016104</v>
      </c>
      <c r="F185" s="2">
        <f t="shared" si="143"/>
        <v>-0.95918852757231743</v>
      </c>
      <c r="G185" s="62">
        <f t="shared" si="144"/>
        <v>0.16922351640742839</v>
      </c>
      <c r="H185" s="2">
        <f t="shared" si="149"/>
        <v>-0.18764924287290854</v>
      </c>
      <c r="I185" s="2">
        <f t="shared" si="145"/>
        <v>1.1525156142558302</v>
      </c>
      <c r="J185" s="62">
        <f t="shared" si="150"/>
        <v>0.48201280026072907</v>
      </c>
      <c r="K185" s="62">
        <f t="shared" si="151"/>
        <v>8.4373438685442538E-3</v>
      </c>
      <c r="L185" s="63">
        <f t="shared" si="152"/>
        <v>85801817887422.609</v>
      </c>
      <c r="M185" s="62">
        <f t="shared" si="146"/>
        <v>1720883439537306.7</v>
      </c>
      <c r="N185" s="2">
        <f t="shared" si="147"/>
        <v>7.6923076923076925</v>
      </c>
      <c r="O185" s="11">
        <v>1300</v>
      </c>
      <c r="P185" s="12"/>
      <c r="Q185" s="62">
        <f t="shared" si="148"/>
        <v>7768213477991.4482</v>
      </c>
      <c r="S185" s="6"/>
      <c r="T185" s="6"/>
    </row>
    <row r="186" spans="4:24" ht="15.75" x14ac:dyDescent="0.2">
      <c r="D186" s="2">
        <f t="shared" si="141"/>
        <v>0.65678504247584457</v>
      </c>
      <c r="E186" s="2">
        <f>LOG(J186)/(1+(F186/(I186-0.14*F186))^2)</f>
        <v>-0.18257674633345758</v>
      </c>
      <c r="F186" s="2">
        <f>LOG(G186)+H186</f>
        <v>-1.1236576082778134</v>
      </c>
      <c r="G186" s="62">
        <f>M186*K186/L186</f>
        <v>0.11587550359350371</v>
      </c>
      <c r="H186" s="2">
        <f>-0.4-0.67*LOG(J186)</f>
        <v>-0.18764924287290854</v>
      </c>
      <c r="I186" s="2">
        <f>0.75-1.27*LOG(J186)</f>
        <v>1.1525156142558302</v>
      </c>
      <c r="J186" s="62">
        <f t="shared" si="150"/>
        <v>0.48201280026072907</v>
      </c>
      <c r="K186" s="62">
        <f t="shared" si="151"/>
        <v>7.3123646860716865E-3</v>
      </c>
      <c r="L186" s="63">
        <f t="shared" si="152"/>
        <v>92396720595423.437</v>
      </c>
      <c r="M186" s="62">
        <f>$B$7*O186^$B$8*EXP(-$B$9/1.987/O186)</f>
        <v>1464166106181262</v>
      </c>
      <c r="N186" s="2">
        <f>10000/O186</f>
        <v>6.666666666666667</v>
      </c>
      <c r="O186" s="11">
        <v>1500</v>
      </c>
      <c r="P186" s="12"/>
      <c r="Q186" s="62">
        <f>L186/(1+L186/M186/K186)*D186</f>
        <v>6301670653109.6289</v>
      </c>
      <c r="S186" s="6"/>
      <c r="T186" s="6"/>
    </row>
    <row r="187" spans="4:24" ht="15.75" x14ac:dyDescent="0.2">
      <c r="D187" s="2">
        <f t="shared" si="141"/>
        <v>0.69341676695895471</v>
      </c>
      <c r="E187" s="2">
        <f>LOG(J187)/(1+(F187/(I187-0.14*F187))^2)</f>
        <v>-0.15900566122344398</v>
      </c>
      <c r="F187" s="2">
        <f>LOG(G187)+H187</f>
        <v>-1.3348858499135332</v>
      </c>
      <c r="G187" s="62">
        <f>M187*K187/L187</f>
        <v>7.1246476797736741E-2</v>
      </c>
      <c r="H187" s="2">
        <f>-0.4-0.67*LOG(J187)</f>
        <v>-0.18764924287290854</v>
      </c>
      <c r="I187" s="2">
        <f>0.75-1.27*LOG(J187)</f>
        <v>1.1525156142558302</v>
      </c>
      <c r="J187" s="62">
        <f t="shared" si="150"/>
        <v>0.48201280026072907</v>
      </c>
      <c r="K187" s="62">
        <f t="shared" si="151"/>
        <v>6.0936372383930716E-3</v>
      </c>
      <c r="L187" s="63">
        <f t="shared" si="152"/>
        <v>101779852540394.17</v>
      </c>
      <c r="M187" s="62">
        <f>$B$7*O187^$B$8*EXP(-$B$9/1.987/O187)</f>
        <v>1190004527477994.7</v>
      </c>
      <c r="N187" s="2">
        <f>10000/O187</f>
        <v>5.5555555555555554</v>
      </c>
      <c r="O187" s="11">
        <v>1800</v>
      </c>
      <c r="P187" s="12"/>
      <c r="Q187" s="62">
        <f>L187/(1+L187/M187/K187)*D187</f>
        <v>4693860112086.7744</v>
      </c>
      <c r="S187" s="6"/>
      <c r="T187" s="6"/>
    </row>
    <row r="188" spans="4:24" x14ac:dyDescent="0.2">
      <c r="D188" s="2" t="s">
        <v>1</v>
      </c>
      <c r="E188" s="2" t="s">
        <v>2</v>
      </c>
      <c r="F188" s="58" t="s">
        <v>3</v>
      </c>
      <c r="G188" s="58" t="s">
        <v>4</v>
      </c>
      <c r="H188" s="58" t="s">
        <v>5</v>
      </c>
      <c r="I188" s="58" t="s">
        <v>6</v>
      </c>
      <c r="J188" s="58" t="s">
        <v>7</v>
      </c>
      <c r="K188" s="58" t="s">
        <v>8</v>
      </c>
      <c r="L188" s="58" t="s">
        <v>9</v>
      </c>
      <c r="M188" s="58" t="s">
        <v>10</v>
      </c>
      <c r="N188" s="58" t="s">
        <v>11</v>
      </c>
      <c r="O188" s="58" t="s">
        <v>12</v>
      </c>
      <c r="P188" s="58">
        <f>760*10000</f>
        <v>7600000</v>
      </c>
      <c r="Q188" s="58" t="s">
        <v>13</v>
      </c>
    </row>
    <row r="189" spans="4:24" ht="15.75" x14ac:dyDescent="0.2">
      <c r="D189" s="2">
        <f>10^E189</f>
        <v>0.5730744639261941</v>
      </c>
      <c r="E189" s="2">
        <f t="shared" ref="E189:E199" si="153">LOG(J189)/(1+(F189/(I189-0.14*F189))^2)</f>
        <v>-0.24178894317901131</v>
      </c>
      <c r="F189" s="2">
        <f t="shared" ref="F189:F199" si="154">LOG(G189)+H189</f>
        <v>0.59601988301316944</v>
      </c>
      <c r="G189" s="62">
        <f t="shared" ref="G189:G199" si="155">M189*K189/L189</f>
        <v>6.0767186046599218</v>
      </c>
      <c r="H189" s="2">
        <f>-0.4-0.67*LOG(J189)</f>
        <v>-0.18764924287290854</v>
      </c>
      <c r="I189" s="2">
        <f t="shared" ref="I189:I199" si="156">0.75-1.27*LOG(J189)</f>
        <v>1.1525156142558302</v>
      </c>
      <c r="J189" s="62">
        <f>(1-$B$10)*EXP(-O189/$B$11)+$B$10*EXP(-O189/$B$12)+EXP(-B$13/O189)</f>
        <v>0.48201280026072907</v>
      </c>
      <c r="K189" s="62">
        <f>$P$174*101325/760/8.314/O189/1000000</f>
        <v>3.656182343035843E-2</v>
      </c>
      <c r="L189" s="63">
        <f>B$4*O189^B$5*EXP(-B$6/1.987/O189)</f>
        <v>48271057302442.148</v>
      </c>
      <c r="M189" s="62">
        <f t="shared" ref="M189:M199" si="157">$B$7*O189^$B$8*EXP(-$B$9/1.987/O189)</f>
        <v>8022839247475676</v>
      </c>
      <c r="N189" s="2">
        <f t="shared" ref="N189:N199" si="158">10000/O189</f>
        <v>33.333333333333336</v>
      </c>
      <c r="O189" s="11">
        <v>300</v>
      </c>
      <c r="P189" s="12"/>
      <c r="Q189" s="62">
        <f t="shared" ref="Q189:Q199" si="159">L189/(1+L189/M189/K189)*D189</f>
        <v>23753907847604.16</v>
      </c>
      <c r="R189" s="32"/>
      <c r="S189" s="39"/>
      <c r="T189" s="32"/>
      <c r="X189" s="22"/>
    </row>
    <row r="190" spans="4:24" ht="15.75" x14ac:dyDescent="0.2">
      <c r="D190" s="2">
        <f>10^E190</f>
        <v>0.50976274474586381</v>
      </c>
      <c r="E190" s="2">
        <f t="shared" si="153"/>
        <v>-0.29263190747505929</v>
      </c>
      <c r="F190" s="2">
        <f t="shared" si="154"/>
        <v>0.31929656671864848</v>
      </c>
      <c r="G190" s="62">
        <f t="shared" si="155"/>
        <v>3.2132595694365307</v>
      </c>
      <c r="H190" s="2">
        <f t="shared" ref="H190:H199" si="160">-0.4-0.67*LOG(J190)</f>
        <v>-0.18764924287290854</v>
      </c>
      <c r="I190" s="2">
        <f t="shared" si="156"/>
        <v>1.1525156142558302</v>
      </c>
      <c r="J190" s="62">
        <f t="shared" ref="J190:J200" si="161">(1-$B$10)*EXP(-O190/$B$11)+$B$10*EXP(-O190/$B$12)+EXP(-B$13/O190)</f>
        <v>0.48201280026072907</v>
      </c>
      <c r="K190" s="62">
        <f t="shared" ref="K190:K201" si="162">$P$174*101325/760/8.314/O190/1000000</f>
        <v>2.7421367572768824E-2</v>
      </c>
      <c r="L190" s="63">
        <f t="shared" ref="L190:L200" si="163">B$4*O190^B$5*EXP(-B$6/1.987/O190)</f>
        <v>51915144096005.555</v>
      </c>
      <c r="M190" s="62">
        <f t="shared" si="157"/>
        <v>6083461487560017</v>
      </c>
      <c r="N190" s="2">
        <f t="shared" si="158"/>
        <v>25</v>
      </c>
      <c r="O190" s="11">
        <v>400</v>
      </c>
      <c r="P190" s="12"/>
      <c r="Q190" s="62">
        <f t="shared" si="159"/>
        <v>20183187279716</v>
      </c>
      <c r="R190" s="32"/>
      <c r="S190" s="39"/>
      <c r="T190" s="32"/>
      <c r="X190" s="19"/>
    </row>
    <row r="191" spans="4:24" ht="15.75" x14ac:dyDescent="0.2">
      <c r="D191" s="2">
        <f t="shared" ref="D191:D199" si="164">10^E191</f>
        <v>0.48429920773130447</v>
      </c>
      <c r="E191" s="2">
        <f t="shared" si="153"/>
        <v>-0.31488624141847005</v>
      </c>
      <c r="F191" s="2">
        <f t="shared" si="154"/>
        <v>9.2068528040684466E-2</v>
      </c>
      <c r="G191" s="62">
        <f t="shared" si="155"/>
        <v>1.9042228442183369</v>
      </c>
      <c r="H191" s="2">
        <f t="shared" si="160"/>
        <v>-0.18764924287290854</v>
      </c>
      <c r="I191" s="2">
        <f t="shared" si="156"/>
        <v>1.1525156142558302</v>
      </c>
      <c r="J191" s="62">
        <f t="shared" si="161"/>
        <v>0.48201280026072907</v>
      </c>
      <c r="K191" s="62">
        <f t="shared" si="162"/>
        <v>2.1937094058215059E-2</v>
      </c>
      <c r="L191" s="63">
        <f t="shared" si="163"/>
        <v>55914419404048.281</v>
      </c>
      <c r="M191" s="62">
        <f t="shared" si="157"/>
        <v>4853583362857548</v>
      </c>
      <c r="N191" s="2">
        <f t="shared" si="158"/>
        <v>20</v>
      </c>
      <c r="O191" s="11">
        <v>500</v>
      </c>
      <c r="P191" s="12"/>
      <c r="Q191" s="62">
        <f t="shared" si="159"/>
        <v>17755193593576.203</v>
      </c>
      <c r="R191" s="38"/>
      <c r="S191" s="39"/>
      <c r="T191" s="38"/>
      <c r="X191" s="19"/>
    </row>
    <row r="192" spans="4:24" ht="15.75" x14ac:dyDescent="0.2">
      <c r="D192" s="2">
        <f t="shared" si="164"/>
        <v>0.48458863906321548</v>
      </c>
      <c r="E192" s="2">
        <f t="shared" si="153"/>
        <v>-0.31462677189473992</v>
      </c>
      <c r="F192" s="2">
        <f t="shared" si="154"/>
        <v>-0.10005501839607876</v>
      </c>
      <c r="G192" s="62">
        <f t="shared" si="155"/>
        <v>1.2234725347057218</v>
      </c>
      <c r="H192" s="2">
        <f t="shared" si="160"/>
        <v>-0.18764924287290854</v>
      </c>
      <c r="I192" s="2">
        <f t="shared" si="156"/>
        <v>1.1525156142558302</v>
      </c>
      <c r="J192" s="62">
        <f t="shared" si="161"/>
        <v>0.48201280026072907</v>
      </c>
      <c r="K192" s="62">
        <f t="shared" si="162"/>
        <v>1.8280911715179215E-2</v>
      </c>
      <c r="L192" s="63">
        <f t="shared" si="163"/>
        <v>59954213423504.078</v>
      </c>
      <c r="M192" s="62">
        <f t="shared" si="157"/>
        <v>4012509584116398.5</v>
      </c>
      <c r="N192" s="2">
        <f t="shared" si="158"/>
        <v>16.666666666666668</v>
      </c>
      <c r="O192" s="11">
        <v>600</v>
      </c>
      <c r="P192" s="12"/>
      <c r="Q192" s="62">
        <f t="shared" si="159"/>
        <v>15986573654670.145</v>
      </c>
      <c r="R192" s="38"/>
      <c r="S192" s="39"/>
      <c r="T192" s="38"/>
      <c r="X192" s="19"/>
    </row>
    <row r="193" spans="4:24" ht="15.75" x14ac:dyDescent="0.2">
      <c r="D193" s="2">
        <f t="shared" si="164"/>
        <v>0.49908379285783866</v>
      </c>
      <c r="E193" s="2">
        <f t="shared" si="153"/>
        <v>-0.30182653309258933</v>
      </c>
      <c r="F193" s="2">
        <f t="shared" si="154"/>
        <v>-0.26625303054884475</v>
      </c>
      <c r="G193" s="62">
        <f t="shared" si="155"/>
        <v>0.83444210950918551</v>
      </c>
      <c r="H193" s="2">
        <f t="shared" si="160"/>
        <v>-0.18764924287290854</v>
      </c>
      <c r="I193" s="2">
        <f t="shared" si="156"/>
        <v>1.1525156142558302</v>
      </c>
      <c r="J193" s="62">
        <f t="shared" si="161"/>
        <v>0.48201280026072907</v>
      </c>
      <c r="K193" s="62">
        <f t="shared" si="162"/>
        <v>1.5669352898725043E-2</v>
      </c>
      <c r="L193" s="63">
        <f t="shared" si="163"/>
        <v>63935043186733.742</v>
      </c>
      <c r="M193" s="62">
        <f t="shared" si="157"/>
        <v>3404741258500846</v>
      </c>
      <c r="N193" s="2">
        <f t="shared" si="158"/>
        <v>14.285714285714286</v>
      </c>
      <c r="O193" s="11">
        <v>700</v>
      </c>
      <c r="P193" s="12"/>
      <c r="Q193" s="62">
        <f t="shared" si="159"/>
        <v>14514585268469.238</v>
      </c>
      <c r="R193" s="38"/>
      <c r="S193" s="39"/>
      <c r="T193" s="38"/>
      <c r="X193" s="19"/>
    </row>
    <row r="194" spans="4:24" ht="15.75" x14ac:dyDescent="0.2">
      <c r="D194" s="2">
        <f t="shared" si="164"/>
        <v>0.52006622129666868</v>
      </c>
      <c r="E194" s="2">
        <f t="shared" si="153"/>
        <v>-0.28394135307166496</v>
      </c>
      <c r="F194" s="2">
        <f t="shared" si="154"/>
        <v>-0.41259963818864309</v>
      </c>
      <c r="G194" s="62">
        <f t="shared" si="155"/>
        <v>0.59573018335291983</v>
      </c>
      <c r="H194" s="2">
        <f t="shared" si="160"/>
        <v>-0.18764924287290854</v>
      </c>
      <c r="I194" s="2">
        <f t="shared" si="156"/>
        <v>1.1525156142558302</v>
      </c>
      <c r="J194" s="62">
        <f t="shared" si="161"/>
        <v>0.48201280026072907</v>
      </c>
      <c r="K194" s="62">
        <f t="shared" si="162"/>
        <v>1.3710683786384412E-2</v>
      </c>
      <c r="L194" s="63">
        <f t="shared" si="163"/>
        <v>67823786331033.422</v>
      </c>
      <c r="M194" s="62">
        <f t="shared" si="157"/>
        <v>2946948328485281.5</v>
      </c>
      <c r="N194" s="2">
        <f t="shared" si="158"/>
        <v>12.5</v>
      </c>
      <c r="O194" s="11">
        <v>800</v>
      </c>
      <c r="P194" s="12"/>
      <c r="Q194" s="62">
        <f t="shared" si="159"/>
        <v>13168333679444.098</v>
      </c>
      <c r="R194" s="38"/>
      <c r="S194" s="39"/>
      <c r="T194" s="38"/>
      <c r="X194" s="19"/>
    </row>
    <row r="195" spans="4:24" ht="15.75" x14ac:dyDescent="0.2">
      <c r="D195" s="2">
        <f t="shared" si="164"/>
        <v>0.54312378365936276</v>
      </c>
      <c r="E195" s="2">
        <f t="shared" si="153"/>
        <v>-0.26510117882059475</v>
      </c>
      <c r="F195" s="2">
        <f t="shared" si="154"/>
        <v>-0.54328747250950182</v>
      </c>
      <c r="G195" s="62">
        <f t="shared" si="155"/>
        <v>0.44092200170506873</v>
      </c>
      <c r="H195" s="2">
        <f t="shared" si="160"/>
        <v>-0.18764924287290854</v>
      </c>
      <c r="I195" s="2">
        <f t="shared" si="156"/>
        <v>1.1525156142558302</v>
      </c>
      <c r="J195" s="62">
        <f t="shared" si="161"/>
        <v>0.48201280026072907</v>
      </c>
      <c r="K195" s="62">
        <f t="shared" si="162"/>
        <v>1.2187274476786143E-2</v>
      </c>
      <c r="L195" s="63">
        <f t="shared" si="163"/>
        <v>71611384152110.969</v>
      </c>
      <c r="M195" s="62">
        <f t="shared" si="157"/>
        <v>2590820031612673.5</v>
      </c>
      <c r="N195" s="2">
        <f t="shared" si="158"/>
        <v>11.111111111111111</v>
      </c>
      <c r="O195" s="11">
        <v>900</v>
      </c>
      <c r="P195" s="12"/>
      <c r="Q195" s="62">
        <f t="shared" si="159"/>
        <v>11901513318568.865</v>
      </c>
      <c r="R195" s="38"/>
      <c r="S195" s="37"/>
      <c r="T195" s="37"/>
      <c r="X195" s="19"/>
    </row>
    <row r="196" spans="4:24" ht="15.75" x14ac:dyDescent="0.2">
      <c r="D196" s="2">
        <f t="shared" si="164"/>
        <v>0.56597413747916803</v>
      </c>
      <c r="E196" s="2">
        <f t="shared" si="153"/>
        <v>-0.24720341369990317</v>
      </c>
      <c r="F196" s="2">
        <f t="shared" si="154"/>
        <v>-0.66132045896543423</v>
      </c>
      <c r="G196" s="62">
        <f t="shared" si="155"/>
        <v>0.33599188162035687</v>
      </c>
      <c r="H196" s="2">
        <f t="shared" si="160"/>
        <v>-0.18764924287290854</v>
      </c>
      <c r="I196" s="2">
        <f t="shared" si="156"/>
        <v>1.1525156142558302</v>
      </c>
      <c r="J196" s="62">
        <f t="shared" si="161"/>
        <v>0.48201280026072907</v>
      </c>
      <c r="K196" s="62">
        <f t="shared" si="162"/>
        <v>1.0968547029107529E-2</v>
      </c>
      <c r="L196" s="63">
        <f t="shared" si="163"/>
        <v>75298240556451.203</v>
      </c>
      <c r="M196" s="62">
        <f t="shared" si="157"/>
        <v>2306558695525130.5</v>
      </c>
      <c r="N196" s="2">
        <f t="shared" si="158"/>
        <v>10</v>
      </c>
      <c r="O196" s="11">
        <v>1000</v>
      </c>
      <c r="P196" s="12"/>
      <c r="Q196" s="62">
        <f t="shared" si="159"/>
        <v>10717818039206.061</v>
      </c>
      <c r="R196" s="38"/>
      <c r="S196" s="39"/>
      <c r="T196" s="38"/>
      <c r="X196" s="19"/>
    </row>
    <row r="197" spans="4:24" ht="15.75" x14ac:dyDescent="0.2">
      <c r="D197" s="2">
        <f t="shared" si="164"/>
        <v>0.58755124824297766</v>
      </c>
      <c r="E197" s="2">
        <f t="shared" si="153"/>
        <v>-0.2309542467439783</v>
      </c>
      <c r="F197" s="2">
        <f t="shared" si="154"/>
        <v>-0.76891987540143525</v>
      </c>
      <c r="G197" s="62">
        <f t="shared" si="155"/>
        <v>0.26225837593990348</v>
      </c>
      <c r="H197" s="2">
        <f t="shared" si="160"/>
        <v>-0.18764924287290854</v>
      </c>
      <c r="I197" s="2">
        <f t="shared" si="156"/>
        <v>1.1525156142558302</v>
      </c>
      <c r="J197" s="62">
        <f t="shared" si="161"/>
        <v>0.48201280026072907</v>
      </c>
      <c r="K197" s="62">
        <f t="shared" si="162"/>
        <v>9.9714063900977548E-3</v>
      </c>
      <c r="L197" s="63">
        <f t="shared" si="163"/>
        <v>78888524675193.109</v>
      </c>
      <c r="M197" s="62">
        <f t="shared" si="157"/>
        <v>2074850382405116</v>
      </c>
      <c r="N197" s="2">
        <f t="shared" si="158"/>
        <v>9.0909090909090917</v>
      </c>
      <c r="O197" s="11">
        <v>1100</v>
      </c>
      <c r="P197" s="12"/>
      <c r="Q197" s="62">
        <f t="shared" si="159"/>
        <v>9630319456056.0273</v>
      </c>
      <c r="R197" s="38"/>
      <c r="S197" s="39"/>
      <c r="T197" s="38"/>
      <c r="X197" s="19"/>
    </row>
    <row r="198" spans="4:24" ht="15.75" x14ac:dyDescent="0.2">
      <c r="D198" s="2">
        <f t="shared" si="164"/>
        <v>0.60743866305557437</v>
      </c>
      <c r="E198" s="2">
        <f t="shared" si="153"/>
        <v>-0.21649756899117228</v>
      </c>
      <c r="F198" s="2">
        <f t="shared" si="154"/>
        <v>-0.86777252680141459</v>
      </c>
      <c r="G198" s="62">
        <f t="shared" si="155"/>
        <v>0.20887031229074693</v>
      </c>
      <c r="H198" s="2">
        <f t="shared" si="160"/>
        <v>-0.18764924287290854</v>
      </c>
      <c r="I198" s="2">
        <f t="shared" si="156"/>
        <v>1.1525156142558302</v>
      </c>
      <c r="J198" s="62">
        <f t="shared" si="161"/>
        <v>0.48201280026072907</v>
      </c>
      <c r="K198" s="62">
        <f t="shared" si="162"/>
        <v>9.1404558575896074E-3</v>
      </c>
      <c r="L198" s="63">
        <f t="shared" si="163"/>
        <v>82387769635664.406</v>
      </c>
      <c r="M198" s="62">
        <f t="shared" si="157"/>
        <v>1882658747096371.7</v>
      </c>
      <c r="N198" s="2">
        <f t="shared" si="158"/>
        <v>8.3333333333333339</v>
      </c>
      <c r="O198" s="11">
        <v>1200</v>
      </c>
      <c r="P198" s="12"/>
      <c r="Q198" s="62">
        <f t="shared" si="159"/>
        <v>8646934731535.4092</v>
      </c>
      <c r="R198" s="38"/>
      <c r="S198" s="39"/>
      <c r="T198" s="38"/>
      <c r="X198" s="19"/>
    </row>
    <row r="199" spans="4:24" ht="15.75" x14ac:dyDescent="0.2">
      <c r="D199" s="2">
        <f t="shared" si="164"/>
        <v>0.62554922287180947</v>
      </c>
      <c r="E199" s="2">
        <f t="shared" si="153"/>
        <v>-0.2037385111016104</v>
      </c>
      <c r="F199" s="2">
        <f t="shared" si="154"/>
        <v>-0.95918852757231743</v>
      </c>
      <c r="G199" s="62">
        <f t="shared" si="155"/>
        <v>0.16922351640742839</v>
      </c>
      <c r="H199" s="2">
        <f t="shared" si="160"/>
        <v>-0.18764924287290854</v>
      </c>
      <c r="I199" s="2">
        <f t="shared" si="156"/>
        <v>1.1525156142558302</v>
      </c>
      <c r="J199" s="62">
        <f t="shared" si="161"/>
        <v>0.48201280026072907</v>
      </c>
      <c r="K199" s="62">
        <f t="shared" si="162"/>
        <v>8.4373438685442538E-3</v>
      </c>
      <c r="L199" s="63">
        <f t="shared" si="163"/>
        <v>85801817887422.609</v>
      </c>
      <c r="M199" s="62">
        <f t="shared" si="157"/>
        <v>1720883439537306.7</v>
      </c>
      <c r="N199" s="2">
        <f t="shared" si="158"/>
        <v>7.6923076923076925</v>
      </c>
      <c r="O199" s="11">
        <v>1300</v>
      </c>
      <c r="P199" s="12"/>
      <c r="Q199" s="62">
        <f t="shared" si="159"/>
        <v>7768213477991.4482</v>
      </c>
      <c r="R199" s="39"/>
      <c r="S199" s="39"/>
      <c r="T199" s="39"/>
      <c r="X199" s="19"/>
    </row>
    <row r="200" spans="4:24" ht="15.75" x14ac:dyDescent="0.2">
      <c r="D200" s="2">
        <f t="shared" ref="D200" si="165">10^E200</f>
        <v>0.65678504247584457</v>
      </c>
      <c r="E200" s="2">
        <f t="shared" ref="E200" si="166">LOG(J200)/(1+(F200/(I200-0.14*F200))^2)</f>
        <v>-0.18257674633345758</v>
      </c>
      <c r="F200" s="2">
        <f t="shared" ref="F200" si="167">LOG(G200)+H200</f>
        <v>-1.1236576082778134</v>
      </c>
      <c r="G200" s="62">
        <f t="shared" ref="G200" si="168">M200*K200/L200</f>
        <v>0.11587550359350371</v>
      </c>
      <c r="H200" s="2">
        <f t="shared" ref="H200" si="169">-0.4-0.67*LOG(J200)</f>
        <v>-0.18764924287290854</v>
      </c>
      <c r="I200" s="2">
        <f t="shared" ref="I200" si="170">0.75-1.27*LOG(J200)</f>
        <v>1.1525156142558302</v>
      </c>
      <c r="J200" s="62">
        <f t="shared" si="161"/>
        <v>0.48201280026072907</v>
      </c>
      <c r="K200" s="62">
        <f t="shared" si="162"/>
        <v>7.3123646860716865E-3</v>
      </c>
      <c r="L200" s="63">
        <f t="shared" si="163"/>
        <v>92396720595423.437</v>
      </c>
      <c r="M200" s="62">
        <f t="shared" ref="M200" si="171">$B$7*O200^$B$8*EXP(-$B$9/1.987/O200)</f>
        <v>1464166106181262</v>
      </c>
      <c r="N200" s="2">
        <f t="shared" ref="N200" si="172">10000/O200</f>
        <v>6.666666666666667</v>
      </c>
      <c r="O200" s="11">
        <v>1500</v>
      </c>
      <c r="P200" s="12"/>
      <c r="Q200" s="62">
        <f t="shared" ref="Q200" si="173">L200/(1+L200/M200/K200)*D200</f>
        <v>6301670653109.6289</v>
      </c>
      <c r="R200" s="55"/>
      <c r="S200" s="51"/>
      <c r="T200" s="51"/>
      <c r="X200" s="19"/>
    </row>
    <row r="201" spans="4:24" ht="15.75" x14ac:dyDescent="0.2">
      <c r="D201" s="2">
        <f t="shared" ref="D201" si="174">10^E201</f>
        <v>0.69341676695895471</v>
      </c>
      <c r="E201" s="2">
        <f t="shared" ref="E201" si="175">LOG(J201)/(1+(F201/(I201-0.14*F201))^2)</f>
        <v>-0.15900566122344398</v>
      </c>
      <c r="F201" s="2">
        <f t="shared" ref="F201" si="176">LOG(G201)+H201</f>
        <v>-1.3348858499135332</v>
      </c>
      <c r="G201" s="62">
        <f t="shared" ref="G201" si="177">M201*K201/L201</f>
        <v>7.1246476797736741E-2</v>
      </c>
      <c r="H201" s="2">
        <f t="shared" ref="H201" si="178">-0.4-0.67*LOG(J201)</f>
        <v>-0.18764924287290854</v>
      </c>
      <c r="I201" s="2">
        <f t="shared" ref="I201" si="179">0.75-1.27*LOG(J201)</f>
        <v>1.1525156142558302</v>
      </c>
      <c r="J201" s="62">
        <f t="shared" ref="J201" si="180">(1-$B$10)*EXP(-O201/$B$11)+$B$10*EXP(-O201/$B$12)+EXP(-B$13/O201)</f>
        <v>0.48201280026072907</v>
      </c>
      <c r="K201" s="62">
        <f t="shared" si="162"/>
        <v>6.0936372383930716E-3</v>
      </c>
      <c r="L201" s="63">
        <f t="shared" ref="L201" si="181">B$4*O201^B$5*EXP(-B$6/1.987/O201)</f>
        <v>101779852540394.17</v>
      </c>
      <c r="M201" s="62">
        <f t="shared" ref="M201" si="182">$B$7*O201^$B$8*EXP(-$B$9/1.987/O201)</f>
        <v>1190004527477994.7</v>
      </c>
      <c r="N201" s="2">
        <f t="shared" ref="N201" si="183">10000/O201</f>
        <v>5.5555555555555554</v>
      </c>
      <c r="O201" s="11">
        <v>1800</v>
      </c>
      <c r="P201" s="12"/>
      <c r="Q201" s="62">
        <f t="shared" ref="Q201" si="184">L201/(1+L201/M201/K201)*D201</f>
        <v>4693860112086.7744</v>
      </c>
      <c r="R201" s="55"/>
      <c r="S201" s="51"/>
      <c r="T201" s="51"/>
      <c r="X201" s="19"/>
    </row>
    <row r="202" spans="4:24" ht="15.75" x14ac:dyDescent="0.2">
      <c r="D202" s="50"/>
      <c r="E202" s="50"/>
      <c r="F202" s="50"/>
      <c r="G202" s="51"/>
      <c r="H202" s="50"/>
      <c r="I202" s="50"/>
      <c r="J202" s="51"/>
      <c r="K202" s="51"/>
      <c r="L202" s="52"/>
      <c r="M202" s="51"/>
      <c r="N202" s="50"/>
      <c r="O202" s="53"/>
      <c r="P202" s="54"/>
      <c r="Q202" s="51"/>
      <c r="R202" s="55"/>
      <c r="S202" s="51"/>
      <c r="T202" s="51"/>
      <c r="X202" s="19"/>
    </row>
    <row r="203" spans="4:24" ht="15.75" x14ac:dyDescent="0.2">
      <c r="D203" s="50"/>
      <c r="E203" s="50"/>
      <c r="F203" s="50"/>
      <c r="G203" s="51"/>
      <c r="H203" s="50"/>
      <c r="I203" s="50"/>
      <c r="J203" s="51"/>
      <c r="K203" s="51"/>
      <c r="L203" s="52"/>
      <c r="M203" s="51"/>
      <c r="N203" s="50"/>
      <c r="O203" s="53"/>
      <c r="P203" s="54"/>
      <c r="Q203" s="51"/>
      <c r="R203" s="55"/>
      <c r="S203" s="51"/>
      <c r="T203" s="51"/>
      <c r="X203" s="19"/>
    </row>
    <row r="204" spans="4:24" ht="15.75" x14ac:dyDescent="0.2">
      <c r="D204" s="33"/>
      <c r="E204" s="33"/>
      <c r="F204" s="33"/>
      <c r="G204" s="19"/>
      <c r="H204" s="33"/>
      <c r="I204" s="33"/>
      <c r="J204" s="19"/>
      <c r="K204" s="19"/>
      <c r="L204" s="34"/>
      <c r="M204" s="19"/>
      <c r="N204" s="33"/>
      <c r="O204" s="35"/>
      <c r="P204" s="36"/>
      <c r="Q204" s="19"/>
      <c r="R204" s="23"/>
      <c r="S204" s="19"/>
      <c r="T204" s="45"/>
      <c r="X204" s="19"/>
    </row>
    <row r="205" spans="4:24" ht="15.75" x14ac:dyDescent="0.2">
      <c r="D205" s="33"/>
      <c r="E205" s="33"/>
      <c r="F205" s="33"/>
      <c r="G205" s="19"/>
      <c r="H205" s="33"/>
      <c r="I205" s="33"/>
      <c r="J205" s="19"/>
      <c r="K205" s="19"/>
      <c r="L205" s="34"/>
      <c r="M205" s="19"/>
      <c r="N205" s="33"/>
      <c r="O205" s="35"/>
      <c r="P205" s="36"/>
      <c r="Q205" s="19"/>
      <c r="R205" s="19"/>
      <c r="S205" s="19"/>
      <c r="T205" s="45"/>
      <c r="X205" s="39"/>
    </row>
    <row r="206" spans="4:24" ht="15.75" x14ac:dyDescent="0.2">
      <c r="D206" s="33"/>
      <c r="E206" s="33"/>
      <c r="F206" s="33"/>
      <c r="G206" s="19"/>
      <c r="H206" s="33"/>
      <c r="I206" s="33"/>
      <c r="J206" s="19"/>
      <c r="K206" s="19"/>
      <c r="L206" s="34"/>
      <c r="M206" s="19"/>
      <c r="N206" s="33"/>
      <c r="O206" s="35"/>
      <c r="P206" s="36"/>
      <c r="Q206" s="19"/>
      <c r="R206" s="19"/>
      <c r="S206" s="19"/>
      <c r="T206" s="45"/>
      <c r="U206" s="22"/>
      <c r="V206" s="22"/>
      <c r="W206" s="22"/>
      <c r="X206" s="19"/>
    </row>
    <row r="207" spans="4:24" ht="15.75" x14ac:dyDescent="0.2">
      <c r="D207" s="33"/>
      <c r="E207" s="33"/>
      <c r="F207" s="33"/>
      <c r="G207" s="19"/>
      <c r="H207" s="33"/>
      <c r="I207" s="33"/>
      <c r="J207" s="19"/>
      <c r="K207" s="19"/>
      <c r="L207" s="34"/>
      <c r="M207" s="19"/>
      <c r="N207" s="33"/>
      <c r="O207" s="35"/>
      <c r="P207" s="36"/>
      <c r="Q207" s="19"/>
      <c r="R207" s="19"/>
      <c r="S207" s="19"/>
      <c r="T207" s="45"/>
      <c r="X207" s="19"/>
    </row>
    <row r="208" spans="4:24" ht="15.75" x14ac:dyDescent="0.2">
      <c r="D208" s="33"/>
      <c r="E208" s="33"/>
      <c r="F208" s="33"/>
      <c r="G208" s="19"/>
      <c r="H208" s="33"/>
      <c r="I208" s="33"/>
      <c r="J208" s="19"/>
      <c r="K208" s="19"/>
      <c r="L208" s="34"/>
      <c r="M208" s="19"/>
      <c r="N208" s="33"/>
      <c r="O208" s="35"/>
      <c r="P208" s="36"/>
      <c r="Q208" s="19"/>
      <c r="R208" s="19"/>
      <c r="S208" s="19"/>
      <c r="T208" s="45"/>
      <c r="X208" s="19"/>
    </row>
    <row r="209" spans="4:24" ht="15.75" x14ac:dyDescent="0.2">
      <c r="D209" s="33"/>
      <c r="E209" s="33"/>
      <c r="F209" s="33"/>
      <c r="G209" s="19"/>
      <c r="H209" s="33"/>
      <c r="I209" s="33"/>
      <c r="J209" s="19"/>
      <c r="K209" s="19"/>
      <c r="L209" s="34"/>
      <c r="M209" s="19"/>
      <c r="N209" s="33"/>
      <c r="O209" s="35"/>
      <c r="P209" s="36"/>
      <c r="Q209" s="19"/>
      <c r="R209" s="19"/>
      <c r="S209" s="19"/>
      <c r="T209" s="45"/>
      <c r="X209" s="19"/>
    </row>
    <row r="210" spans="4:24" ht="15.75" x14ac:dyDescent="0.2">
      <c r="D210" s="33"/>
      <c r="E210" s="33"/>
      <c r="F210" s="33"/>
      <c r="G210" s="19"/>
      <c r="H210" s="33"/>
      <c r="I210" s="33"/>
      <c r="J210" s="19"/>
      <c r="K210" s="19"/>
      <c r="L210" s="34"/>
      <c r="M210" s="19"/>
      <c r="N210" s="33"/>
      <c r="O210" s="35"/>
      <c r="P210" s="36"/>
      <c r="Q210" s="19"/>
      <c r="R210" s="19"/>
      <c r="S210" s="19"/>
      <c r="T210" s="45"/>
      <c r="X210" s="19"/>
    </row>
    <row r="211" spans="4:24" ht="15.75" x14ac:dyDescent="0.2">
      <c r="D211" s="33"/>
      <c r="E211" s="33"/>
      <c r="F211" s="33"/>
      <c r="G211" s="19"/>
      <c r="H211" s="33"/>
      <c r="I211" s="33"/>
      <c r="J211" s="19"/>
      <c r="K211" s="19"/>
      <c r="L211" s="34"/>
      <c r="M211" s="19"/>
      <c r="N211" s="33"/>
      <c r="O211" s="35"/>
      <c r="P211" s="36"/>
      <c r="Q211" s="19"/>
      <c r="R211" s="19"/>
      <c r="S211" s="19"/>
      <c r="X211" s="19"/>
    </row>
    <row r="212" spans="4:24" ht="15.75" x14ac:dyDescent="0.2">
      <c r="D212" s="46"/>
      <c r="E212" s="46"/>
      <c r="F212" s="46"/>
      <c r="G212" s="45"/>
      <c r="H212" s="46"/>
      <c r="I212" s="46"/>
      <c r="J212" s="45"/>
      <c r="K212" s="45"/>
      <c r="L212" s="47"/>
      <c r="M212" s="45"/>
      <c r="N212" s="46"/>
      <c r="O212" s="48"/>
      <c r="P212" s="49"/>
      <c r="Q212" s="45"/>
      <c r="R212" s="45"/>
      <c r="S212" s="51"/>
      <c r="T212" s="6"/>
      <c r="X212" s="19"/>
    </row>
    <row r="213" spans="4:24" ht="15.75" x14ac:dyDescent="0.2">
      <c r="D213" s="46"/>
      <c r="E213" s="46"/>
      <c r="F213" s="46"/>
      <c r="G213" s="45"/>
      <c r="H213" s="46"/>
      <c r="I213" s="46"/>
      <c r="J213" s="45"/>
      <c r="K213" s="45"/>
      <c r="L213" s="47"/>
      <c r="M213" s="45"/>
      <c r="N213" s="46"/>
      <c r="O213" s="48"/>
      <c r="P213" s="49"/>
      <c r="Q213" s="45"/>
      <c r="R213" s="45"/>
      <c r="S213" s="51"/>
      <c r="T213" s="6"/>
      <c r="X213" s="19"/>
    </row>
    <row r="214" spans="4:24" ht="15.75" x14ac:dyDescent="0.2">
      <c r="D214" s="46"/>
      <c r="E214" s="46"/>
      <c r="F214" s="46"/>
      <c r="G214" s="45"/>
      <c r="H214" s="46"/>
      <c r="I214" s="46"/>
      <c r="J214" s="45"/>
      <c r="K214" s="45"/>
      <c r="L214" s="47"/>
      <c r="M214" s="45"/>
      <c r="N214" s="46"/>
      <c r="O214" s="48"/>
      <c r="P214" s="49"/>
      <c r="Q214" s="45"/>
      <c r="R214" s="45"/>
      <c r="S214" s="51"/>
      <c r="X214" s="22"/>
    </row>
    <row r="215" spans="4:24" ht="15.75" x14ac:dyDescent="0.2">
      <c r="D215" s="46"/>
      <c r="E215" s="46"/>
      <c r="F215" s="46"/>
      <c r="G215" s="45"/>
      <c r="H215" s="46"/>
      <c r="I215" s="46"/>
      <c r="J215" s="45"/>
      <c r="K215" s="45"/>
      <c r="L215" s="47"/>
      <c r="M215" s="45"/>
      <c r="N215" s="46"/>
      <c r="O215" s="48"/>
      <c r="P215" s="49"/>
      <c r="Q215" s="45"/>
      <c r="R215" s="45"/>
      <c r="S215" s="51"/>
      <c r="U215" s="22"/>
      <c r="V215" s="22"/>
      <c r="W215" s="22"/>
      <c r="X215" s="22"/>
    </row>
    <row r="216" spans="4:24" ht="15.75" x14ac:dyDescent="0.2">
      <c r="D216" s="46"/>
      <c r="E216" s="46"/>
      <c r="F216" s="46"/>
      <c r="G216" s="45"/>
      <c r="H216" s="46"/>
      <c r="I216" s="46"/>
      <c r="J216" s="45"/>
      <c r="K216" s="45"/>
      <c r="L216" s="47"/>
      <c r="M216" s="45"/>
      <c r="N216" s="46"/>
      <c r="O216" s="48"/>
      <c r="P216" s="49"/>
      <c r="Q216" s="45"/>
      <c r="R216" s="45"/>
      <c r="S216" s="51"/>
      <c r="T216" s="40"/>
      <c r="U216" s="22"/>
      <c r="V216" s="22"/>
      <c r="W216" s="19"/>
      <c r="X216" s="22"/>
    </row>
    <row r="217" spans="4:24" ht="15.75" x14ac:dyDescent="0.2">
      <c r="D217" s="46"/>
      <c r="E217" s="46"/>
      <c r="F217" s="46"/>
      <c r="G217" s="45"/>
      <c r="H217" s="46"/>
      <c r="I217" s="46"/>
      <c r="J217" s="45"/>
      <c r="K217" s="45"/>
      <c r="L217" s="47"/>
      <c r="M217" s="45"/>
      <c r="N217" s="46"/>
      <c r="O217" s="48"/>
      <c r="P217" s="49"/>
      <c r="Q217" s="45"/>
      <c r="R217" s="45"/>
      <c r="S217" s="51"/>
      <c r="T217" s="40"/>
      <c r="U217" s="55"/>
      <c r="V217" s="55"/>
      <c r="W217" s="55"/>
      <c r="X217" s="51"/>
    </row>
    <row r="218" spans="4:24" ht="15.75" x14ac:dyDescent="0.2">
      <c r="D218" s="46"/>
      <c r="E218" s="46"/>
      <c r="F218" s="46"/>
      <c r="G218" s="45"/>
      <c r="H218" s="46"/>
      <c r="I218" s="46"/>
      <c r="J218" s="45"/>
      <c r="K218" s="45"/>
      <c r="L218" s="47"/>
      <c r="M218" s="45"/>
      <c r="N218" s="46"/>
      <c r="O218" s="48"/>
      <c r="P218" s="49"/>
      <c r="Q218" s="45"/>
      <c r="R218" s="45"/>
      <c r="S218" s="51"/>
      <c r="T218" s="40"/>
      <c r="X218" s="51"/>
    </row>
    <row r="219" spans="4:24" ht="15.75" x14ac:dyDescent="0.2">
      <c r="D219" s="3"/>
      <c r="E219" s="3"/>
      <c r="F219" s="3"/>
      <c r="G219" s="4"/>
      <c r="H219" s="3"/>
      <c r="I219" s="3"/>
      <c r="J219" s="4"/>
      <c r="K219" s="4"/>
      <c r="L219" s="8"/>
      <c r="M219" s="4"/>
      <c r="N219" s="3"/>
      <c r="O219" s="11"/>
      <c r="P219" s="12"/>
      <c r="Q219" s="4"/>
      <c r="R219" s="4"/>
      <c r="T219" s="40"/>
      <c r="X219" s="19"/>
    </row>
    <row r="220" spans="4:24" ht="15.75" x14ac:dyDescent="0.2">
      <c r="D220" s="3"/>
      <c r="E220" s="3"/>
      <c r="F220" s="3"/>
      <c r="G220" s="4"/>
      <c r="H220" s="3"/>
      <c r="I220" s="3"/>
      <c r="J220" s="4"/>
      <c r="K220" s="4"/>
      <c r="L220" s="8"/>
      <c r="M220" s="4"/>
      <c r="N220" s="3"/>
      <c r="O220" s="11"/>
      <c r="P220" s="12"/>
      <c r="Q220" s="4"/>
      <c r="R220" s="4"/>
      <c r="S220" s="51"/>
      <c r="T220" s="40"/>
      <c r="X220" s="45"/>
    </row>
    <row r="221" spans="4:24" ht="15.75" x14ac:dyDescent="0.2">
      <c r="D221" s="3"/>
      <c r="E221" s="3"/>
      <c r="F221" s="3"/>
      <c r="G221" s="4"/>
      <c r="H221" s="3"/>
      <c r="I221" s="3"/>
      <c r="J221" s="4"/>
      <c r="K221" s="4"/>
      <c r="L221" s="8"/>
      <c r="M221" s="4"/>
      <c r="N221" s="3"/>
      <c r="O221" s="11"/>
      <c r="P221" s="12"/>
      <c r="Q221" s="4"/>
      <c r="R221" s="4"/>
      <c r="S221" s="51"/>
      <c r="T221" s="40"/>
      <c r="X221" s="45"/>
    </row>
    <row r="222" spans="4:24" ht="15.75" x14ac:dyDescent="0.2">
      <c r="D222" s="3"/>
      <c r="E222" s="3"/>
      <c r="F222" s="3"/>
      <c r="G222" s="4"/>
      <c r="H222" s="3"/>
      <c r="I222" s="3"/>
      <c r="J222" s="4"/>
      <c r="K222" s="4"/>
      <c r="L222" s="8"/>
      <c r="M222" s="4"/>
      <c r="N222" s="3"/>
      <c r="O222" s="11"/>
      <c r="P222" s="12"/>
      <c r="Q222" s="4"/>
      <c r="R222" s="4"/>
      <c r="T222" s="40"/>
      <c r="U222" s="22"/>
      <c r="V222" s="22"/>
      <c r="W222" s="22"/>
      <c r="X222" s="45"/>
    </row>
    <row r="223" spans="4:24" ht="15.75" x14ac:dyDescent="0.2">
      <c r="D223" s="3"/>
      <c r="E223" s="3"/>
      <c r="F223" s="3"/>
      <c r="G223" s="4"/>
      <c r="H223" s="3"/>
      <c r="I223" s="3"/>
      <c r="J223" s="4"/>
      <c r="K223" s="4"/>
      <c r="L223" s="8"/>
      <c r="M223" s="4"/>
      <c r="N223" s="3"/>
      <c r="O223" s="11"/>
      <c r="P223" s="12"/>
      <c r="Q223" s="4"/>
      <c r="R223" s="4"/>
      <c r="T223" s="40"/>
      <c r="U223" s="48"/>
      <c r="V223" s="44"/>
      <c r="W223" s="45"/>
      <c r="X223" s="6"/>
    </row>
    <row r="224" spans="4:24" ht="15.75" x14ac:dyDescent="0.2">
      <c r="D224" s="41"/>
      <c r="E224" s="41"/>
      <c r="F224" s="41"/>
      <c r="G224" s="40"/>
      <c r="H224" s="41"/>
      <c r="I224" s="41"/>
      <c r="J224" s="40"/>
      <c r="K224" s="40"/>
      <c r="L224" s="42"/>
      <c r="M224" s="40"/>
      <c r="N224" s="41"/>
      <c r="O224" s="57"/>
      <c r="P224" s="43"/>
      <c r="Q224" s="40"/>
      <c r="R224" s="40"/>
      <c r="S224" s="40"/>
      <c r="T224" s="40"/>
      <c r="U224" s="48"/>
      <c r="V224" s="44"/>
      <c r="W224" s="45"/>
      <c r="X224" s="6"/>
    </row>
    <row r="225" spans="4:24" ht="15.75" x14ac:dyDescent="0.2">
      <c r="D225" s="41"/>
      <c r="E225" s="41"/>
      <c r="F225" s="41"/>
      <c r="G225" s="40"/>
      <c r="H225" s="41"/>
      <c r="I225" s="41"/>
      <c r="J225" s="40"/>
      <c r="K225" s="40"/>
      <c r="L225" s="42"/>
      <c r="M225" s="40"/>
      <c r="N225" s="41"/>
      <c r="O225" s="57"/>
      <c r="P225" s="43"/>
      <c r="Q225" s="40"/>
      <c r="R225" s="40"/>
      <c r="S225" s="40"/>
      <c r="T225" s="40"/>
      <c r="U225" s="48"/>
      <c r="V225" s="44"/>
      <c r="W225" s="45"/>
      <c r="X225" s="6"/>
    </row>
    <row r="226" spans="4:24" ht="15.75" x14ac:dyDescent="0.2">
      <c r="D226" s="41"/>
      <c r="E226" s="41"/>
      <c r="F226" s="41"/>
      <c r="G226" s="40"/>
      <c r="H226" s="41"/>
      <c r="I226" s="41"/>
      <c r="J226" s="40"/>
      <c r="K226" s="40"/>
      <c r="L226" s="42"/>
      <c r="M226" s="40"/>
      <c r="N226" s="41"/>
      <c r="O226" s="57"/>
      <c r="P226" s="43"/>
      <c r="Q226" s="40"/>
      <c r="R226" s="40"/>
      <c r="S226" s="40"/>
      <c r="T226" s="40"/>
      <c r="U226" s="48"/>
      <c r="V226" s="44"/>
      <c r="W226" s="45"/>
      <c r="X226" s="6"/>
    </row>
    <row r="227" spans="4:24" ht="15.75" x14ac:dyDescent="0.2">
      <c r="D227" s="41"/>
      <c r="E227" s="41"/>
      <c r="F227" s="41"/>
      <c r="G227" s="40"/>
      <c r="H227" s="41"/>
      <c r="I227" s="41"/>
      <c r="J227" s="40"/>
      <c r="K227" s="40"/>
      <c r="L227" s="42"/>
      <c r="M227" s="40"/>
      <c r="N227" s="41"/>
      <c r="O227" s="57"/>
      <c r="P227" s="43"/>
      <c r="Q227" s="40"/>
      <c r="R227" s="40"/>
      <c r="S227" s="40"/>
      <c r="T227" s="40"/>
      <c r="U227" s="48"/>
      <c r="V227" s="44"/>
      <c r="W227" s="45"/>
      <c r="X227" s="6"/>
    </row>
    <row r="228" spans="4:24" ht="15.75" x14ac:dyDescent="0.2">
      <c r="D228" s="41"/>
      <c r="E228" s="41"/>
      <c r="F228" s="41"/>
      <c r="G228" s="40"/>
      <c r="H228" s="41"/>
      <c r="I228" s="41"/>
      <c r="J228" s="40"/>
      <c r="K228" s="40"/>
      <c r="L228" s="42"/>
      <c r="M228" s="40"/>
      <c r="N228" s="41"/>
      <c r="O228" s="57"/>
      <c r="P228" s="43"/>
      <c r="Q228" s="40"/>
      <c r="R228" s="40"/>
      <c r="S228" s="40"/>
      <c r="T228" s="40"/>
      <c r="U228" s="48"/>
      <c r="V228" s="44"/>
      <c r="W228" s="45"/>
      <c r="X228" s="6"/>
    </row>
    <row r="229" spans="4:24" ht="15.75" x14ac:dyDescent="0.2">
      <c r="D229" s="41"/>
      <c r="E229" s="41"/>
      <c r="F229" s="41"/>
      <c r="G229" s="40"/>
      <c r="H229" s="41"/>
      <c r="I229" s="41"/>
      <c r="J229" s="40"/>
      <c r="K229" s="40"/>
      <c r="L229" s="42"/>
      <c r="M229" s="40"/>
      <c r="N229" s="41"/>
      <c r="O229" s="57"/>
      <c r="P229" s="43"/>
      <c r="Q229" s="40"/>
      <c r="R229" s="40"/>
      <c r="S229" s="40"/>
      <c r="T229" s="40"/>
      <c r="U229" s="48"/>
      <c r="V229" s="44"/>
      <c r="W229" s="45"/>
      <c r="X229" s="6"/>
    </row>
    <row r="230" spans="4:24" ht="15.75" x14ac:dyDescent="0.2">
      <c r="D230" s="41"/>
      <c r="E230" s="41"/>
      <c r="F230" s="41"/>
      <c r="G230" s="40"/>
      <c r="H230" s="41"/>
      <c r="I230" s="41"/>
      <c r="J230" s="40"/>
      <c r="K230" s="40"/>
      <c r="L230" s="42"/>
      <c r="M230" s="40"/>
      <c r="N230" s="41"/>
      <c r="O230" s="57"/>
      <c r="P230" s="43"/>
      <c r="Q230" s="40"/>
      <c r="R230" s="40"/>
      <c r="S230" s="40"/>
      <c r="T230" s="40"/>
      <c r="U230" s="22"/>
      <c r="V230" s="22"/>
      <c r="W230" s="22"/>
      <c r="X230" s="40"/>
    </row>
    <row r="231" spans="4:24" ht="15.75" x14ac:dyDescent="0.2">
      <c r="D231" s="41"/>
      <c r="E231" s="41"/>
      <c r="F231" s="41"/>
      <c r="G231" s="40"/>
      <c r="H231" s="41"/>
      <c r="I231" s="41"/>
      <c r="J231" s="40"/>
      <c r="K231" s="40"/>
      <c r="L231" s="42"/>
      <c r="M231" s="40"/>
      <c r="N231" s="41"/>
      <c r="O231" s="57"/>
      <c r="P231" s="43"/>
      <c r="Q231" s="40"/>
      <c r="R231" s="40"/>
      <c r="S231" s="40"/>
      <c r="T231" s="40"/>
      <c r="U231" s="22"/>
      <c r="V231" s="22"/>
      <c r="W231" s="19"/>
      <c r="X231" s="40"/>
    </row>
    <row r="232" spans="4:24" ht="15.75" x14ac:dyDescent="0.2">
      <c r="D232" s="41"/>
      <c r="E232" s="41"/>
      <c r="F232" s="41"/>
      <c r="G232" s="40"/>
      <c r="H232" s="41"/>
      <c r="I232" s="41"/>
      <c r="J232" s="40"/>
      <c r="K232" s="40"/>
      <c r="L232" s="42"/>
      <c r="M232" s="40"/>
      <c r="N232" s="41"/>
      <c r="O232" s="57"/>
      <c r="P232" s="43"/>
      <c r="Q232" s="40"/>
      <c r="R232" s="40"/>
      <c r="S232" s="40"/>
      <c r="T232" s="40"/>
      <c r="U232" s="22"/>
      <c r="V232" s="22"/>
      <c r="W232" s="22"/>
      <c r="X232" s="40"/>
    </row>
    <row r="233" spans="4:24" ht="15.75" x14ac:dyDescent="0.2">
      <c r="D233" s="41"/>
      <c r="E233" s="41"/>
      <c r="F233" s="41"/>
      <c r="G233" s="40"/>
      <c r="H233" s="41"/>
      <c r="I233" s="41"/>
      <c r="J233" s="40"/>
      <c r="K233" s="40"/>
      <c r="L233" s="42"/>
      <c r="M233" s="40"/>
      <c r="N233" s="41"/>
      <c r="O233" s="57"/>
      <c r="P233" s="43"/>
      <c r="Q233" s="40"/>
      <c r="R233" s="40"/>
      <c r="S233" s="40"/>
      <c r="T233" s="40"/>
      <c r="U233" s="22"/>
      <c r="V233" s="22"/>
      <c r="W233" s="19"/>
      <c r="X233" s="40"/>
    </row>
    <row r="234" spans="4:24" ht="15.75" x14ac:dyDescent="0.2">
      <c r="D234" s="41"/>
      <c r="E234" s="41"/>
      <c r="F234" s="41"/>
      <c r="G234" s="40"/>
      <c r="H234" s="41"/>
      <c r="I234" s="41"/>
      <c r="J234" s="40"/>
      <c r="K234" s="40"/>
      <c r="L234" s="42"/>
      <c r="M234" s="40"/>
      <c r="N234" s="41"/>
      <c r="O234" s="57"/>
      <c r="P234" s="43"/>
      <c r="Q234" s="40"/>
      <c r="R234" s="40"/>
      <c r="S234" s="40"/>
      <c r="T234" s="40"/>
      <c r="U234" s="22"/>
      <c r="V234" s="22"/>
      <c r="W234" s="19"/>
      <c r="X234" s="40"/>
    </row>
    <row r="235" spans="4:24" ht="15.75" x14ac:dyDescent="0.2">
      <c r="D235" s="41"/>
      <c r="E235" s="41"/>
      <c r="F235" s="41"/>
      <c r="G235" s="40"/>
      <c r="H235" s="41"/>
      <c r="I235" s="41"/>
      <c r="J235" s="40"/>
      <c r="K235" s="40"/>
      <c r="L235" s="42"/>
      <c r="M235" s="40"/>
      <c r="N235" s="41"/>
      <c r="O235" s="57"/>
      <c r="P235" s="43"/>
      <c r="Q235" s="40"/>
      <c r="R235" s="40"/>
      <c r="S235" s="40"/>
      <c r="U235" s="29"/>
      <c r="V235" s="29"/>
      <c r="W235" s="29"/>
      <c r="X235" s="40"/>
    </row>
    <row r="236" spans="4:24" ht="15.75" x14ac:dyDescent="0.2">
      <c r="D236" s="41"/>
      <c r="E236" s="41"/>
      <c r="F236" s="41"/>
      <c r="G236" s="40"/>
      <c r="H236" s="41"/>
      <c r="I236" s="41"/>
      <c r="J236" s="40"/>
      <c r="K236" s="40"/>
      <c r="L236" s="42"/>
      <c r="M236" s="40"/>
      <c r="N236" s="41"/>
      <c r="O236" s="57"/>
      <c r="P236" s="43"/>
      <c r="Q236" s="40"/>
      <c r="R236" s="40"/>
      <c r="S236" s="40"/>
      <c r="X236" s="40"/>
    </row>
    <row r="237" spans="4:24" ht="15.75" x14ac:dyDescent="0.2">
      <c r="D237" s="41"/>
      <c r="E237" s="41"/>
      <c r="F237" s="41"/>
      <c r="G237" s="40"/>
      <c r="H237" s="41"/>
      <c r="I237" s="41"/>
      <c r="J237" s="40"/>
      <c r="K237" s="40"/>
      <c r="L237" s="42"/>
      <c r="M237" s="40"/>
      <c r="N237" s="41"/>
      <c r="O237" s="57"/>
      <c r="P237" s="43"/>
      <c r="Q237" s="40"/>
      <c r="R237" s="40"/>
      <c r="S237" s="40"/>
      <c r="X237" s="40"/>
    </row>
    <row r="238" spans="4:24" ht="15.75" x14ac:dyDescent="0.2">
      <c r="D238" s="41"/>
      <c r="E238" s="41"/>
      <c r="F238" s="41"/>
      <c r="G238" s="40"/>
      <c r="H238" s="41"/>
      <c r="I238" s="41"/>
      <c r="J238" s="40"/>
      <c r="K238" s="40"/>
      <c r="L238" s="42"/>
      <c r="M238" s="40"/>
      <c r="N238" s="41"/>
      <c r="O238" s="57"/>
      <c r="P238" s="43"/>
      <c r="Q238" s="40"/>
      <c r="R238" s="40"/>
      <c r="S238" s="40"/>
      <c r="X238" s="40"/>
    </row>
    <row r="239" spans="4:24" ht="15.75" x14ac:dyDescent="0.2">
      <c r="D239" s="41"/>
      <c r="E239" s="41"/>
      <c r="F239" s="41"/>
      <c r="G239" s="40"/>
      <c r="H239" s="41"/>
      <c r="I239" s="41"/>
      <c r="J239" s="40"/>
      <c r="K239" s="40"/>
      <c r="L239" s="42"/>
      <c r="M239" s="40"/>
      <c r="N239" s="41"/>
      <c r="O239" s="57"/>
      <c r="P239" s="43"/>
      <c r="Q239" s="40"/>
      <c r="R239" s="40"/>
      <c r="S239" s="40"/>
      <c r="T239" s="25"/>
      <c r="X239" s="40"/>
    </row>
    <row r="240" spans="4:24" ht="15.75" x14ac:dyDescent="0.2">
      <c r="D240" s="41"/>
      <c r="E240" s="41"/>
      <c r="F240" s="41"/>
      <c r="G240" s="40"/>
      <c r="H240" s="41"/>
      <c r="I240" s="41"/>
      <c r="J240" s="40"/>
      <c r="K240" s="40"/>
      <c r="L240" s="42"/>
      <c r="M240" s="40"/>
      <c r="N240" s="41"/>
      <c r="O240" s="57"/>
      <c r="P240" s="43"/>
      <c r="Q240" s="40"/>
      <c r="R240" s="40"/>
      <c r="S240" s="40"/>
      <c r="T240" s="25"/>
      <c r="X240" s="40"/>
    </row>
    <row r="241" spans="4:27" ht="15.75" x14ac:dyDescent="0.2">
      <c r="D241" s="41"/>
      <c r="E241" s="41"/>
      <c r="F241" s="41"/>
      <c r="G241" s="40"/>
      <c r="H241" s="41"/>
      <c r="I241" s="41"/>
      <c r="J241" s="40"/>
      <c r="K241" s="40"/>
      <c r="L241" s="42"/>
      <c r="M241" s="40"/>
      <c r="N241" s="41"/>
      <c r="O241" s="57"/>
      <c r="P241" s="43"/>
      <c r="Q241" s="40"/>
      <c r="R241" s="40"/>
      <c r="S241" s="40"/>
      <c r="T241" s="25"/>
      <c r="X241" s="40"/>
    </row>
    <row r="242" spans="4:27" ht="15.75" x14ac:dyDescent="0.2">
      <c r="D242" s="41"/>
      <c r="E242" s="41"/>
      <c r="F242" s="41"/>
      <c r="G242" s="40"/>
      <c r="H242" s="41"/>
      <c r="I242" s="41"/>
      <c r="J242" s="40"/>
      <c r="K242" s="40"/>
      <c r="L242" s="42"/>
      <c r="M242" s="40"/>
      <c r="N242" s="41"/>
      <c r="O242" s="57"/>
      <c r="P242" s="43"/>
      <c r="Q242" s="40"/>
      <c r="R242" s="40"/>
      <c r="S242" s="40"/>
      <c r="T242" s="25"/>
      <c r="X242" s="40"/>
    </row>
    <row r="243" spans="4:27" ht="15.75" x14ac:dyDescent="0.2">
      <c r="D243" s="3"/>
      <c r="E243" s="3"/>
      <c r="F243" s="3"/>
      <c r="G243" s="4"/>
      <c r="H243" s="3"/>
      <c r="I243" s="3"/>
      <c r="J243" s="4"/>
      <c r="K243" s="4"/>
      <c r="L243" s="8"/>
      <c r="M243" s="4"/>
      <c r="N243" s="3"/>
      <c r="O243" s="11"/>
      <c r="P243" s="12"/>
      <c r="Q243" s="4"/>
      <c r="R243" s="4"/>
      <c r="T243" s="25"/>
      <c r="X243" s="40"/>
    </row>
    <row r="244" spans="4:27" ht="15.75" x14ac:dyDescent="0.2">
      <c r="D244" s="3"/>
      <c r="E244" s="3"/>
      <c r="F244" s="3"/>
      <c r="G244" s="4"/>
      <c r="H244" s="3"/>
      <c r="I244" s="3"/>
      <c r="J244" s="4"/>
      <c r="K244" s="4"/>
      <c r="L244" s="8"/>
      <c r="M244" s="4"/>
      <c r="N244" s="3"/>
      <c r="O244" s="11"/>
      <c r="P244" s="12"/>
      <c r="Q244" s="4"/>
      <c r="R244" s="4"/>
      <c r="T244" s="25"/>
      <c r="X244" s="40"/>
    </row>
    <row r="245" spans="4:27" ht="15.75" x14ac:dyDescent="0.2">
      <c r="D245" s="3"/>
      <c r="E245" s="3"/>
      <c r="F245" s="3"/>
      <c r="G245" s="4"/>
      <c r="H245" s="3"/>
      <c r="I245" s="3"/>
      <c r="J245" s="4"/>
      <c r="K245" s="4"/>
      <c r="L245" s="8"/>
      <c r="M245" s="4"/>
      <c r="N245" s="3"/>
      <c r="O245" s="11"/>
      <c r="P245" s="12"/>
      <c r="Q245" s="4"/>
      <c r="R245" s="4"/>
      <c r="T245" s="25"/>
      <c r="X245" s="40"/>
    </row>
    <row r="246" spans="4:27" ht="15.75" x14ac:dyDescent="0.2">
      <c r="D246" s="3"/>
      <c r="E246" s="3"/>
      <c r="F246" s="3"/>
      <c r="G246" s="4"/>
      <c r="H246" s="3"/>
      <c r="I246" s="3"/>
      <c r="J246" s="4"/>
      <c r="K246" s="4"/>
      <c r="L246" s="8"/>
      <c r="M246" s="4"/>
      <c r="N246" s="3"/>
      <c r="O246" s="11"/>
      <c r="P246" s="12"/>
      <c r="Q246" s="4"/>
      <c r="R246" s="4"/>
      <c r="T246" s="25"/>
      <c r="X246" s="40"/>
    </row>
    <row r="247" spans="4:27" ht="15.75" x14ac:dyDescent="0.2">
      <c r="D247" s="24"/>
      <c r="E247" s="24"/>
      <c r="F247" s="24"/>
      <c r="G247" s="25"/>
      <c r="H247" s="24"/>
      <c r="I247" s="24"/>
      <c r="J247" s="25"/>
      <c r="K247" s="25"/>
      <c r="L247" s="26"/>
      <c r="M247" s="25"/>
      <c r="N247" s="24"/>
      <c r="O247" s="30"/>
      <c r="P247" s="28"/>
      <c r="Q247" s="25"/>
      <c r="R247" s="19"/>
      <c r="S247" s="25"/>
      <c r="T247" s="25"/>
      <c r="X247" s="40"/>
    </row>
    <row r="248" spans="4:27" ht="15.75" x14ac:dyDescent="0.2">
      <c r="D248" s="24"/>
      <c r="E248" s="24"/>
      <c r="F248" s="24"/>
      <c r="G248" s="25"/>
      <c r="H248" s="24"/>
      <c r="I248" s="24"/>
      <c r="J248" s="25"/>
      <c r="K248" s="25"/>
      <c r="L248" s="26"/>
      <c r="M248" s="25"/>
      <c r="N248" s="24"/>
      <c r="O248" s="30"/>
      <c r="P248" s="28"/>
      <c r="Q248" s="25"/>
      <c r="R248" s="19"/>
      <c r="S248" s="25"/>
      <c r="T248" s="25"/>
      <c r="X248" s="40"/>
    </row>
    <row r="249" spans="4:27" ht="15.75" x14ac:dyDescent="0.2">
      <c r="D249" s="24"/>
      <c r="E249" s="24"/>
      <c r="F249" s="24"/>
      <c r="G249" s="25"/>
      <c r="H249" s="24"/>
      <c r="I249" s="24"/>
      <c r="J249" s="25"/>
      <c r="K249" s="25"/>
      <c r="L249" s="26"/>
      <c r="M249" s="25"/>
      <c r="N249" s="24"/>
      <c r="O249" s="30"/>
      <c r="P249" s="28"/>
      <c r="Q249" s="25"/>
      <c r="R249" s="19"/>
      <c r="S249" s="25"/>
      <c r="T249" s="25"/>
      <c r="X249" s="40"/>
    </row>
    <row r="250" spans="4:27" ht="15.75" x14ac:dyDescent="0.2">
      <c r="D250" s="24"/>
      <c r="E250" s="24"/>
      <c r="F250" s="24"/>
      <c r="G250" s="25"/>
      <c r="H250" s="24"/>
      <c r="I250" s="24"/>
      <c r="J250" s="25"/>
      <c r="K250" s="25"/>
      <c r="L250" s="26"/>
      <c r="M250" s="25"/>
      <c r="N250" s="24"/>
      <c r="O250" s="30"/>
      <c r="P250" s="28"/>
      <c r="Q250" s="25"/>
      <c r="R250" s="19"/>
      <c r="S250" s="25"/>
      <c r="T250" s="25"/>
    </row>
    <row r="251" spans="4:27" ht="15.75" x14ac:dyDescent="0.2">
      <c r="D251" s="24"/>
      <c r="E251" s="24"/>
      <c r="F251" s="24"/>
      <c r="G251" s="25"/>
      <c r="H251" s="24"/>
      <c r="I251" s="24"/>
      <c r="J251" s="25"/>
      <c r="K251" s="25"/>
      <c r="L251" s="26"/>
      <c r="M251" s="25"/>
      <c r="N251" s="24"/>
      <c r="O251" s="30"/>
      <c r="P251" s="28"/>
      <c r="Q251" s="25"/>
      <c r="R251" s="19"/>
      <c r="S251" s="25"/>
      <c r="T251" s="25"/>
    </row>
    <row r="252" spans="4:27" ht="15.75" x14ac:dyDescent="0.2">
      <c r="D252" s="24"/>
      <c r="E252" s="24"/>
      <c r="F252" s="24"/>
      <c r="G252" s="25"/>
      <c r="H252" s="24"/>
      <c r="I252" s="24"/>
      <c r="J252" s="25"/>
      <c r="K252" s="25"/>
      <c r="L252" s="26"/>
      <c r="M252" s="25"/>
      <c r="N252" s="24"/>
      <c r="O252" s="30"/>
      <c r="P252" s="28"/>
      <c r="Q252" s="25"/>
      <c r="R252" s="19"/>
      <c r="S252" s="25"/>
      <c r="T252" s="25"/>
    </row>
    <row r="253" spans="4:27" ht="15.75" x14ac:dyDescent="0.2">
      <c r="D253" s="24"/>
      <c r="E253" s="24"/>
      <c r="F253" s="24"/>
      <c r="G253" s="25"/>
      <c r="H253" s="24"/>
      <c r="I253" s="24"/>
      <c r="J253" s="25"/>
      <c r="K253" s="25"/>
      <c r="L253" s="26"/>
      <c r="M253" s="25"/>
      <c r="N253" s="24"/>
      <c r="O253" s="30"/>
      <c r="P253" s="28"/>
      <c r="Q253" s="25"/>
      <c r="R253" s="19"/>
      <c r="S253" s="25"/>
      <c r="T253" s="25"/>
      <c r="AA253" s="6"/>
    </row>
    <row r="254" spans="4:27" ht="15.75" x14ac:dyDescent="0.2">
      <c r="D254" s="24"/>
      <c r="E254" s="24"/>
      <c r="F254" s="24"/>
      <c r="G254" s="25"/>
      <c r="H254" s="24"/>
      <c r="I254" s="24"/>
      <c r="J254" s="25"/>
      <c r="K254" s="25"/>
      <c r="L254" s="26"/>
      <c r="M254" s="25"/>
      <c r="N254" s="24"/>
      <c r="O254" s="30"/>
      <c r="P254" s="28"/>
      <c r="Q254" s="25"/>
      <c r="R254" s="19"/>
      <c r="S254" s="25"/>
      <c r="T254" s="25"/>
      <c r="AA254" s="6"/>
    </row>
    <row r="255" spans="4:27" ht="15.75" x14ac:dyDescent="0.2">
      <c r="D255" s="24"/>
      <c r="E255" s="24"/>
      <c r="F255" s="24"/>
      <c r="G255" s="25"/>
      <c r="H255" s="24"/>
      <c r="I255" s="24"/>
      <c r="J255" s="25"/>
      <c r="K255" s="25"/>
      <c r="L255" s="26"/>
      <c r="M255" s="25"/>
      <c r="N255" s="24"/>
      <c r="O255" s="30"/>
      <c r="P255" s="28"/>
      <c r="Q255" s="25"/>
      <c r="R255" s="19"/>
      <c r="S255" s="25"/>
      <c r="T255" s="25"/>
      <c r="U255" s="29"/>
      <c r="V255" s="29"/>
      <c r="W255" s="40"/>
      <c r="AA255" s="6"/>
    </row>
    <row r="256" spans="4:27" ht="15.75" x14ac:dyDescent="0.2">
      <c r="D256" s="24"/>
      <c r="E256" s="24"/>
      <c r="F256" s="24"/>
      <c r="G256" s="25"/>
      <c r="H256" s="24"/>
      <c r="I256" s="24"/>
      <c r="J256" s="25"/>
      <c r="K256" s="25"/>
      <c r="L256" s="26"/>
      <c r="M256" s="25"/>
      <c r="N256" s="24"/>
      <c r="O256" s="30"/>
      <c r="P256" s="28"/>
      <c r="Q256" s="25"/>
      <c r="R256" s="19"/>
      <c r="S256" s="25"/>
      <c r="T256" s="25"/>
      <c r="W256" s="40"/>
      <c r="AA256" s="6"/>
    </row>
    <row r="257" spans="4:27" ht="15.75" x14ac:dyDescent="0.2">
      <c r="D257" s="24"/>
      <c r="E257" s="24"/>
      <c r="F257" s="24"/>
      <c r="G257" s="25"/>
      <c r="H257" s="24"/>
      <c r="I257" s="24"/>
      <c r="J257" s="25"/>
      <c r="K257" s="25"/>
      <c r="L257" s="26"/>
      <c r="M257" s="25"/>
      <c r="N257" s="24"/>
      <c r="O257" s="30"/>
      <c r="P257" s="28"/>
      <c r="Q257" s="25"/>
      <c r="R257" s="19"/>
      <c r="S257" s="25"/>
      <c r="T257" s="25"/>
      <c r="W257" s="6"/>
      <c r="AA257" s="6"/>
    </row>
    <row r="258" spans="4:27" ht="15.75" x14ac:dyDescent="0.2">
      <c r="D258" s="24"/>
      <c r="E258" s="24"/>
      <c r="F258" s="24"/>
      <c r="G258" s="25"/>
      <c r="H258" s="24"/>
      <c r="I258" s="24"/>
      <c r="J258" s="25"/>
      <c r="K258" s="25"/>
      <c r="L258" s="26"/>
      <c r="M258" s="25"/>
      <c r="N258" s="24"/>
      <c r="O258" s="30"/>
      <c r="P258" s="28"/>
      <c r="Q258" s="25"/>
      <c r="R258" s="19"/>
      <c r="S258" s="25"/>
      <c r="T258" s="25"/>
      <c r="W258" s="6"/>
      <c r="AA258" s="6"/>
    </row>
    <row r="259" spans="4:27" ht="15.75" x14ac:dyDescent="0.2">
      <c r="D259" s="24"/>
      <c r="E259" s="24"/>
      <c r="F259" s="24"/>
      <c r="G259" s="25"/>
      <c r="H259" s="24"/>
      <c r="I259" s="24"/>
      <c r="J259" s="25"/>
      <c r="K259" s="25"/>
      <c r="L259" s="26"/>
      <c r="M259" s="25"/>
      <c r="N259" s="24"/>
      <c r="O259" s="30"/>
      <c r="P259" s="28"/>
      <c r="Q259" s="25"/>
      <c r="R259" s="19"/>
      <c r="S259" s="25"/>
      <c r="T259" s="25"/>
      <c r="U259" s="30"/>
      <c r="V259" s="31"/>
      <c r="W259" s="25"/>
      <c r="X259" s="25"/>
      <c r="Y259" s="25"/>
      <c r="Z259" s="19"/>
      <c r="AA259" s="6"/>
    </row>
    <row r="260" spans="4:27" ht="15.75" x14ac:dyDescent="0.2">
      <c r="D260" s="24"/>
      <c r="E260" s="24"/>
      <c r="F260" s="24"/>
      <c r="G260" s="25"/>
      <c r="H260" s="24"/>
      <c r="I260" s="24"/>
      <c r="J260" s="25"/>
      <c r="K260" s="25"/>
      <c r="L260" s="26"/>
      <c r="M260" s="25"/>
      <c r="N260" s="24"/>
      <c r="O260" s="30"/>
      <c r="P260" s="28"/>
      <c r="Q260" s="25"/>
      <c r="R260" s="56"/>
      <c r="S260" s="25"/>
      <c r="T260" s="25"/>
      <c r="U260" s="30"/>
      <c r="V260" s="31"/>
      <c r="W260" s="25"/>
      <c r="X260" s="25"/>
      <c r="Y260" s="25"/>
      <c r="Z260" s="19"/>
      <c r="AA260" s="6"/>
    </row>
    <row r="261" spans="4:27" ht="15.75" x14ac:dyDescent="0.2">
      <c r="D261" s="24"/>
      <c r="E261" s="24"/>
      <c r="F261" s="24"/>
      <c r="G261" s="25"/>
      <c r="H261" s="24"/>
      <c r="I261" s="24"/>
      <c r="J261" s="25"/>
      <c r="K261" s="25"/>
      <c r="L261" s="26"/>
      <c r="M261" s="25"/>
      <c r="N261" s="24"/>
      <c r="O261" s="30"/>
      <c r="P261" s="28"/>
      <c r="Q261" s="25"/>
      <c r="R261" s="56"/>
      <c r="S261" s="25"/>
      <c r="T261" s="25"/>
      <c r="U261" s="30"/>
      <c r="V261" s="31"/>
      <c r="W261" s="25"/>
      <c r="X261" s="25"/>
      <c r="Y261" s="25"/>
      <c r="Z261" s="19"/>
      <c r="AA261" s="6"/>
    </row>
    <row r="262" spans="4:27" ht="15.75" x14ac:dyDescent="0.2">
      <c r="D262" s="24"/>
      <c r="E262" s="24"/>
      <c r="F262" s="24"/>
      <c r="G262" s="25"/>
      <c r="H262" s="24"/>
      <c r="I262" s="24"/>
      <c r="J262" s="25"/>
      <c r="K262" s="25"/>
      <c r="L262" s="26"/>
      <c r="M262" s="25"/>
      <c r="N262" s="24"/>
      <c r="O262" s="30"/>
      <c r="P262" s="28"/>
      <c r="Q262" s="25"/>
      <c r="R262" s="56"/>
      <c r="S262" s="25"/>
      <c r="T262" s="25"/>
      <c r="U262" s="30"/>
      <c r="V262" s="31"/>
      <c r="W262" s="25"/>
      <c r="X262" s="25"/>
      <c r="Y262" s="25"/>
      <c r="Z262" s="19"/>
      <c r="AA262" s="6"/>
    </row>
    <row r="263" spans="4:27" ht="15.75" x14ac:dyDescent="0.2">
      <c r="D263" s="24"/>
      <c r="E263" s="24"/>
      <c r="F263" s="24"/>
      <c r="G263" s="25"/>
      <c r="H263" s="24"/>
      <c r="I263" s="24"/>
      <c r="J263" s="25"/>
      <c r="K263" s="25"/>
      <c r="L263" s="26"/>
      <c r="M263" s="25"/>
      <c r="N263" s="24"/>
      <c r="O263" s="30"/>
      <c r="P263" s="28"/>
      <c r="Q263" s="25"/>
      <c r="R263" s="56"/>
      <c r="S263" s="25"/>
      <c r="U263" s="30"/>
      <c r="V263" s="31"/>
      <c r="W263" s="25"/>
      <c r="X263" s="25"/>
      <c r="Y263" s="25"/>
      <c r="Z263" s="19"/>
      <c r="AA263" s="6"/>
    </row>
    <row r="264" spans="4:27" ht="15.75" x14ac:dyDescent="0.2">
      <c r="D264" s="24"/>
      <c r="E264" s="24"/>
      <c r="F264" s="24"/>
      <c r="G264" s="25"/>
      <c r="H264" s="24"/>
      <c r="I264" s="24"/>
      <c r="J264" s="25"/>
      <c r="K264" s="25"/>
      <c r="L264" s="26"/>
      <c r="M264" s="25"/>
      <c r="N264" s="24"/>
      <c r="O264" s="30"/>
      <c r="P264" s="28"/>
      <c r="Q264" s="25"/>
      <c r="R264" s="56"/>
      <c r="S264" s="25"/>
      <c r="U264" s="30"/>
      <c r="V264" s="31"/>
      <c r="W264" s="25"/>
      <c r="X264" s="25"/>
      <c r="Y264" s="25"/>
      <c r="Z264" s="19"/>
      <c r="AA264" s="6"/>
    </row>
    <row r="265" spans="4:27" ht="15.75" x14ac:dyDescent="0.2">
      <c r="D265" s="24"/>
      <c r="E265" s="24"/>
      <c r="F265" s="24"/>
      <c r="G265" s="25"/>
      <c r="H265" s="24"/>
      <c r="I265" s="24"/>
      <c r="J265" s="25"/>
      <c r="K265" s="25"/>
      <c r="L265" s="26"/>
      <c r="M265" s="25"/>
      <c r="N265" s="24"/>
      <c r="O265" s="30"/>
      <c r="P265" s="28"/>
      <c r="Q265" s="25"/>
      <c r="R265" s="56"/>
      <c r="S265" s="25"/>
      <c r="U265" s="30"/>
      <c r="V265" s="31"/>
      <c r="W265" s="25"/>
      <c r="X265" s="25"/>
      <c r="Y265" s="25"/>
      <c r="Z265" s="19"/>
      <c r="AA265" s="6"/>
    </row>
    <row r="266" spans="4:27" ht="15.75" x14ac:dyDescent="0.2">
      <c r="D266" s="24"/>
      <c r="E266" s="24"/>
      <c r="F266" s="24"/>
      <c r="G266" s="25"/>
      <c r="H266" s="24"/>
      <c r="I266" s="24"/>
      <c r="J266" s="25"/>
      <c r="K266" s="25"/>
      <c r="L266" s="26"/>
      <c r="M266" s="25"/>
      <c r="N266" s="24"/>
      <c r="O266" s="30"/>
      <c r="P266" s="28"/>
      <c r="Q266" s="25"/>
      <c r="R266" s="56"/>
      <c r="S266" s="25"/>
      <c r="U266" s="30"/>
      <c r="V266" s="31"/>
      <c r="W266" s="25"/>
      <c r="X266" s="25"/>
      <c r="Y266" s="25"/>
      <c r="Z266" s="19"/>
      <c r="AA266" s="6"/>
    </row>
    <row r="267" spans="4:27" ht="15.75" x14ac:dyDescent="0.2">
      <c r="D267" s="24"/>
      <c r="E267" s="24"/>
      <c r="F267" s="24"/>
      <c r="G267" s="25"/>
      <c r="H267" s="24"/>
      <c r="I267" s="24"/>
      <c r="J267" s="25"/>
      <c r="K267" s="25"/>
      <c r="L267" s="26"/>
      <c r="M267" s="25"/>
      <c r="N267" s="24"/>
      <c r="O267" s="30"/>
      <c r="P267" s="28"/>
      <c r="Q267" s="25"/>
      <c r="R267" s="56"/>
      <c r="S267" s="25"/>
      <c r="U267" s="30"/>
      <c r="V267" s="31"/>
      <c r="W267" s="25"/>
      <c r="X267" s="25"/>
      <c r="Y267" s="25"/>
      <c r="Z267" s="19"/>
    </row>
    <row r="268" spans="4:27" ht="15.75" x14ac:dyDescent="0.2">
      <c r="D268" s="24"/>
      <c r="E268" s="24"/>
      <c r="F268" s="24"/>
      <c r="G268" s="25"/>
      <c r="H268" s="24"/>
      <c r="I268" s="24"/>
      <c r="J268" s="25"/>
      <c r="K268" s="25"/>
      <c r="L268" s="26"/>
      <c r="M268" s="25"/>
      <c r="N268" s="24"/>
      <c r="O268" s="30"/>
      <c r="P268" s="28"/>
      <c r="Q268" s="25"/>
      <c r="R268" s="56"/>
      <c r="S268" s="25"/>
      <c r="U268" s="30"/>
      <c r="V268" s="31"/>
      <c r="W268" s="25"/>
      <c r="X268" s="25"/>
      <c r="Y268" s="25"/>
      <c r="Z268" s="19"/>
    </row>
    <row r="269" spans="4:27" ht="15.75" x14ac:dyDescent="0.2">
      <c r="D269" s="24"/>
      <c r="E269" s="24"/>
      <c r="F269" s="24"/>
      <c r="G269" s="25"/>
      <c r="H269" s="24"/>
      <c r="I269" s="24"/>
      <c r="J269" s="25"/>
      <c r="K269" s="25"/>
      <c r="L269" s="26"/>
      <c r="M269" s="25"/>
      <c r="N269" s="24"/>
      <c r="O269" s="30"/>
      <c r="P269" s="28"/>
      <c r="Q269" s="25"/>
      <c r="R269" s="56"/>
      <c r="S269" s="25"/>
      <c r="U269" s="30"/>
      <c r="V269" s="31"/>
      <c r="W269" s="25"/>
      <c r="X269" s="25"/>
      <c r="Y269" s="25"/>
      <c r="Z269" s="19"/>
    </row>
    <row r="270" spans="4:27" ht="15.75" x14ac:dyDescent="0.2">
      <c r="D270" s="24"/>
      <c r="E270" s="24"/>
      <c r="F270" s="24"/>
      <c r="G270" s="25"/>
      <c r="H270" s="24"/>
      <c r="I270" s="24"/>
      <c r="J270" s="25"/>
      <c r="K270" s="25"/>
      <c r="L270" s="26"/>
      <c r="M270" s="25"/>
      <c r="N270" s="24"/>
      <c r="O270" s="30"/>
      <c r="P270" s="28"/>
      <c r="Q270" s="25"/>
      <c r="R270" s="56"/>
      <c r="S270" s="25"/>
      <c r="U270" s="30"/>
      <c r="V270" s="31"/>
      <c r="W270" s="25"/>
      <c r="X270" s="25"/>
      <c r="Y270" s="25"/>
      <c r="Z270" s="19"/>
    </row>
    <row r="271" spans="4:27" x14ac:dyDescent="0.2">
      <c r="U271" s="30"/>
      <c r="V271" s="31"/>
      <c r="W271" s="25"/>
      <c r="X271" s="25"/>
      <c r="Y271" s="25"/>
      <c r="Z271" s="19"/>
    </row>
    <row r="272" spans="4:27" x14ac:dyDescent="0.2">
      <c r="U272" s="30"/>
      <c r="W272" s="6"/>
    </row>
    <row r="273" spans="12:26" x14ac:dyDescent="0.2">
      <c r="U273" s="30"/>
      <c r="W273" s="6"/>
    </row>
    <row r="274" spans="12:26" x14ac:dyDescent="0.2">
      <c r="U274" s="30"/>
      <c r="V274" s="31"/>
      <c r="W274" s="6"/>
      <c r="X274" s="25"/>
      <c r="Y274" s="25"/>
      <c r="Z274" s="56"/>
    </row>
    <row r="275" spans="12:26" x14ac:dyDescent="0.2">
      <c r="U275" s="30"/>
      <c r="V275" s="31"/>
      <c r="W275" s="6"/>
      <c r="X275" s="25"/>
      <c r="Y275" s="25"/>
      <c r="Z275" s="56"/>
    </row>
    <row r="276" spans="12:26" x14ac:dyDescent="0.2">
      <c r="U276" s="30"/>
      <c r="V276" s="31"/>
      <c r="W276" s="6"/>
      <c r="X276" s="25"/>
      <c r="Y276" s="25"/>
      <c r="Z276" s="56"/>
    </row>
    <row r="277" spans="12:26" x14ac:dyDescent="0.2">
      <c r="U277" s="30"/>
      <c r="V277" s="31"/>
      <c r="W277" s="6"/>
      <c r="X277" s="25"/>
      <c r="Y277" s="25"/>
      <c r="Z277" s="56"/>
    </row>
    <row r="278" spans="12:26" x14ac:dyDescent="0.2">
      <c r="U278" s="30"/>
      <c r="V278" s="31"/>
      <c r="W278" s="6"/>
      <c r="X278" s="25"/>
      <c r="Y278" s="25"/>
      <c r="Z278" s="56"/>
    </row>
    <row r="279" spans="12:26" x14ac:dyDescent="0.2">
      <c r="U279" s="30"/>
      <c r="V279" s="31"/>
      <c r="W279" s="6"/>
      <c r="X279" s="25"/>
      <c r="Y279" s="25"/>
      <c r="Z279" s="56"/>
    </row>
    <row r="280" spans="12:26" x14ac:dyDescent="0.2">
      <c r="U280" s="30"/>
      <c r="V280" s="31"/>
      <c r="W280" s="6"/>
      <c r="X280" s="25"/>
      <c r="Y280" s="25"/>
      <c r="Z280" s="56"/>
    </row>
    <row r="281" spans="12:26" x14ac:dyDescent="0.2">
      <c r="L281" s="6"/>
      <c r="M281" s="6"/>
      <c r="N281" s="6"/>
      <c r="O281" s="6"/>
      <c r="U281" s="30"/>
      <c r="V281" s="31"/>
      <c r="W281" s="6"/>
      <c r="X281" s="25"/>
      <c r="Y281" s="25"/>
      <c r="Z281" s="56"/>
    </row>
    <row r="282" spans="12:26" x14ac:dyDescent="0.2">
      <c r="L282" s="6"/>
      <c r="M282" s="6"/>
      <c r="N282" s="6"/>
      <c r="O282" s="6"/>
      <c r="U282" s="30"/>
      <c r="V282" s="31"/>
      <c r="W282" s="6"/>
      <c r="X282" s="25"/>
      <c r="Y282" s="25"/>
      <c r="Z282" s="56"/>
    </row>
    <row r="283" spans="12:26" x14ac:dyDescent="0.2">
      <c r="L283" s="6"/>
      <c r="M283" s="6"/>
      <c r="N283" s="6"/>
      <c r="O283" s="6"/>
      <c r="U283" s="30"/>
      <c r="V283" s="31"/>
      <c r="W283" s="6"/>
      <c r="X283" s="25"/>
      <c r="Y283" s="25"/>
      <c r="Z283" s="56"/>
    </row>
    <row r="284" spans="12:26" x14ac:dyDescent="0.2">
      <c r="L284" s="6"/>
      <c r="M284" s="6"/>
      <c r="N284" s="6"/>
      <c r="O284" s="6"/>
      <c r="U284" s="30"/>
      <c r="V284" s="31"/>
      <c r="W284" s="6"/>
      <c r="X284" s="25"/>
      <c r="Y284" s="25"/>
      <c r="Z284" s="56"/>
    </row>
    <row r="285" spans="12:26" x14ac:dyDescent="0.2">
      <c r="L285" s="6"/>
      <c r="M285" s="6"/>
      <c r="N285" s="6"/>
      <c r="O285" s="6"/>
    </row>
    <row r="286" spans="12:26" x14ac:dyDescent="0.2">
      <c r="L286" s="6"/>
      <c r="M286" s="6"/>
      <c r="N286" s="6"/>
      <c r="O286" s="6"/>
    </row>
    <row r="287" spans="12:26" x14ac:dyDescent="0.2">
      <c r="L287" s="6"/>
      <c r="M287" s="6"/>
      <c r="N287" s="6"/>
      <c r="O287" s="6"/>
    </row>
    <row r="288" spans="12:26" x14ac:dyDescent="0.2">
      <c r="L288" s="6"/>
      <c r="M288" s="6"/>
      <c r="N288" s="6"/>
      <c r="O288" s="6"/>
    </row>
    <row r="289" spans="1:19" x14ac:dyDescent="0.2">
      <c r="L289" s="6"/>
      <c r="M289" s="6"/>
      <c r="N289" s="6"/>
      <c r="O289" s="6"/>
    </row>
    <row r="290" spans="1:19" x14ac:dyDescent="0.2">
      <c r="L290" s="6"/>
      <c r="M290" s="6"/>
      <c r="N290" s="6"/>
      <c r="O290" s="6"/>
    </row>
    <row r="291" spans="1:19" x14ac:dyDescent="0.2">
      <c r="L291" s="6"/>
      <c r="M291" s="6"/>
      <c r="N291" s="6"/>
      <c r="O291" s="6"/>
    </row>
    <row r="292" spans="1:19" x14ac:dyDescent="0.2">
      <c r="L292" s="6"/>
      <c r="M292" s="6"/>
      <c r="N292" s="6"/>
      <c r="O292" s="6"/>
    </row>
    <row r="293" spans="1:19" x14ac:dyDescent="0.2">
      <c r="L293" s="6"/>
      <c r="M293" s="6"/>
      <c r="N293" s="6"/>
      <c r="O293" s="6"/>
    </row>
    <row r="294" spans="1:19" x14ac:dyDescent="0.2">
      <c r="L294" s="6"/>
      <c r="M294" s="6"/>
      <c r="N294" s="6"/>
      <c r="O294" s="6"/>
    </row>
    <row r="295" spans="1:19" x14ac:dyDescent="0.2">
      <c r="L295" s="6"/>
      <c r="M295" s="6"/>
      <c r="N295" s="6"/>
      <c r="O295" s="6"/>
    </row>
    <row r="296" spans="1:19" x14ac:dyDescent="0.2">
      <c r="L296" s="6"/>
      <c r="M296" s="6"/>
      <c r="N296" s="6"/>
      <c r="O296" s="6"/>
    </row>
    <row r="297" spans="1:19" s="22" customFormat="1" x14ac:dyDescent="0.2">
      <c r="A297"/>
      <c r="B297"/>
      <c r="C297"/>
      <c r="D297"/>
      <c r="E297"/>
      <c r="F297"/>
      <c r="G297"/>
      <c r="H297"/>
      <c r="I297"/>
      <c r="J297"/>
      <c r="K297"/>
      <c r="L297" s="6"/>
      <c r="M297" s="6"/>
      <c r="N297" s="6"/>
      <c r="O297" s="6"/>
      <c r="P297"/>
      <c r="Q297"/>
      <c r="R297"/>
      <c r="S297"/>
    </row>
    <row r="298" spans="1:19" x14ac:dyDescent="0.2">
      <c r="L298" s="6"/>
      <c r="M298" s="6"/>
      <c r="N298" s="6"/>
      <c r="O298" s="6"/>
    </row>
    <row r="299" spans="1:19" s="22" customFormat="1" x14ac:dyDescent="0.2">
      <c r="A299"/>
      <c r="B299"/>
      <c r="C299"/>
      <c r="D299"/>
      <c r="E299"/>
      <c r="F299"/>
      <c r="G299"/>
      <c r="H299"/>
      <c r="I299"/>
      <c r="J299"/>
      <c r="K299"/>
      <c r="L299" s="6"/>
      <c r="M299" s="6"/>
      <c r="N299" s="6"/>
      <c r="O299" s="6"/>
      <c r="P299"/>
      <c r="Q299"/>
      <c r="R299"/>
      <c r="S299"/>
    </row>
    <row r="302" spans="1:19" x14ac:dyDescent="0.2">
      <c r="F302" s="30"/>
      <c r="H302" s="30"/>
      <c r="I302" s="30"/>
      <c r="J302" s="30"/>
      <c r="L302" s="30"/>
    </row>
    <row r="303" spans="1:19" x14ac:dyDescent="0.2">
      <c r="A303" s="30"/>
      <c r="B303" s="30"/>
      <c r="D303" s="30"/>
      <c r="E303" s="30"/>
      <c r="H303" s="30"/>
      <c r="J303" s="30"/>
      <c r="L303" s="30"/>
      <c r="N303" s="30"/>
    </row>
    <row r="304" spans="1:19" x14ac:dyDescent="0.2">
      <c r="H304" s="30"/>
      <c r="I304" s="30"/>
      <c r="J304" s="30"/>
      <c r="K304" s="30"/>
    </row>
    <row r="305" spans="1:19" x14ac:dyDescent="0.2">
      <c r="H305" s="30"/>
      <c r="I305" s="30"/>
      <c r="J305" s="30"/>
      <c r="K305" s="30"/>
      <c r="P305" s="22"/>
      <c r="Q305" s="22"/>
      <c r="R305" s="22"/>
      <c r="S305" s="22"/>
    </row>
    <row r="306" spans="1:19" x14ac:dyDescent="0.2">
      <c r="H306" s="30"/>
      <c r="I306" s="30"/>
      <c r="J306" s="30"/>
      <c r="K306" s="30"/>
    </row>
    <row r="307" spans="1:19" x14ac:dyDescent="0.2">
      <c r="A307" s="22"/>
      <c r="B307" s="22"/>
      <c r="C307" s="22"/>
      <c r="D307" s="22"/>
      <c r="E307" s="22"/>
      <c r="F307" s="22"/>
      <c r="G307" s="22"/>
      <c r="H307" s="29"/>
      <c r="I307" s="29"/>
      <c r="J307" s="29"/>
      <c r="K307" s="29"/>
      <c r="L307" s="22"/>
      <c r="M307" s="22"/>
      <c r="N307" s="22"/>
      <c r="O307" s="22"/>
      <c r="P307" s="22"/>
      <c r="Q307" s="22"/>
      <c r="R307" s="22"/>
      <c r="S307" s="22"/>
    </row>
    <row r="308" spans="1:19" x14ac:dyDescent="0.2">
      <c r="H308" s="30"/>
      <c r="I308" s="30"/>
      <c r="J308" s="30"/>
      <c r="K308" s="30"/>
    </row>
    <row r="309" spans="1:19" x14ac:dyDescent="0.2">
      <c r="H309" s="30"/>
      <c r="I309" s="30"/>
      <c r="J309" s="30"/>
      <c r="K309" s="30"/>
    </row>
    <row r="310" spans="1:19" x14ac:dyDescent="0.2">
      <c r="H310" s="30"/>
      <c r="I310" s="30"/>
      <c r="J310" s="30"/>
      <c r="K310" s="30"/>
    </row>
    <row r="311" spans="1:19" x14ac:dyDescent="0.2">
      <c r="H311" s="30"/>
      <c r="I311" s="30"/>
      <c r="J311" s="30"/>
      <c r="K311" s="30"/>
    </row>
    <row r="312" spans="1:19" x14ac:dyDescent="0.2">
      <c r="H312" s="30"/>
      <c r="I312" s="30"/>
      <c r="J312" s="30"/>
      <c r="K312" s="30"/>
    </row>
    <row r="313" spans="1:19" x14ac:dyDescent="0.2">
      <c r="H313" s="30"/>
      <c r="I313" s="30"/>
      <c r="J313" s="30"/>
      <c r="K313" s="30"/>
    </row>
    <row r="314" spans="1:19" x14ac:dyDescent="0.2">
      <c r="H314" s="30"/>
      <c r="I314" s="30"/>
      <c r="J314" s="30"/>
      <c r="K314" s="3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F1"/>
    </sheetView>
  </sheetViews>
  <sheetFormatPr defaultRowHeight="12.75" x14ac:dyDescent="0.2"/>
  <cols>
    <col min="1" max="16384" width="9.140625" style="58"/>
  </cols>
  <sheetData>
    <row r="1" spans="1:6" x14ac:dyDescent="0.2">
      <c r="A1" s="60" t="s">
        <v>17</v>
      </c>
      <c r="B1" s="60" t="s">
        <v>18</v>
      </c>
      <c r="C1" s="60" t="s">
        <v>16</v>
      </c>
      <c r="E1" s="58" t="s">
        <v>19</v>
      </c>
      <c r="F1" s="58" t="s">
        <v>20</v>
      </c>
    </row>
    <row r="2" spans="1:6" x14ac:dyDescent="0.2">
      <c r="A2" s="58">
        <v>1249</v>
      </c>
      <c r="B2" s="58">
        <f>760*F2</f>
        <v>24700</v>
      </c>
      <c r="C2" s="56">
        <v>488341145704.54272</v>
      </c>
      <c r="E2" s="58">
        <v>542280047275.73254</v>
      </c>
      <c r="F2" s="65">
        <v>32.5</v>
      </c>
    </row>
    <row r="3" spans="1:6" x14ac:dyDescent="0.2">
      <c r="A3" s="58">
        <v>1240</v>
      </c>
      <c r="B3" s="58">
        <f t="shared" ref="B3:B12" si="0">760*F3</f>
        <v>24624</v>
      </c>
      <c r="C3" s="56">
        <v>493041465837.65759</v>
      </c>
      <c r="E3" s="58">
        <v>547719703259.9502</v>
      </c>
      <c r="F3" s="65">
        <v>32.4</v>
      </c>
    </row>
    <row r="4" spans="1:6" x14ac:dyDescent="0.2">
      <c r="A4" s="58">
        <v>1255</v>
      </c>
      <c r="B4" s="58">
        <f t="shared" si="0"/>
        <v>23560</v>
      </c>
      <c r="C4" s="56">
        <v>459173604316.15625</v>
      </c>
      <c r="E4" s="58">
        <v>508758015807.82953</v>
      </c>
      <c r="F4" s="65">
        <v>31</v>
      </c>
    </row>
    <row r="5" spans="1:6" x14ac:dyDescent="0.2">
      <c r="A5" s="58">
        <v>1262</v>
      </c>
      <c r="B5" s="58">
        <f t="shared" si="0"/>
        <v>23940</v>
      </c>
      <c r="C5" s="56">
        <v>450575759424.74725</v>
      </c>
      <c r="E5" s="58">
        <v>498886370420.5802</v>
      </c>
      <c r="F5" s="65">
        <v>31.5</v>
      </c>
    </row>
    <row r="6" spans="1:6" x14ac:dyDescent="0.2">
      <c r="A6" s="58">
        <v>1184</v>
      </c>
      <c r="B6" s="58">
        <f t="shared" si="0"/>
        <v>12768</v>
      </c>
      <c r="C6" s="56">
        <v>281797888476.36108</v>
      </c>
      <c r="E6" s="58">
        <v>307811026988.01758</v>
      </c>
      <c r="F6" s="65">
        <v>16.8</v>
      </c>
    </row>
    <row r="7" spans="1:6" x14ac:dyDescent="0.2">
      <c r="A7" s="58">
        <v>1196</v>
      </c>
      <c r="B7" s="58">
        <f t="shared" si="0"/>
        <v>12843.999999999998</v>
      </c>
      <c r="C7" s="56">
        <v>277598309549.3382</v>
      </c>
      <c r="E7" s="58">
        <v>303092217422.68146</v>
      </c>
      <c r="F7" s="65">
        <v>16.899999999999999</v>
      </c>
    </row>
    <row r="8" spans="1:6" x14ac:dyDescent="0.2">
      <c r="A8" s="58">
        <v>1212</v>
      </c>
      <c r="B8" s="58">
        <f t="shared" si="0"/>
        <v>12843.999999999998</v>
      </c>
      <c r="C8" s="56">
        <v>258835101844.46097</v>
      </c>
      <c r="E8" s="58">
        <v>282097193211.02179</v>
      </c>
      <c r="F8" s="65">
        <v>16.899999999999999</v>
      </c>
    </row>
    <row r="9" spans="1:6" x14ac:dyDescent="0.2">
      <c r="A9" s="58">
        <v>1196</v>
      </c>
      <c r="B9" s="58">
        <f t="shared" si="0"/>
        <v>13223.999999999998</v>
      </c>
      <c r="C9" s="56">
        <v>276105387645.50293</v>
      </c>
      <c r="E9" s="58">
        <v>301421052695.0954</v>
      </c>
      <c r="F9" s="65">
        <v>17.399999999999999</v>
      </c>
    </row>
    <row r="10" spans="1:6" x14ac:dyDescent="0.2">
      <c r="A10" s="58">
        <v>1224</v>
      </c>
      <c r="B10" s="58">
        <f t="shared" si="0"/>
        <v>12768</v>
      </c>
      <c r="C10" s="56">
        <v>253387968953.28436</v>
      </c>
      <c r="E10" s="58">
        <v>276005921974.27448</v>
      </c>
      <c r="F10" s="65">
        <v>16.8</v>
      </c>
    </row>
    <row r="11" spans="1:6" x14ac:dyDescent="0.2">
      <c r="A11" s="58">
        <v>1214</v>
      </c>
      <c r="B11" s="58">
        <f t="shared" si="0"/>
        <v>12996.000000000002</v>
      </c>
      <c r="C11" s="56">
        <v>262943053463.22208</v>
      </c>
      <c r="E11" s="58">
        <v>286682040554.84509</v>
      </c>
      <c r="F11" s="65">
        <v>17.100000000000001</v>
      </c>
    </row>
    <row r="12" spans="1:6" x14ac:dyDescent="0.2">
      <c r="A12" s="58">
        <v>1230</v>
      </c>
      <c r="B12" s="58">
        <f t="shared" si="0"/>
        <v>21812</v>
      </c>
      <c r="C12" s="56">
        <v>432018854220.50629</v>
      </c>
      <c r="E12" s="58">
        <v>477741159490.01672</v>
      </c>
      <c r="F12" s="65">
        <v>28.7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C2" sqref="C2:C28"/>
    </sheetView>
  </sheetViews>
  <sheetFormatPr defaultRowHeight="12.75" x14ac:dyDescent="0.2"/>
  <cols>
    <col min="3" max="3" width="11.42578125" bestFit="1" customWidth="1"/>
  </cols>
  <sheetData>
    <row r="1" spans="1:6" x14ac:dyDescent="0.2">
      <c r="A1" s="60" t="s">
        <v>17</v>
      </c>
      <c r="B1" s="60" t="s">
        <v>18</v>
      </c>
      <c r="C1" s="60" t="s">
        <v>16</v>
      </c>
      <c r="D1" s="58"/>
      <c r="E1" s="58" t="s">
        <v>19</v>
      </c>
      <c r="F1" s="58" t="s">
        <v>20</v>
      </c>
    </row>
    <row r="2" spans="1:6" x14ac:dyDescent="0.2">
      <c r="A2">
        <v>300</v>
      </c>
      <c r="B2">
        <f>F2*760</f>
        <v>1900</v>
      </c>
      <c r="C2">
        <f>E2*6.02E+23</f>
        <v>487620000000</v>
      </c>
      <c r="E2">
        <f>0.00000000000081</f>
        <v>8.0999999999999998E-13</v>
      </c>
      <c r="F2">
        <v>2.5</v>
      </c>
    </row>
    <row r="3" spans="1:6" x14ac:dyDescent="0.2">
      <c r="B3">
        <f>F3*760</f>
        <v>3800</v>
      </c>
      <c r="C3">
        <f t="shared" ref="C3:C28" si="0">E3*6.02E+23</f>
        <v>842800000000</v>
      </c>
      <c r="E3" s="6">
        <v>1.4000000000000001E-12</v>
      </c>
      <c r="F3">
        <v>5</v>
      </c>
    </row>
    <row r="4" spans="1:6" x14ac:dyDescent="0.2">
      <c r="B4">
        <f>F4*760</f>
        <v>6611.9999999999991</v>
      </c>
      <c r="C4">
        <f t="shared" si="0"/>
        <v>1505000000000</v>
      </c>
      <c r="E4" s="6">
        <v>2.4999999999999998E-12</v>
      </c>
      <c r="F4">
        <v>8.6999999999999993</v>
      </c>
    </row>
    <row r="5" spans="1:6" x14ac:dyDescent="0.2">
      <c r="B5">
        <f>F5*760</f>
        <v>22800</v>
      </c>
      <c r="C5">
        <f t="shared" si="0"/>
        <v>4876200000000</v>
      </c>
      <c r="E5" s="6">
        <v>8.0999999999999998E-12</v>
      </c>
      <c r="F5">
        <v>30</v>
      </c>
    </row>
    <row r="6" spans="1:6" x14ac:dyDescent="0.2">
      <c r="B6">
        <f>F6*760</f>
        <v>76000</v>
      </c>
      <c r="C6">
        <f t="shared" si="0"/>
        <v>10234000000000</v>
      </c>
      <c r="E6" s="6">
        <v>1.6999999999999999E-11</v>
      </c>
      <c r="F6">
        <v>100</v>
      </c>
    </row>
    <row r="7" spans="1:6" x14ac:dyDescent="0.2">
      <c r="B7">
        <f>F7*760</f>
        <v>228000</v>
      </c>
      <c r="C7">
        <f t="shared" si="0"/>
        <v>19866000000000</v>
      </c>
      <c r="E7" s="6">
        <v>3.3000000000000002E-11</v>
      </c>
      <c r="F7">
        <v>300</v>
      </c>
    </row>
    <row r="8" spans="1:6" x14ac:dyDescent="0.2">
      <c r="B8">
        <f>F8*760</f>
        <v>684000</v>
      </c>
      <c r="C8">
        <f t="shared" si="0"/>
        <v>28896000000000</v>
      </c>
      <c r="E8" s="6">
        <v>4.8000000000000002E-11</v>
      </c>
      <c r="F8">
        <v>900</v>
      </c>
    </row>
    <row r="9" spans="1:6" x14ac:dyDescent="0.2">
      <c r="A9">
        <v>400</v>
      </c>
      <c r="B9">
        <f>F9*760</f>
        <v>5320</v>
      </c>
      <c r="C9">
        <f t="shared" si="0"/>
        <v>842800000000</v>
      </c>
      <c r="E9" s="6">
        <v>1.4000000000000001E-12</v>
      </c>
      <c r="F9">
        <v>7</v>
      </c>
    </row>
    <row r="10" spans="1:6" x14ac:dyDescent="0.2">
      <c r="B10">
        <f>F10*760</f>
        <v>8360</v>
      </c>
      <c r="C10">
        <f t="shared" si="0"/>
        <v>1324400000000</v>
      </c>
      <c r="E10" s="6">
        <v>2.1999999999999999E-12</v>
      </c>
      <c r="F10">
        <v>11</v>
      </c>
    </row>
    <row r="11" spans="1:6" x14ac:dyDescent="0.2">
      <c r="B11">
        <f>F11*760</f>
        <v>30400</v>
      </c>
      <c r="C11">
        <f t="shared" si="0"/>
        <v>3973200000000</v>
      </c>
      <c r="E11" s="6">
        <v>6.6000000000000001E-12</v>
      </c>
      <c r="F11">
        <v>40</v>
      </c>
    </row>
    <row r="12" spans="1:6" x14ac:dyDescent="0.2">
      <c r="B12">
        <f>F12*760</f>
        <v>76000</v>
      </c>
      <c r="C12">
        <f t="shared" si="0"/>
        <v>7224000000000</v>
      </c>
      <c r="E12" s="6">
        <v>1.2000000000000001E-11</v>
      </c>
      <c r="F12">
        <v>100</v>
      </c>
    </row>
    <row r="13" spans="1:6" x14ac:dyDescent="0.2">
      <c r="B13">
        <f>F13*760</f>
        <v>228000</v>
      </c>
      <c r="C13">
        <f t="shared" si="0"/>
        <v>15050000000000</v>
      </c>
      <c r="E13" s="6">
        <v>2.5000000000000001E-11</v>
      </c>
      <c r="F13">
        <v>300</v>
      </c>
    </row>
    <row r="14" spans="1:6" x14ac:dyDescent="0.2">
      <c r="B14">
        <f>F14*760</f>
        <v>684000</v>
      </c>
      <c r="C14">
        <f t="shared" si="0"/>
        <v>25284000000000</v>
      </c>
      <c r="E14" s="6">
        <v>4.1999999999999997E-11</v>
      </c>
      <c r="F14">
        <v>900</v>
      </c>
    </row>
    <row r="15" spans="1:6" x14ac:dyDescent="0.2">
      <c r="A15">
        <v>500</v>
      </c>
      <c r="B15">
        <f>F15*760</f>
        <v>6080</v>
      </c>
      <c r="C15">
        <f t="shared" si="0"/>
        <v>722400000000</v>
      </c>
      <c r="E15" s="6">
        <v>1.1999999999999999E-12</v>
      </c>
      <c r="F15">
        <v>8</v>
      </c>
    </row>
    <row r="16" spans="1:6" x14ac:dyDescent="0.2">
      <c r="B16">
        <f>F16*760</f>
        <v>38000</v>
      </c>
      <c r="C16">
        <f t="shared" si="0"/>
        <v>3431400000000</v>
      </c>
      <c r="E16" s="6">
        <v>5.7000000000000003E-12</v>
      </c>
      <c r="F16">
        <v>50</v>
      </c>
    </row>
    <row r="17" spans="1:6" x14ac:dyDescent="0.2">
      <c r="B17">
        <f>F17*760</f>
        <v>76000</v>
      </c>
      <c r="C17">
        <f t="shared" si="0"/>
        <v>4695600000000</v>
      </c>
      <c r="E17" s="6">
        <v>7.7999999999999999E-12</v>
      </c>
      <c r="F17">
        <v>100</v>
      </c>
    </row>
    <row r="18" spans="1:6" x14ac:dyDescent="0.2">
      <c r="B18">
        <f>F18*760</f>
        <v>228000</v>
      </c>
      <c r="C18">
        <f t="shared" si="0"/>
        <v>11438000000000</v>
      </c>
      <c r="E18" s="6">
        <v>1.8999999999999999E-11</v>
      </c>
      <c r="F18">
        <v>300</v>
      </c>
    </row>
    <row r="19" spans="1:6" x14ac:dyDescent="0.2">
      <c r="B19">
        <f>F19*760</f>
        <v>684000</v>
      </c>
      <c r="C19">
        <f t="shared" si="0"/>
        <v>17458000000000</v>
      </c>
      <c r="E19" s="6">
        <v>2.9E-11</v>
      </c>
      <c r="F19">
        <v>900</v>
      </c>
    </row>
    <row r="20" spans="1:6" x14ac:dyDescent="0.2">
      <c r="A20">
        <v>600</v>
      </c>
      <c r="B20">
        <f>F20*760</f>
        <v>7600</v>
      </c>
      <c r="C20">
        <f t="shared" si="0"/>
        <v>662200000000</v>
      </c>
      <c r="E20" s="6">
        <v>1.1E-12</v>
      </c>
      <c r="F20">
        <v>10</v>
      </c>
    </row>
    <row r="21" spans="1:6" x14ac:dyDescent="0.2">
      <c r="B21">
        <f>F21*760</f>
        <v>45600</v>
      </c>
      <c r="C21">
        <f t="shared" si="0"/>
        <v>2769200000000</v>
      </c>
      <c r="E21" s="6">
        <v>4.5999999999999998E-12</v>
      </c>
      <c r="F21">
        <v>60</v>
      </c>
    </row>
    <row r="22" spans="1:6" x14ac:dyDescent="0.2">
      <c r="B22">
        <f>F22*760</f>
        <v>76000</v>
      </c>
      <c r="C22">
        <f t="shared" si="0"/>
        <v>3551800000000</v>
      </c>
      <c r="E22" s="6">
        <v>5.9000000000000003E-12</v>
      </c>
      <c r="F22">
        <v>100</v>
      </c>
    </row>
    <row r="23" spans="1:6" x14ac:dyDescent="0.2">
      <c r="B23">
        <f>F23*760</f>
        <v>91200</v>
      </c>
      <c r="C23">
        <f t="shared" si="0"/>
        <v>4093600000000</v>
      </c>
      <c r="E23" s="6">
        <v>6.8000000000000001E-12</v>
      </c>
      <c r="F23">
        <v>120</v>
      </c>
    </row>
    <row r="24" spans="1:6" x14ac:dyDescent="0.2">
      <c r="B24">
        <f>F24*760</f>
        <v>228000</v>
      </c>
      <c r="C24">
        <f t="shared" si="0"/>
        <v>7826000000000</v>
      </c>
      <c r="E24" s="6">
        <v>1.3E-11</v>
      </c>
      <c r="F24">
        <v>300</v>
      </c>
    </row>
    <row r="25" spans="1:6" x14ac:dyDescent="0.2">
      <c r="B25">
        <f>F25*760</f>
        <v>684000</v>
      </c>
      <c r="C25">
        <f t="shared" si="0"/>
        <v>13244000000000</v>
      </c>
      <c r="E25" s="6">
        <v>2.2000000000000002E-11</v>
      </c>
      <c r="F25">
        <v>900</v>
      </c>
    </row>
    <row r="26" spans="1:6" x14ac:dyDescent="0.2">
      <c r="A26">
        <v>700</v>
      </c>
      <c r="B26">
        <f>F26*760</f>
        <v>8360</v>
      </c>
      <c r="C26">
        <f t="shared" si="0"/>
        <v>493640000000</v>
      </c>
      <c r="E26" s="6">
        <v>8.2000000000000004E-13</v>
      </c>
      <c r="F26">
        <v>11</v>
      </c>
    </row>
    <row r="27" spans="1:6" x14ac:dyDescent="0.2">
      <c r="B27">
        <f>F27*760</f>
        <v>304000</v>
      </c>
      <c r="C27">
        <f t="shared" si="0"/>
        <v>7826000000000</v>
      </c>
      <c r="E27" s="6">
        <v>1.3E-11</v>
      </c>
      <c r="F27">
        <v>400</v>
      </c>
    </row>
    <row r="28" spans="1:6" x14ac:dyDescent="0.2">
      <c r="B28">
        <f>F28*760</f>
        <v>722000</v>
      </c>
      <c r="C28">
        <f t="shared" si="0"/>
        <v>12642000000000</v>
      </c>
      <c r="E28" s="6">
        <v>2.0999999999999999E-11</v>
      </c>
      <c r="F28">
        <v>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3" sqref="D23"/>
    </sheetView>
  </sheetViews>
  <sheetFormatPr defaultRowHeight="12.75" x14ac:dyDescent="0.2"/>
  <cols>
    <col min="2" max="2" width="15.7109375" bestFit="1" customWidth="1"/>
    <col min="3" max="3" width="14.140625" bestFit="1" customWidth="1"/>
  </cols>
  <sheetData>
    <row r="1" spans="1:5" x14ac:dyDescent="0.2">
      <c r="A1" s="60" t="s">
        <v>17</v>
      </c>
      <c r="B1" s="60" t="s">
        <v>18</v>
      </c>
      <c r="C1" s="60" t="s">
        <v>16</v>
      </c>
    </row>
    <row r="2" spans="1:5" x14ac:dyDescent="0.2">
      <c r="A2" s="60">
        <v>298</v>
      </c>
      <c r="B2" s="60">
        <v>50</v>
      </c>
      <c r="C2" s="61">
        <f>0.0000000000000314*6.02E+23</f>
        <v>18902800000</v>
      </c>
    </row>
    <row r="3" spans="1:5" x14ac:dyDescent="0.2">
      <c r="A3" s="60">
        <v>298</v>
      </c>
      <c r="B3" s="60">
        <v>250</v>
      </c>
      <c r="C3" s="61">
        <f>0.0000000000001284*6.02E+23</f>
        <v>77296799999.999985</v>
      </c>
    </row>
    <row r="4" spans="1:5" x14ac:dyDescent="0.2">
      <c r="A4" s="58"/>
      <c r="B4" s="58"/>
      <c r="C4" s="58"/>
      <c r="E4" s="58"/>
    </row>
    <row r="8" spans="1:5" x14ac:dyDescent="0.2">
      <c r="D8" s="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0" sqref="E20"/>
    </sheetView>
  </sheetViews>
  <sheetFormatPr defaultRowHeight="12.75" x14ac:dyDescent="0.2"/>
  <cols>
    <col min="1" max="1" width="9.140625" style="58"/>
    <col min="2" max="2" width="12.7109375" style="58" bestFit="1" customWidth="1"/>
    <col min="3" max="3" width="14.140625" style="58" bestFit="1" customWidth="1"/>
    <col min="4" max="16384" width="9.140625" style="58"/>
  </cols>
  <sheetData>
    <row r="1" spans="1:3" x14ac:dyDescent="0.2">
      <c r="A1" s="60" t="s">
        <v>17</v>
      </c>
      <c r="B1" s="60" t="s">
        <v>18</v>
      </c>
      <c r="C1" s="60" t="s">
        <v>16</v>
      </c>
    </row>
    <row r="2" spans="1:3" x14ac:dyDescent="0.2">
      <c r="A2" s="58">
        <v>298</v>
      </c>
      <c r="B2" s="58">
        <v>20</v>
      </c>
      <c r="C2" s="62">
        <f>2.04E-32*6.02E+23*20/760*101325*6.02E+23/1000000/298/8.314</f>
        <v>7956643164.7384462</v>
      </c>
    </row>
    <row r="3" spans="1:3" x14ac:dyDescent="0.2">
      <c r="A3" s="58">
        <v>298</v>
      </c>
      <c r="B3" s="58">
        <v>50</v>
      </c>
      <c r="C3" s="62">
        <f>2.19E-32*6.02E+23*50/760*101325*6.02E+23/1000000/298/8.314</f>
        <v>21354226140.658337</v>
      </c>
    </row>
    <row r="4" spans="1:3" x14ac:dyDescent="0.2">
      <c r="A4" s="58">
        <v>298</v>
      </c>
      <c r="B4" s="58">
        <v>150</v>
      </c>
      <c r="C4" s="62">
        <f>2.02E-32*6.02E+23*150/760*101325*6.02E+23/1000000/298/8.314</f>
        <v>59089776444.013481</v>
      </c>
    </row>
    <row r="5" spans="1:3" x14ac:dyDescent="0.2">
      <c r="A5" s="58">
        <v>298</v>
      </c>
      <c r="B5" s="58">
        <v>300</v>
      </c>
      <c r="C5" s="62">
        <f>2.02E-32*6.02E+23*300/760*101325*6.02E+23/1000000/298/8.314</f>
        <v>118179552888.02696</v>
      </c>
    </row>
    <row r="6" spans="1:3" x14ac:dyDescent="0.2">
      <c r="A6" s="58">
        <v>360</v>
      </c>
      <c r="B6" s="58">
        <v>50</v>
      </c>
      <c r="C6" s="62">
        <f>1.76E-32*6.02E+23*50/760*101325*6.02E+23/1000000/360/8.314</f>
        <v>14205814974.952419</v>
      </c>
    </row>
    <row r="7" spans="1:3" x14ac:dyDescent="0.2">
      <c r="A7" s="58">
        <v>360</v>
      </c>
      <c r="B7" s="58">
        <v>150</v>
      </c>
      <c r="C7" s="62">
        <f>1.81E-32*6.02E+23*150/760*101325*6.02E+23/1000000/360/8.314</f>
        <v>43828167792.040688</v>
      </c>
    </row>
    <row r="8" spans="1:3" x14ac:dyDescent="0.2">
      <c r="A8" s="58">
        <v>360</v>
      </c>
      <c r="B8" s="58">
        <v>500</v>
      </c>
      <c r="C8" s="62">
        <f>1.81E-32*6.02E+23*500/760*101325*6.02E+23/1000000/360/8.314</f>
        <v>146093892640.13559</v>
      </c>
    </row>
    <row r="9" spans="1:3" x14ac:dyDescent="0.2">
      <c r="A9" s="58">
        <v>260</v>
      </c>
      <c r="B9" s="58">
        <v>50</v>
      </c>
      <c r="C9" s="62">
        <f>2.4E-32*6.02E+23*50/760*101325*6.02E+23/1000000/260/8.314</f>
        <v>26822168134.525547</v>
      </c>
    </row>
    <row r="10" spans="1:3" x14ac:dyDescent="0.2">
      <c r="A10" s="58">
        <v>220</v>
      </c>
      <c r="B10" s="58">
        <v>30</v>
      </c>
      <c r="C10" s="62">
        <f>3.1E-32*6.02E+23*30/760*101325*6.02E+23/1000000/220/8.314</f>
        <v>24566667632.304081</v>
      </c>
    </row>
    <row r="11" spans="1:3" x14ac:dyDescent="0.2">
      <c r="A11" s="58">
        <v>220</v>
      </c>
      <c r="B11" s="58">
        <v>50</v>
      </c>
      <c r="C11" s="62">
        <f>3.14E-32*6.02E+23*50/760*101325*6.02E+23/1000000/220/8.314</f>
        <v>41472761486.7929</v>
      </c>
    </row>
    <row r="12" spans="1:3" x14ac:dyDescent="0.2">
      <c r="A12" s="58">
        <v>220</v>
      </c>
      <c r="B12" s="58">
        <v>200</v>
      </c>
      <c r="C12" s="62">
        <f>3.37E-32*6.02E+23*200/760*101325*6.02E+23/1000000/220/8.314</f>
        <v>178042300905.08545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1" sqref="H21"/>
    </sheetView>
  </sheetViews>
  <sheetFormatPr defaultRowHeight="12.75" x14ac:dyDescent="0.2"/>
  <cols>
    <col min="3" max="3" width="14.140625" bestFit="1" customWidth="1"/>
  </cols>
  <sheetData>
    <row r="1" spans="1:3" x14ac:dyDescent="0.2">
      <c r="A1" s="60" t="s">
        <v>17</v>
      </c>
      <c r="B1" s="60" t="s">
        <v>18</v>
      </c>
      <c r="C1" s="60" t="s">
        <v>16</v>
      </c>
    </row>
    <row r="2" spans="1:3" x14ac:dyDescent="0.2">
      <c r="A2" s="58">
        <v>298</v>
      </c>
      <c r="B2" s="58">
        <v>800</v>
      </c>
      <c r="C2" s="62">
        <f>5900000000000000*800/760*101325/1000000/8.314/298</f>
        <v>253991237771.24078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2" sqref="A1:C9"/>
    </sheetView>
  </sheetViews>
  <sheetFormatPr defaultRowHeight="12.75" x14ac:dyDescent="0.2"/>
  <cols>
    <col min="3" max="3" width="14.140625" bestFit="1" customWidth="1"/>
  </cols>
  <sheetData>
    <row r="1" spans="1:3" x14ac:dyDescent="0.2">
      <c r="A1" s="60" t="s">
        <v>17</v>
      </c>
      <c r="B1" s="60" t="s">
        <v>18</v>
      </c>
      <c r="C1" s="60" t="s">
        <v>16</v>
      </c>
    </row>
    <row r="2" spans="1:3" x14ac:dyDescent="0.2">
      <c r="A2" s="58">
        <v>298</v>
      </c>
      <c r="B2" s="58">
        <v>760</v>
      </c>
      <c r="C2" s="66">
        <f>0.00000000000041*6.02E+23</f>
        <v>246820000000</v>
      </c>
    </row>
    <row r="3" spans="1:3" x14ac:dyDescent="0.2">
      <c r="A3" s="58">
        <v>298</v>
      </c>
      <c r="B3" s="58">
        <v>1520</v>
      </c>
      <c r="C3" s="62">
        <f>0.00000000000091*6.02E+23</f>
        <v>547820000000</v>
      </c>
    </row>
    <row r="4" spans="1:3" x14ac:dyDescent="0.2">
      <c r="A4" s="58">
        <v>298</v>
      </c>
      <c r="B4" s="58">
        <v>3800</v>
      </c>
      <c r="C4" s="62">
        <f>0.0000000000023*6.02E+23</f>
        <v>1384600000000</v>
      </c>
    </row>
    <row r="5" spans="1:3" x14ac:dyDescent="0.2">
      <c r="A5" s="58">
        <v>298</v>
      </c>
      <c r="B5" s="58">
        <v>7600</v>
      </c>
      <c r="C5" s="62">
        <f>0.0000000000039*6.02E+23</f>
        <v>2347800000000</v>
      </c>
    </row>
    <row r="6" spans="1:3" x14ac:dyDescent="0.2">
      <c r="A6" s="58">
        <v>298</v>
      </c>
      <c r="B6" s="58">
        <v>19000</v>
      </c>
      <c r="C6" s="62">
        <f>0.0000000000064*6.02E+23</f>
        <v>3852800000000</v>
      </c>
    </row>
    <row r="7" spans="1:3" x14ac:dyDescent="0.2">
      <c r="A7" s="58">
        <v>298</v>
      </c>
      <c r="B7" s="58">
        <v>38000</v>
      </c>
      <c r="C7" s="62">
        <f>0.000000000012*6.02E+23</f>
        <v>7224000000000</v>
      </c>
    </row>
    <row r="8" spans="1:3" x14ac:dyDescent="0.2">
      <c r="A8" s="58">
        <v>298</v>
      </c>
      <c r="B8" s="58">
        <v>76000</v>
      </c>
      <c r="C8" s="62">
        <f>0.000000000017*6.02E+23</f>
        <v>10234000000000</v>
      </c>
    </row>
    <row r="9" spans="1:3" x14ac:dyDescent="0.2">
      <c r="A9" s="58">
        <v>298</v>
      </c>
      <c r="B9" s="58">
        <v>129200</v>
      </c>
      <c r="C9" s="62">
        <f>0.000000000023*6.02E+23</f>
        <v>13846000000000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I23" sqref="I23"/>
    </sheetView>
  </sheetViews>
  <sheetFormatPr defaultRowHeight="12.75" x14ac:dyDescent="0.2"/>
  <cols>
    <col min="1" max="2" width="9.28515625" style="58" bestFit="1" customWidth="1"/>
    <col min="3" max="3" width="12.42578125" style="58" bestFit="1" customWidth="1"/>
    <col min="4" max="16384" width="9.140625" style="58"/>
  </cols>
  <sheetData>
    <row r="1" spans="1:3" x14ac:dyDescent="0.2">
      <c r="A1" s="60" t="s">
        <v>17</v>
      </c>
      <c r="B1" s="60" t="s">
        <v>18</v>
      </c>
      <c r="C1" s="60" t="s">
        <v>16</v>
      </c>
    </row>
    <row r="2" spans="1:3" ht="15.75" x14ac:dyDescent="0.2">
      <c r="A2" s="11">
        <v>819</v>
      </c>
      <c r="B2" s="58">
        <v>10</v>
      </c>
      <c r="C2" s="58">
        <f>2400000000000000*10*101325/8.314/820/1000000</f>
        <v>356700716393.74078</v>
      </c>
    </row>
    <row r="3" spans="1:3" ht="15.75" x14ac:dyDescent="0.2">
      <c r="A3" s="11">
        <v>820</v>
      </c>
      <c r="B3" s="58">
        <v>14</v>
      </c>
      <c r="C3" s="58">
        <f>2350000000000000*14*101325/8.314/820/1000000</f>
        <v>488977232056.41968</v>
      </c>
    </row>
    <row r="4" spans="1:3" ht="15.75" x14ac:dyDescent="0.2">
      <c r="A4" s="11">
        <v>823</v>
      </c>
      <c r="B4" s="58">
        <v>10</v>
      </c>
      <c r="C4" s="58">
        <f>2460000000000000*10*101325/8.314/820/1000000</f>
        <v>365618234303.58423</v>
      </c>
    </row>
    <row r="5" spans="1:3" ht="15.75" x14ac:dyDescent="0.2">
      <c r="A5" s="11">
        <v>826</v>
      </c>
      <c r="B5" s="58">
        <v>12</v>
      </c>
      <c r="C5" s="58">
        <f>2370000000000000*12*101325/8.314/820/1000000</f>
        <v>422690348926.58276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1" sqref="G21"/>
    </sheetView>
  </sheetViews>
  <sheetFormatPr defaultRowHeight="12.75" x14ac:dyDescent="0.2"/>
  <cols>
    <col min="1" max="16384" width="9.140625" style="58"/>
  </cols>
  <sheetData>
    <row r="1" spans="1:3" x14ac:dyDescent="0.2">
      <c r="A1" s="60" t="s">
        <v>17</v>
      </c>
      <c r="B1" s="60" t="s">
        <v>18</v>
      </c>
      <c r="C1" s="60" t="s">
        <v>16</v>
      </c>
    </row>
    <row r="2" spans="1:3" ht="15.75" x14ac:dyDescent="0.2">
      <c r="A2" s="11">
        <v>900</v>
      </c>
      <c r="B2" s="58">
        <v>760</v>
      </c>
      <c r="C2" s="62">
        <f t="shared" ref="C2:C8" si="0">A2*B2</f>
        <v>684000</v>
      </c>
    </row>
    <row r="3" spans="1:3" ht="15.75" x14ac:dyDescent="0.2">
      <c r="A3" s="11">
        <v>849</v>
      </c>
      <c r="B3" s="58">
        <v>760</v>
      </c>
      <c r="C3" s="62">
        <f t="shared" si="0"/>
        <v>645240</v>
      </c>
    </row>
    <row r="4" spans="1:3" ht="15.75" x14ac:dyDescent="0.2">
      <c r="A4" s="11">
        <v>825</v>
      </c>
      <c r="B4" s="58">
        <v>760</v>
      </c>
      <c r="C4" s="62">
        <f t="shared" si="0"/>
        <v>627000</v>
      </c>
    </row>
    <row r="5" spans="1:3" ht="15.75" x14ac:dyDescent="0.2">
      <c r="A5" s="11">
        <v>800</v>
      </c>
      <c r="B5" s="58">
        <v>760</v>
      </c>
      <c r="C5" s="62">
        <f t="shared" si="0"/>
        <v>608000</v>
      </c>
    </row>
    <row r="6" spans="1:3" ht="15.75" x14ac:dyDescent="0.2">
      <c r="A6" s="11">
        <v>775</v>
      </c>
      <c r="B6" s="58">
        <v>760</v>
      </c>
      <c r="C6" s="62">
        <f t="shared" si="0"/>
        <v>589000</v>
      </c>
    </row>
    <row r="7" spans="1:3" ht="15.75" x14ac:dyDescent="0.2">
      <c r="A7" s="11">
        <v>750</v>
      </c>
      <c r="B7" s="58">
        <v>760</v>
      </c>
      <c r="C7" s="62">
        <f t="shared" si="0"/>
        <v>570000</v>
      </c>
    </row>
    <row r="8" spans="1:3" ht="15.75" x14ac:dyDescent="0.2">
      <c r="A8" s="11">
        <v>725</v>
      </c>
      <c r="B8" s="58">
        <v>760</v>
      </c>
      <c r="C8" s="62">
        <f t="shared" si="0"/>
        <v>551000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I20" sqref="I20"/>
    </sheetView>
  </sheetViews>
  <sheetFormatPr defaultRowHeight="12.75" x14ac:dyDescent="0.2"/>
  <cols>
    <col min="1" max="16384" width="9.140625" style="58"/>
  </cols>
  <sheetData>
    <row r="1" spans="1:3" x14ac:dyDescent="0.2">
      <c r="A1" s="60" t="s">
        <v>17</v>
      </c>
      <c r="B1" s="60" t="s">
        <v>18</v>
      </c>
      <c r="C1" s="60" t="s">
        <v>16</v>
      </c>
    </row>
    <row r="2" spans="1:3" x14ac:dyDescent="0.2">
      <c r="A2" s="58">
        <v>294.75382337064298</v>
      </c>
      <c r="B2" s="58">
        <v>250</v>
      </c>
      <c r="C2" s="62">
        <v>106861934658.22092</v>
      </c>
    </row>
    <row r="3" spans="1:3" x14ac:dyDescent="0.2">
      <c r="A3" s="58">
        <v>481.2363222904853</v>
      </c>
      <c r="B3" s="58">
        <v>250</v>
      </c>
      <c r="C3" s="62">
        <v>40551568213.579437</v>
      </c>
    </row>
    <row r="4" spans="1:3" x14ac:dyDescent="0.2">
      <c r="A4" s="58">
        <v>485.70620371080264</v>
      </c>
      <c r="B4" s="58">
        <v>250</v>
      </c>
      <c r="C4" s="62">
        <v>36744237423.890015</v>
      </c>
    </row>
    <row r="5" spans="1:3" x14ac:dyDescent="0.2">
      <c r="A5" s="58">
        <v>507.6398550111478</v>
      </c>
      <c r="B5" s="58">
        <v>250</v>
      </c>
      <c r="C5" s="62">
        <v>32506153327.605309</v>
      </c>
    </row>
    <row r="6" spans="1:3" x14ac:dyDescent="0.2">
      <c r="A6" s="58">
        <v>522.30199474515166</v>
      </c>
      <c r="B6" s="58">
        <v>250</v>
      </c>
      <c r="C6" s="62">
        <v>32740947099.516972</v>
      </c>
    </row>
    <row r="7" spans="1:3" x14ac:dyDescent="0.2">
      <c r="A7" s="58">
        <v>543.88647745933167</v>
      </c>
      <c r="B7" s="58">
        <v>250</v>
      </c>
      <c r="C7" s="62">
        <v>28923770378.387711</v>
      </c>
    </row>
    <row r="8" spans="1:3" x14ac:dyDescent="0.2">
      <c r="A8" s="58">
        <v>552.51461352792978</v>
      </c>
      <c r="B8" s="58">
        <v>250</v>
      </c>
      <c r="C8" s="62">
        <v>23575140765.488247</v>
      </c>
    </row>
    <row r="9" spans="1:3" x14ac:dyDescent="0.2">
      <c r="A9" s="58">
        <v>574.24128209163018</v>
      </c>
      <c r="B9" s="58">
        <v>250</v>
      </c>
      <c r="C9" s="62">
        <v>24106407875.955246</v>
      </c>
    </row>
    <row r="10" spans="1:3" x14ac:dyDescent="0.2">
      <c r="A10" s="58">
        <v>586.53161341510668</v>
      </c>
      <c r="B10" s="58">
        <v>250</v>
      </c>
      <c r="C10" s="62">
        <v>22246140676.982094</v>
      </c>
    </row>
    <row r="11" spans="1:3" x14ac:dyDescent="0.2">
      <c r="A11" s="58">
        <v>604.59902117949275</v>
      </c>
      <c r="B11" s="58">
        <v>250</v>
      </c>
      <c r="C11" s="62">
        <v>21386227840.47171</v>
      </c>
    </row>
    <row r="12" spans="1:3" x14ac:dyDescent="0.2">
      <c r="A12" s="58">
        <v>619.20002592338699</v>
      </c>
      <c r="B12" s="58">
        <v>250</v>
      </c>
      <c r="C12" s="62">
        <v>22182749629.020565</v>
      </c>
    </row>
    <row r="13" spans="1:3" x14ac:dyDescent="0.2">
      <c r="A13" s="58">
        <v>620.28390839285669</v>
      </c>
      <c r="B13" s="58">
        <v>250</v>
      </c>
      <c r="C13" s="62">
        <v>25712398503.673664</v>
      </c>
    </row>
    <row r="14" spans="1:3" x14ac:dyDescent="0.2">
      <c r="A14" s="58">
        <v>641.78064076975375</v>
      </c>
      <c r="B14" s="58">
        <v>250</v>
      </c>
      <c r="C14" s="62">
        <v>22517999414.053257</v>
      </c>
    </row>
    <row r="15" spans="1:3" x14ac:dyDescent="0.2">
      <c r="A15" s="58">
        <v>656.68157024116533</v>
      </c>
      <c r="B15" s="58">
        <v>250</v>
      </c>
      <c r="C15" s="62">
        <v>23030767945.443443</v>
      </c>
    </row>
    <row r="16" spans="1:3" x14ac:dyDescent="0.2">
      <c r="A16" s="58">
        <v>706.79001328679431</v>
      </c>
      <c r="B16" s="58">
        <v>250</v>
      </c>
      <c r="C16" s="62">
        <v>21443393156.333824</v>
      </c>
    </row>
    <row r="17" spans="1:3" x14ac:dyDescent="0.2">
      <c r="A17" s="58">
        <v>680.69194267067974</v>
      </c>
      <c r="B17" s="58">
        <v>250</v>
      </c>
      <c r="C17" s="62">
        <v>20033500456.816105</v>
      </c>
    </row>
    <row r="18" spans="1:3" x14ac:dyDescent="0.2">
      <c r="A18" s="58">
        <v>712.10627428250189</v>
      </c>
      <c r="B18" s="58">
        <v>250</v>
      </c>
      <c r="C18" s="62">
        <v>16846562579.34387</v>
      </c>
    </row>
    <row r="19" spans="1:3" x14ac:dyDescent="0.2">
      <c r="A19" s="58">
        <v>695.29791762103264</v>
      </c>
      <c r="B19" s="58">
        <v>250</v>
      </c>
      <c r="C19" s="62">
        <v>16901975490.568996</v>
      </c>
    </row>
    <row r="20" spans="1:3" x14ac:dyDescent="0.2">
      <c r="A20" s="58">
        <v>691.56043253597977</v>
      </c>
      <c r="B20" s="58">
        <v>250</v>
      </c>
      <c r="C20" s="62">
        <v>13784784019.627522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J9" sqref="A1:XFD1048576"/>
    </sheetView>
  </sheetViews>
  <sheetFormatPr defaultRowHeight="12.75" x14ac:dyDescent="0.2"/>
  <cols>
    <col min="1" max="2" width="9.140625" style="58"/>
    <col min="3" max="3" width="14.140625" style="58" bestFit="1" customWidth="1"/>
    <col min="4" max="16384" width="9.140625" style="58"/>
  </cols>
  <sheetData>
    <row r="1" spans="1:6" x14ac:dyDescent="0.2">
      <c r="A1" s="60" t="s">
        <v>17</v>
      </c>
      <c r="B1" s="60" t="s">
        <v>18</v>
      </c>
      <c r="C1" s="60" t="s">
        <v>16</v>
      </c>
      <c r="E1" s="58" t="s">
        <v>19</v>
      </c>
      <c r="F1" s="58" t="s">
        <v>20</v>
      </c>
    </row>
    <row r="2" spans="1:6" x14ac:dyDescent="0.2">
      <c r="A2" s="58">
        <v>1326</v>
      </c>
      <c r="B2" s="65">
        <f>760*F2</f>
        <v>48868</v>
      </c>
      <c r="C2" s="58">
        <v>738727138817.25977</v>
      </c>
      <c r="E2" s="58">
        <v>886472566580.71167</v>
      </c>
      <c r="F2" s="65">
        <v>64.3</v>
      </c>
    </row>
    <row r="3" spans="1:6" x14ac:dyDescent="0.2">
      <c r="A3" s="58">
        <v>1366</v>
      </c>
      <c r="B3" s="65">
        <f t="shared" ref="B3:B14" si="0">760*F3</f>
        <v>52668</v>
      </c>
      <c r="C3" s="58">
        <v>772856992351.0979</v>
      </c>
      <c r="E3" s="58">
        <v>927428390821.31738</v>
      </c>
      <c r="F3" s="65">
        <v>69.3</v>
      </c>
    </row>
    <row r="4" spans="1:6" x14ac:dyDescent="0.2">
      <c r="A4" s="58">
        <v>1260</v>
      </c>
      <c r="B4" s="65">
        <f t="shared" si="0"/>
        <v>43472</v>
      </c>
      <c r="C4" s="58">
        <v>922105952476.41199</v>
      </c>
      <c r="E4" s="58">
        <v>1106527142971.6943</v>
      </c>
      <c r="F4" s="65">
        <v>57.2</v>
      </c>
    </row>
    <row r="5" spans="1:6" x14ac:dyDescent="0.2">
      <c r="A5" s="58">
        <v>1262</v>
      </c>
      <c r="B5" s="65">
        <f t="shared" si="0"/>
        <v>41648</v>
      </c>
      <c r="C5" s="58">
        <v>793814549914.27966</v>
      </c>
      <c r="E5" s="58">
        <v>952577459897.13562</v>
      </c>
      <c r="F5" s="65">
        <v>54.8</v>
      </c>
    </row>
    <row r="6" spans="1:6" x14ac:dyDescent="0.2">
      <c r="A6" s="58">
        <v>1279</v>
      </c>
      <c r="B6" s="65">
        <f t="shared" si="0"/>
        <v>51224.000000000007</v>
      </c>
      <c r="C6" s="58">
        <v>909837053394.68115</v>
      </c>
      <c r="E6" s="58">
        <v>1091804464073.6173</v>
      </c>
      <c r="F6" s="65">
        <v>67.400000000000006</v>
      </c>
    </row>
    <row r="7" spans="1:6" x14ac:dyDescent="0.2">
      <c r="A7" s="58">
        <v>1290</v>
      </c>
      <c r="B7" s="65">
        <f t="shared" si="0"/>
        <v>53275.999999999993</v>
      </c>
      <c r="C7" s="58">
        <v>938215438887.98755</v>
      </c>
      <c r="E7" s="58">
        <v>1125858526665.585</v>
      </c>
      <c r="F7" s="65">
        <v>70.099999999999994</v>
      </c>
    </row>
    <row r="8" spans="1:6" x14ac:dyDescent="0.2">
      <c r="A8" s="58">
        <v>1291</v>
      </c>
      <c r="B8" s="65">
        <f t="shared" si="0"/>
        <v>51908</v>
      </c>
      <c r="C8" s="58">
        <v>913416240317.35034</v>
      </c>
      <c r="E8" s="58">
        <v>1096099488380.8204</v>
      </c>
      <c r="F8" s="65">
        <v>68.3</v>
      </c>
    </row>
    <row r="9" spans="1:6" x14ac:dyDescent="0.2">
      <c r="A9" s="58">
        <v>1315</v>
      </c>
      <c r="B9" s="65">
        <f t="shared" si="0"/>
        <v>53275.999999999993</v>
      </c>
      <c r="C9" s="58">
        <v>974518563676.09338</v>
      </c>
      <c r="E9" s="58">
        <v>1169422276411.312</v>
      </c>
      <c r="F9" s="65">
        <v>70.099999999999994</v>
      </c>
    </row>
    <row r="10" spans="1:6" x14ac:dyDescent="0.2">
      <c r="A10" s="58">
        <v>1327</v>
      </c>
      <c r="B10" s="65">
        <f t="shared" si="0"/>
        <v>51832</v>
      </c>
      <c r="C10" s="58">
        <v>1043923787134.9097</v>
      </c>
      <c r="E10" s="58">
        <v>1252708544561.8916</v>
      </c>
      <c r="F10" s="65">
        <v>68.2</v>
      </c>
    </row>
    <row r="11" spans="1:6" x14ac:dyDescent="0.2">
      <c r="A11" s="58">
        <v>1344</v>
      </c>
      <c r="B11" s="65">
        <f t="shared" si="0"/>
        <v>50008</v>
      </c>
      <c r="C11" s="58">
        <v>994447743765.53613</v>
      </c>
      <c r="E11" s="58">
        <v>1193337292518.6433</v>
      </c>
      <c r="F11" s="65">
        <v>65.8</v>
      </c>
    </row>
    <row r="12" spans="1:6" x14ac:dyDescent="0.2">
      <c r="A12" s="58">
        <v>1316</v>
      </c>
      <c r="B12" s="65">
        <f t="shared" si="0"/>
        <v>90364</v>
      </c>
      <c r="C12" s="58">
        <v>1376393365586.885</v>
      </c>
      <c r="E12" s="58">
        <v>1651672038704.262</v>
      </c>
      <c r="F12" s="65">
        <v>118.9</v>
      </c>
    </row>
    <row r="13" spans="1:6" x14ac:dyDescent="0.2">
      <c r="A13" s="58">
        <v>1332</v>
      </c>
      <c r="B13" s="65">
        <f t="shared" si="0"/>
        <v>86564</v>
      </c>
      <c r="C13" s="58">
        <v>1302675077802.1226</v>
      </c>
      <c r="E13" s="58">
        <v>1563210093362.5471</v>
      </c>
      <c r="F13" s="65">
        <v>113.9</v>
      </c>
    </row>
    <row r="14" spans="1:6" x14ac:dyDescent="0.2">
      <c r="A14" s="58">
        <v>1376</v>
      </c>
      <c r="B14" s="65">
        <f t="shared" si="0"/>
        <v>85120</v>
      </c>
      <c r="C14" s="58">
        <v>1239984321766.0322</v>
      </c>
      <c r="E14" s="58">
        <v>1487981186119.2385</v>
      </c>
      <c r="F14" s="65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H+O2+M Troe-Formula</vt:lpstr>
      <vt:lpstr>Kurylo 1972</vt:lpstr>
      <vt:lpstr>Wong and Davis</vt:lpstr>
      <vt:lpstr>Hikida et al</vt:lpstr>
      <vt:lpstr>Cobos</vt:lpstr>
      <vt:lpstr>Mueller et al 1998</vt:lpstr>
      <vt:lpstr>Ashman and heyes</vt:lpstr>
      <vt:lpstr>Michael et al</vt:lpstr>
      <vt:lpstr>Davidson 1996</vt:lpstr>
      <vt:lpstr>Shao 2018</vt:lpstr>
      <vt:lpstr>Fernandes 2008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2012-11-16T07:10:38Z</dcterms:created>
  <dcterms:modified xsi:type="dcterms:W3CDTF">2018-11-02T23:58:53Z</dcterms:modified>
</cp:coreProperties>
</file>