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nka\Downloads\Temp\_M9-1_H-O2-M Reaction Rate\Data_with Choudhary\"/>
    </mc:Choice>
  </mc:AlternateContent>
  <xr:revisionPtr revIDLastSave="0" documentId="13_ncr:1_{444C4268-4D74-4AF6-946B-D082ABBEEC1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igure 1" sheetId="7" r:id="rId1"/>
    <sheet name="H+O2+N2" sheetId="1" r:id="rId2"/>
    <sheet name="HP Mech Rate" sheetId="6" r:id="rId3"/>
    <sheet name="Shao Rate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H39" i="1"/>
  <c r="H38" i="1"/>
  <c r="H37" i="1"/>
  <c r="H36" i="1"/>
  <c r="H35" i="1"/>
  <c r="H34" i="1"/>
  <c r="H33" i="1"/>
  <c r="H32" i="1"/>
  <c r="H31" i="1"/>
  <c r="G28" i="1"/>
  <c r="G27" i="1"/>
  <c r="G26" i="1"/>
  <c r="G25" i="1"/>
  <c r="G24" i="1"/>
  <c r="G21" i="1"/>
  <c r="G20" i="1"/>
  <c r="G19" i="1"/>
  <c r="G18" i="1"/>
  <c r="G17" i="1"/>
  <c r="G16" i="1"/>
  <c r="G15" i="1"/>
  <c r="G14" i="1"/>
  <c r="I3" i="1"/>
  <c r="E3" i="1"/>
  <c r="E31" i="1" l="1"/>
  <c r="E14" i="1" l="1"/>
  <c r="N35" i="6"/>
  <c r="M35" i="6"/>
  <c r="L35" i="6"/>
  <c r="K35" i="6"/>
  <c r="J35" i="6"/>
  <c r="I35" i="6" s="1"/>
  <c r="H35" i="6"/>
  <c r="N34" i="6"/>
  <c r="M34" i="6"/>
  <c r="L34" i="6"/>
  <c r="K34" i="6"/>
  <c r="J34" i="6"/>
  <c r="I34" i="6" s="1"/>
  <c r="N33" i="6"/>
  <c r="M33" i="6"/>
  <c r="L33" i="6"/>
  <c r="K33" i="6"/>
  <c r="J33" i="6"/>
  <c r="I33" i="6" s="1"/>
  <c r="H33" i="6"/>
  <c r="N32" i="6"/>
  <c r="M32" i="6"/>
  <c r="L32" i="6"/>
  <c r="K32" i="6"/>
  <c r="J32" i="6"/>
  <c r="I32" i="6" s="1"/>
  <c r="N31" i="6"/>
  <c r="M31" i="6"/>
  <c r="L31" i="6"/>
  <c r="K31" i="6"/>
  <c r="J31" i="6"/>
  <c r="I31" i="6" s="1"/>
  <c r="N30" i="6"/>
  <c r="M30" i="6"/>
  <c r="L30" i="6"/>
  <c r="K30" i="6"/>
  <c r="J30" i="6"/>
  <c r="I30" i="6" s="1"/>
  <c r="H30" i="6"/>
  <c r="N29" i="6"/>
  <c r="M29" i="6"/>
  <c r="L29" i="6"/>
  <c r="K29" i="6"/>
  <c r="J29" i="6"/>
  <c r="I29" i="6" s="1"/>
  <c r="N28" i="6"/>
  <c r="M28" i="6"/>
  <c r="L28" i="6"/>
  <c r="K28" i="6"/>
  <c r="J28" i="6"/>
  <c r="I28" i="6" s="1"/>
  <c r="H28" i="6"/>
  <c r="N27" i="6"/>
  <c r="M27" i="6"/>
  <c r="L27" i="6"/>
  <c r="K27" i="6"/>
  <c r="J27" i="6"/>
  <c r="I27" i="6" s="1"/>
  <c r="N25" i="6"/>
  <c r="M25" i="6"/>
  <c r="L25" i="6"/>
  <c r="K25" i="6"/>
  <c r="J25" i="6"/>
  <c r="H25" i="6" s="1"/>
  <c r="N24" i="6"/>
  <c r="M24" i="6"/>
  <c r="G24" i="6" s="1"/>
  <c r="L24" i="6"/>
  <c r="K24" i="6"/>
  <c r="J24" i="6"/>
  <c r="H24" i="6" s="1"/>
  <c r="I24" i="6"/>
  <c r="N23" i="6"/>
  <c r="M23" i="6"/>
  <c r="L23" i="6"/>
  <c r="K23" i="6"/>
  <c r="J23" i="6"/>
  <c r="I23" i="6" s="1"/>
  <c r="H23" i="6"/>
  <c r="N22" i="6"/>
  <c r="M22" i="6"/>
  <c r="L22" i="6"/>
  <c r="K22" i="6"/>
  <c r="J22" i="6"/>
  <c r="I22" i="6" s="1"/>
  <c r="H22" i="6"/>
  <c r="N21" i="6"/>
  <c r="M21" i="6"/>
  <c r="L21" i="6"/>
  <c r="K21" i="6"/>
  <c r="J21" i="6"/>
  <c r="H21" i="6" s="1"/>
  <c r="N19" i="6"/>
  <c r="M19" i="6"/>
  <c r="L19" i="6"/>
  <c r="K19" i="6"/>
  <c r="J19" i="6"/>
  <c r="I19" i="6" s="1"/>
  <c r="N18" i="6"/>
  <c r="M18" i="6"/>
  <c r="L18" i="6"/>
  <c r="K18" i="6"/>
  <c r="J18" i="6"/>
  <c r="I18" i="6" s="1"/>
  <c r="N17" i="6"/>
  <c r="M17" i="6"/>
  <c r="G17" i="6" s="1"/>
  <c r="L17" i="6"/>
  <c r="K17" i="6"/>
  <c r="J17" i="6"/>
  <c r="H17" i="6" s="1"/>
  <c r="N16" i="6"/>
  <c r="M16" i="6"/>
  <c r="L16" i="6"/>
  <c r="K16" i="6"/>
  <c r="J16" i="6"/>
  <c r="I16" i="6" s="1"/>
  <c r="H16" i="6"/>
  <c r="N15" i="6"/>
  <c r="M15" i="6"/>
  <c r="L15" i="6"/>
  <c r="K15" i="6"/>
  <c r="J15" i="6"/>
  <c r="I15" i="6" s="1"/>
  <c r="N14" i="6"/>
  <c r="M14" i="6"/>
  <c r="L14" i="6"/>
  <c r="K14" i="6"/>
  <c r="J14" i="6"/>
  <c r="I14" i="6" s="1"/>
  <c r="N13" i="6"/>
  <c r="M13" i="6"/>
  <c r="G13" i="6" s="1"/>
  <c r="L13" i="6"/>
  <c r="K13" i="6"/>
  <c r="J13" i="6"/>
  <c r="H13" i="6" s="1"/>
  <c r="N12" i="6"/>
  <c r="M12" i="6"/>
  <c r="L12" i="6"/>
  <c r="K12" i="6"/>
  <c r="J12" i="6"/>
  <c r="I12" i="6" s="1"/>
  <c r="H12" i="6"/>
  <c r="G29" i="6" l="1"/>
  <c r="G31" i="6"/>
  <c r="G33" i="6"/>
  <c r="G35" i="6"/>
  <c r="H27" i="6"/>
  <c r="F27" i="6" s="1"/>
  <c r="E27" i="6" s="1"/>
  <c r="D27" i="6" s="1"/>
  <c r="Q27" i="6" s="1"/>
  <c r="G27" i="6"/>
  <c r="H32" i="6"/>
  <c r="H34" i="6"/>
  <c r="F24" i="6"/>
  <c r="E24" i="6" s="1"/>
  <c r="D24" i="6" s="1"/>
  <c r="G25" i="6"/>
  <c r="H15" i="6"/>
  <c r="H19" i="6"/>
  <c r="I13" i="6"/>
  <c r="I17" i="6"/>
  <c r="G28" i="6"/>
  <c r="F28" i="6" s="1"/>
  <c r="E28" i="6" s="1"/>
  <c r="D28" i="6" s="1"/>
  <c r="Q28" i="6" s="1"/>
  <c r="G30" i="6"/>
  <c r="F30" i="6" s="1"/>
  <c r="E30" i="6" s="1"/>
  <c r="D30" i="6" s="1"/>
  <c r="Q30" i="6" s="1"/>
  <c r="G32" i="6"/>
  <c r="F32" i="6" s="1"/>
  <c r="G34" i="6"/>
  <c r="H29" i="6"/>
  <c r="F29" i="6" s="1"/>
  <c r="E29" i="6" s="1"/>
  <c r="D29" i="6" s="1"/>
  <c r="Q29" i="6" s="1"/>
  <c r="H31" i="6"/>
  <c r="F31" i="6" s="1"/>
  <c r="E31" i="6" s="1"/>
  <c r="D31" i="6" s="1"/>
  <c r="Q31" i="6" s="1"/>
  <c r="F33" i="6"/>
  <c r="E33" i="6" s="1"/>
  <c r="D33" i="6" s="1"/>
  <c r="Q33" i="6" s="1"/>
  <c r="F35" i="6"/>
  <c r="E35" i="6" s="1"/>
  <c r="D35" i="6" s="1"/>
  <c r="Q35" i="6" s="1"/>
  <c r="E32" i="6"/>
  <c r="D32" i="6" s="1"/>
  <c r="Q32" i="6" s="1"/>
  <c r="I21" i="6"/>
  <c r="G21" i="6"/>
  <c r="F21" i="6" s="1"/>
  <c r="E21" i="6" s="1"/>
  <c r="D21" i="6" s="1"/>
  <c r="Q21" i="6" s="1"/>
  <c r="Q24" i="6"/>
  <c r="I25" i="6"/>
  <c r="F25" i="6"/>
  <c r="E25" i="6" s="1"/>
  <c r="D25" i="6" s="1"/>
  <c r="Q22" i="6"/>
  <c r="G23" i="6"/>
  <c r="F23" i="6" s="1"/>
  <c r="E23" i="6" s="1"/>
  <c r="D23" i="6" s="1"/>
  <c r="Q23" i="6" s="1"/>
  <c r="G22" i="6"/>
  <c r="F22" i="6" s="1"/>
  <c r="E22" i="6" s="1"/>
  <c r="D22" i="6" s="1"/>
  <c r="Q25" i="6"/>
  <c r="F17" i="6"/>
  <c r="G12" i="6"/>
  <c r="F12" i="6" s="1"/>
  <c r="E12" i="6" s="1"/>
  <c r="D12" i="6" s="1"/>
  <c r="Q12" i="6" s="1"/>
  <c r="G16" i="6"/>
  <c r="F16" i="6" s="1"/>
  <c r="E16" i="6" s="1"/>
  <c r="D16" i="6" s="1"/>
  <c r="Q16" i="6" s="1"/>
  <c r="F13" i="6"/>
  <c r="G15" i="6"/>
  <c r="F15" i="6" s="1"/>
  <c r="E15" i="6" s="1"/>
  <c r="D15" i="6" s="1"/>
  <c r="Q15" i="6" s="1"/>
  <c r="H18" i="6"/>
  <c r="G19" i="6"/>
  <c r="F19" i="6" s="1"/>
  <c r="E19" i="6" s="1"/>
  <c r="D19" i="6" s="1"/>
  <c r="Q19" i="6" s="1"/>
  <c r="H14" i="6"/>
  <c r="G14" i="6"/>
  <c r="F14" i="6" s="1"/>
  <c r="E14" i="6" s="1"/>
  <c r="D14" i="6" s="1"/>
  <c r="Q14" i="6" s="1"/>
  <c r="G18" i="6"/>
  <c r="F18" i="6" s="1"/>
  <c r="E18" i="6" s="1"/>
  <c r="D18" i="6" s="1"/>
  <c r="Q18" i="6" s="1"/>
  <c r="K3" i="6"/>
  <c r="K4" i="6"/>
  <c r="K5" i="6"/>
  <c r="K6" i="6"/>
  <c r="K7" i="6"/>
  <c r="K8" i="6"/>
  <c r="K9" i="6"/>
  <c r="K10" i="6"/>
  <c r="K2" i="6"/>
  <c r="I4" i="1"/>
  <c r="I5" i="1"/>
  <c r="I6" i="1"/>
  <c r="I7" i="1"/>
  <c r="I8" i="1"/>
  <c r="I9" i="1"/>
  <c r="I10" i="1"/>
  <c r="I11" i="1"/>
  <c r="I39" i="1"/>
  <c r="F39" i="1"/>
  <c r="E39" i="1"/>
  <c r="I38" i="1"/>
  <c r="E38" i="1"/>
  <c r="F38" i="1" s="1"/>
  <c r="I37" i="1"/>
  <c r="E37" i="1"/>
  <c r="I36" i="1"/>
  <c r="E36" i="1"/>
  <c r="I35" i="1"/>
  <c r="F35" i="1"/>
  <c r="E35" i="1"/>
  <c r="I34" i="1"/>
  <c r="E34" i="1"/>
  <c r="F34" i="1" s="1"/>
  <c r="I33" i="1"/>
  <c r="E33" i="1"/>
  <c r="I32" i="1"/>
  <c r="E32" i="1"/>
  <c r="I31" i="1"/>
  <c r="F31" i="1"/>
  <c r="H28" i="1"/>
  <c r="F28" i="1"/>
  <c r="H27" i="1"/>
  <c r="F27" i="1"/>
  <c r="H26" i="1"/>
  <c r="F26" i="1"/>
  <c r="H25" i="1"/>
  <c r="F25" i="1"/>
  <c r="H24" i="1"/>
  <c r="F24" i="1"/>
  <c r="H21" i="1"/>
  <c r="F21" i="1"/>
  <c r="E21" i="1"/>
  <c r="C21" i="1"/>
  <c r="I21" i="1" s="1"/>
  <c r="H20" i="1"/>
  <c r="F20" i="1"/>
  <c r="E20" i="1"/>
  <c r="C20" i="1"/>
  <c r="I20" i="1" s="1"/>
  <c r="I19" i="1"/>
  <c r="E19" i="1"/>
  <c r="F19" i="1" s="1"/>
  <c r="C19" i="1"/>
  <c r="E18" i="1"/>
  <c r="H18" i="1" s="1"/>
  <c r="C18" i="1"/>
  <c r="I18" i="1" s="1"/>
  <c r="H17" i="1"/>
  <c r="F17" i="1"/>
  <c r="E17" i="1"/>
  <c r="C17" i="1"/>
  <c r="I17" i="1" s="1"/>
  <c r="H16" i="1"/>
  <c r="F16" i="1"/>
  <c r="E16" i="1"/>
  <c r="C16" i="1"/>
  <c r="I16" i="1" s="1"/>
  <c r="I15" i="1"/>
  <c r="E15" i="1"/>
  <c r="H15" i="1" s="1"/>
  <c r="C15" i="1"/>
  <c r="H14" i="1"/>
  <c r="C14" i="1"/>
  <c r="I14" i="1" s="1"/>
  <c r="F34" i="6" l="1"/>
  <c r="E34" i="6" s="1"/>
  <c r="D34" i="6" s="1"/>
  <c r="Q34" i="6" s="1"/>
  <c r="E13" i="6"/>
  <c r="D13" i="6" s="1"/>
  <c r="Q13" i="6" s="1"/>
  <c r="E17" i="6"/>
  <c r="D17" i="6" s="1"/>
  <c r="Q17" i="6" s="1"/>
  <c r="F32" i="1"/>
  <c r="F36" i="1"/>
  <c r="F33" i="1"/>
  <c r="F37" i="1"/>
  <c r="F15" i="1"/>
  <c r="F14" i="1"/>
  <c r="F18" i="1"/>
  <c r="H19" i="1"/>
  <c r="K2" i="8" l="1"/>
  <c r="N6" i="8"/>
  <c r="L6" i="8"/>
  <c r="K6" i="8"/>
  <c r="J6" i="8"/>
  <c r="I6" i="8" s="1"/>
  <c r="N5" i="8"/>
  <c r="L5" i="8"/>
  <c r="K5" i="8"/>
  <c r="J5" i="8"/>
  <c r="I5" i="8" s="1"/>
  <c r="N4" i="8"/>
  <c r="L4" i="8"/>
  <c r="K4" i="8"/>
  <c r="J4" i="8"/>
  <c r="I4" i="8" s="1"/>
  <c r="N3" i="8"/>
  <c r="L3" i="8"/>
  <c r="K3" i="8"/>
  <c r="J3" i="8"/>
  <c r="I3" i="8" s="1"/>
  <c r="N2" i="8"/>
  <c r="L2" i="8"/>
  <c r="J2" i="8"/>
  <c r="I2" i="8" s="1"/>
  <c r="H3" i="8" l="1"/>
  <c r="H5" i="8"/>
  <c r="H2" i="8"/>
  <c r="H4" i="8"/>
  <c r="H6" i="8"/>
  <c r="G3" i="8"/>
  <c r="F3" i="8" s="1"/>
  <c r="E3" i="8" s="1"/>
  <c r="D3" i="8" s="1"/>
  <c r="Q3" i="8" s="1"/>
  <c r="G5" i="8"/>
  <c r="F5" i="8" s="1"/>
  <c r="E5" i="8" s="1"/>
  <c r="D5" i="8" s="1"/>
  <c r="Q5" i="8" s="1"/>
  <c r="G2" i="8"/>
  <c r="F2" i="8" s="1"/>
  <c r="E2" i="8" s="1"/>
  <c r="D2" i="8" s="1"/>
  <c r="Q2" i="8" s="1"/>
  <c r="G4" i="8"/>
  <c r="G6" i="8"/>
  <c r="F3" i="1"/>
  <c r="H3" i="1" l="1"/>
  <c r="G3" i="1"/>
  <c r="F6" i="8"/>
  <c r="E6" i="8" s="1"/>
  <c r="D6" i="8" s="1"/>
  <c r="Q6" i="8" s="1"/>
  <c r="F4" i="8"/>
  <c r="E4" i="8" s="1"/>
  <c r="D4" i="8" s="1"/>
  <c r="Q4" i="8" s="1"/>
  <c r="E11" i="1" l="1"/>
  <c r="F11" i="1" s="1"/>
  <c r="E10" i="1"/>
  <c r="F10" i="1" s="1"/>
  <c r="E9" i="1"/>
  <c r="E8" i="1"/>
  <c r="F8" i="1" s="1"/>
  <c r="E7" i="1"/>
  <c r="F7" i="1" s="1"/>
  <c r="E6" i="1"/>
  <c r="F6" i="1" s="1"/>
  <c r="E5" i="1"/>
  <c r="E4" i="1"/>
  <c r="F4" i="1" l="1"/>
  <c r="G11" i="1"/>
  <c r="H11" i="1"/>
  <c r="G10" i="1"/>
  <c r="H10" i="1"/>
  <c r="G9" i="1"/>
  <c r="H9" i="1"/>
  <c r="F9" i="1"/>
  <c r="G8" i="1"/>
  <c r="H8" i="1"/>
  <c r="G7" i="1"/>
  <c r="H7" i="1"/>
  <c r="G6" i="1"/>
  <c r="H6" i="1"/>
  <c r="G5" i="1"/>
  <c r="H5" i="1"/>
  <c r="F5" i="1"/>
  <c r="G4" i="1"/>
  <c r="H4" i="1"/>
  <c r="J2" i="6"/>
  <c r="I2" i="6" s="1"/>
  <c r="M2" i="6" l="1"/>
  <c r="L2" i="6"/>
  <c r="N10" i="6" l="1"/>
  <c r="M10" i="6"/>
  <c r="L10" i="6"/>
  <c r="J10" i="6"/>
  <c r="I10" i="6" s="1"/>
  <c r="N9" i="6"/>
  <c r="M9" i="6"/>
  <c r="L9" i="6"/>
  <c r="J9" i="6"/>
  <c r="I9" i="6" s="1"/>
  <c r="N8" i="6"/>
  <c r="M8" i="6"/>
  <c r="L8" i="6"/>
  <c r="J8" i="6"/>
  <c r="I8" i="6" s="1"/>
  <c r="N7" i="6"/>
  <c r="M7" i="6"/>
  <c r="L7" i="6"/>
  <c r="J7" i="6"/>
  <c r="I7" i="6" s="1"/>
  <c r="N6" i="6"/>
  <c r="M6" i="6"/>
  <c r="L6" i="6"/>
  <c r="J6" i="6"/>
  <c r="I6" i="6" s="1"/>
  <c r="N5" i="6"/>
  <c r="M5" i="6"/>
  <c r="L5" i="6"/>
  <c r="J5" i="6"/>
  <c r="I5" i="6" s="1"/>
  <c r="N4" i="6"/>
  <c r="M4" i="6"/>
  <c r="L4" i="6"/>
  <c r="J4" i="6"/>
  <c r="I4" i="6" s="1"/>
  <c r="N3" i="6"/>
  <c r="M3" i="6"/>
  <c r="L3" i="6"/>
  <c r="J3" i="6"/>
  <c r="I3" i="6" s="1"/>
  <c r="N2" i="6"/>
  <c r="H3" i="6" l="1"/>
  <c r="H5" i="6"/>
  <c r="H7" i="6"/>
  <c r="H9" i="6"/>
  <c r="H2" i="6"/>
  <c r="H4" i="6"/>
  <c r="H6" i="6"/>
  <c r="H8" i="6"/>
  <c r="H10" i="6"/>
  <c r="G3" i="6"/>
  <c r="F3" i="6" s="1"/>
  <c r="E3" i="6" s="1"/>
  <c r="D3" i="6" s="1"/>
  <c r="Q3" i="6" s="1"/>
  <c r="G5" i="6"/>
  <c r="G7" i="6"/>
  <c r="G9" i="6"/>
  <c r="G2" i="6"/>
  <c r="G4" i="6"/>
  <c r="G6" i="6"/>
  <c r="F6" i="6" s="1"/>
  <c r="E6" i="6" s="1"/>
  <c r="D6" i="6" s="1"/>
  <c r="Q6" i="6" s="1"/>
  <c r="G8" i="6"/>
  <c r="G10" i="6"/>
  <c r="F8" i="6" l="1"/>
  <c r="E8" i="6" s="1"/>
  <c r="D8" i="6" s="1"/>
  <c r="Q8" i="6" s="1"/>
  <c r="F10" i="6"/>
  <c r="E10" i="6" s="1"/>
  <c r="D10" i="6" s="1"/>
  <c r="Q10" i="6" s="1"/>
  <c r="F2" i="6"/>
  <c r="E2" i="6" s="1"/>
  <c r="D2" i="6" s="1"/>
  <c r="Q2" i="6" s="1"/>
  <c r="F7" i="6"/>
  <c r="E7" i="6" s="1"/>
  <c r="D7" i="6" s="1"/>
  <c r="Q7" i="6" s="1"/>
  <c r="F5" i="6"/>
  <c r="E5" i="6" s="1"/>
  <c r="D5" i="6" s="1"/>
  <c r="Q5" i="6" s="1"/>
  <c r="F4" i="6"/>
  <c r="E4" i="6" s="1"/>
  <c r="D4" i="6" s="1"/>
  <c r="Q4" i="6" s="1"/>
  <c r="F9" i="6"/>
  <c r="E9" i="6" s="1"/>
  <c r="D9" i="6" s="1"/>
  <c r="Q9" i="6" s="1"/>
</calcChain>
</file>

<file path=xl/sharedStrings.xml><?xml version="1.0" encoding="utf-8"?>
<sst xmlns="http://schemas.openxmlformats.org/spreadsheetml/2006/main" count="249" uniqueCount="49">
  <si>
    <t>HPMech</t>
  </si>
  <si>
    <t>Davidson 1996</t>
  </si>
  <si>
    <t>Bates 2001</t>
  </si>
  <si>
    <t>Concentration</t>
  </si>
  <si>
    <t>OH Concentration</t>
  </si>
  <si>
    <t>Shao 2019</t>
  </si>
  <si>
    <t>sigma positive</t>
  </si>
  <si>
    <t>sigma negative</t>
  </si>
  <si>
    <t>Davison</t>
  </si>
  <si>
    <t xml:space="preserve">GRI 2.11 Simulated </t>
  </si>
  <si>
    <t>T5/K</t>
  </si>
  <si>
    <t>P5/atm</t>
  </si>
  <si>
    <t>Relative Difference</t>
  </si>
  <si>
    <t>Exp Rate</t>
  </si>
  <si>
    <t>Measured Rate</t>
  </si>
  <si>
    <t>A</t>
  </si>
  <si>
    <t>n</t>
  </si>
  <si>
    <t>E</t>
  </si>
  <si>
    <t>F</t>
  </si>
  <si>
    <t>log F</t>
  </si>
  <si>
    <t>log Pr +C</t>
  </si>
  <si>
    <t>Pr</t>
  </si>
  <si>
    <t>c</t>
  </si>
  <si>
    <t>N</t>
  </si>
  <si>
    <t>Fc</t>
  </si>
  <si>
    <t>[M]</t>
  </si>
  <si>
    <t>kinf</t>
  </si>
  <si>
    <t>k0</t>
  </si>
  <si>
    <t>10000/T</t>
  </si>
  <si>
    <t>Troe</t>
  </si>
  <si>
    <t>Form</t>
  </si>
  <si>
    <t>Fitting</t>
  </si>
  <si>
    <t>alpha</t>
  </si>
  <si>
    <t>T***</t>
  </si>
  <si>
    <t>T*</t>
  </si>
  <si>
    <t>T**</t>
  </si>
  <si>
    <t>HP Mech Rate</t>
  </si>
  <si>
    <t>Davidson</t>
  </si>
  <si>
    <t>Bates</t>
  </si>
  <si>
    <t>Shao</t>
  </si>
  <si>
    <t>Choudhary 2019</t>
  </si>
  <si>
    <t>Choudhary</t>
  </si>
  <si>
    <t>P5/bar</t>
  </si>
  <si>
    <t>Exp Rate-molecule</t>
  </si>
  <si>
    <t>Rate</t>
  </si>
  <si>
    <t>T_plateau/K</t>
  </si>
  <si>
    <t>Davidson Exp</t>
  </si>
  <si>
    <t>Total M</t>
  </si>
  <si>
    <t>Exp 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</si>
</sst>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E+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2" fillId="0" borderId="0" xfId="0" applyNumberFormat="1" applyFont="1"/>
    <xf numFmtId="2" fontId="1" fillId="0" borderId="0" xfId="0" applyNumberFormat="1" applyFont="1"/>
    <xf numFmtId="11" fontId="2" fillId="0" borderId="0" xfId="0" applyNumberFormat="1" applyFont="1" applyFill="1"/>
    <xf numFmtId="0" fontId="1" fillId="0" borderId="0" xfId="0" applyFont="1" applyFill="1"/>
    <xf numFmtId="11" fontId="1" fillId="0" borderId="0" xfId="0" applyNumberFormat="1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2" fontId="2" fillId="0" borderId="0" xfId="0" applyNumberFormat="1" applyFont="1" applyFill="1"/>
    <xf numFmtId="11" fontId="1" fillId="0" borderId="0" xfId="0" applyNumberFormat="1" applyFont="1" applyFill="1" applyAlignment="1">
      <alignment vertical="center"/>
    </xf>
    <xf numFmtId="165" fontId="1" fillId="0" borderId="0" xfId="0" applyNumberFormat="1" applyFont="1" applyFill="1"/>
    <xf numFmtId="11" fontId="0" fillId="0" borderId="0" xfId="0" applyNumberFormat="1"/>
    <xf numFmtId="0" fontId="0" fillId="0" borderId="0" xfId="0" applyFill="1"/>
    <xf numFmtId="11" fontId="3" fillId="0" borderId="0" xfId="1" applyNumberFormat="1" applyFill="1"/>
    <xf numFmtId="0" fontId="3" fillId="0" borderId="0" xfId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12464308041104"/>
          <c:y val="9.165543348152394E-2"/>
          <c:w val="0.77335123660865435"/>
          <c:h val="0.78120047828737804"/>
        </c:manualLayout>
      </c:layout>
      <c:scatterChart>
        <c:scatterStyle val="lineMarker"/>
        <c:varyColors val="0"/>
        <c:ser>
          <c:idx val="2"/>
          <c:order val="0"/>
          <c:tx>
            <c:strRef>
              <c:f>'H+O2+N2'!$E$1</c:f>
              <c:strCache>
                <c:ptCount val="1"/>
                <c:pt idx="0">
                  <c:v>Davidson 1996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errBars>
            <c:errDir val="y"/>
            <c:errBarType val="both"/>
            <c:errValType val="cust"/>
            <c:noEndCap val="0"/>
            <c:plus>
              <c:numRef>
                <c:f>'H+O2+N2'!$G$3:$G$11</c:f>
                <c:numCache>
                  <c:formatCode>General</c:formatCode>
                  <c:ptCount val="9"/>
                  <c:pt idx="0">
                    <c:v>0.46657983398596731</c:v>
                  </c:pt>
                  <c:pt idx="1">
                    <c:v>0.47408093950297608</c:v>
                  </c:pt>
                  <c:pt idx="2">
                    <c:v>0.47818223253960646</c:v>
                  </c:pt>
                  <c:pt idx="3">
                    <c:v>0.51503388567770247</c:v>
                  </c:pt>
                  <c:pt idx="4">
                    <c:v>0.52429469341725476</c:v>
                  </c:pt>
                  <c:pt idx="5">
                    <c:v>0.52752589586195286</c:v>
                  </c:pt>
                  <c:pt idx="6">
                    <c:v>0.49752944935443821</c:v>
                  </c:pt>
                  <c:pt idx="7">
                    <c:v>0.5394456698188923</c:v>
                  </c:pt>
                  <c:pt idx="8">
                    <c:v>0.50707568755795196</c:v>
                  </c:pt>
                </c:numCache>
              </c:numRef>
            </c:plus>
            <c:minus>
              <c:numRef>
                <c:f>'H+O2+N2'!$H$3:$H$11</c:f>
                <c:numCache>
                  <c:formatCode>General</c:formatCode>
                  <c:ptCount val="9"/>
                  <c:pt idx="0">
                    <c:v>0.39479832106504931</c:v>
                  </c:pt>
                  <c:pt idx="1">
                    <c:v>0.40114541034867213</c:v>
                  </c:pt>
                  <c:pt idx="2">
                    <c:v>0.40461573522582089</c:v>
                  </c:pt>
                  <c:pt idx="3">
                    <c:v>0.43579790326574824</c:v>
                  </c:pt>
                  <c:pt idx="4">
                    <c:v>0.44363397135306165</c:v>
                  </c:pt>
                  <c:pt idx="5">
                    <c:v>0.44636806572934468</c:v>
                  </c:pt>
                  <c:pt idx="6">
                    <c:v>0.42098645714606309</c:v>
                  </c:pt>
                  <c:pt idx="7">
                    <c:v>0.45645402830829346</c:v>
                  </c:pt>
                  <c:pt idx="8">
                    <c:v>0.42906404331826703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'H+O2+N2'!$C$3:$C$11</c:f>
              <c:numCache>
                <c:formatCode>0.00</c:formatCode>
                <c:ptCount val="9"/>
                <c:pt idx="0">
                  <c:v>48.6</c:v>
                </c:pt>
                <c:pt idx="1">
                  <c:v>54.5</c:v>
                </c:pt>
                <c:pt idx="2">
                  <c:v>55.6</c:v>
                </c:pt>
                <c:pt idx="3">
                  <c:v>48.8</c:v>
                </c:pt>
                <c:pt idx="4">
                  <c:v>50.8</c:v>
                </c:pt>
                <c:pt idx="5">
                  <c:v>52.7</c:v>
                </c:pt>
                <c:pt idx="6">
                  <c:v>55.7</c:v>
                </c:pt>
                <c:pt idx="7">
                  <c:v>57.2</c:v>
                </c:pt>
                <c:pt idx="8">
                  <c:v>52.7</c:v>
                </c:pt>
              </c:numCache>
            </c:numRef>
          </c:xVal>
          <c:yVal>
            <c:numRef>
              <c:f>'H+O2+N2'!$F$3:$F$11</c:f>
              <c:numCache>
                <c:formatCode>0.00E+00</c:formatCode>
                <c:ptCount val="9"/>
                <c:pt idx="0">
                  <c:v>0.19635854868196748</c:v>
                </c:pt>
                <c:pt idx="1">
                  <c:v>0.21559215257173356</c:v>
                </c:pt>
                <c:pt idx="2">
                  <c:v>0.22610828856309353</c:v>
                </c:pt>
                <c:pt idx="3">
                  <c:v>0.32059970686590367</c:v>
                </c:pt>
                <c:pt idx="4">
                  <c:v>0.34434536773655045</c:v>
                </c:pt>
                <c:pt idx="5">
                  <c:v>0.35263050221013537</c:v>
                </c:pt>
                <c:pt idx="6">
                  <c:v>0.27571653680625169</c:v>
                </c:pt>
                <c:pt idx="7">
                  <c:v>0.38319402517664675</c:v>
                </c:pt>
                <c:pt idx="8">
                  <c:v>0.30019407066141524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6-4C22-AA8B-040B13694980}"/>
            </c:ext>
          </c:extLst>
        </c:ser>
        <c:ser>
          <c:idx val="0"/>
          <c:order val="1"/>
          <c:tx>
            <c:strRef>
              <c:f>'H+O2+N2'!$E$12</c:f>
              <c:strCache>
                <c:ptCount val="1"/>
                <c:pt idx="0">
                  <c:v>Bates 2001</c:v>
                </c:pt>
              </c:strCache>
            </c:strRef>
          </c:tx>
          <c:spPr>
            <a:ln w="28575">
              <a:noFill/>
            </a:ln>
          </c:spPr>
          <c:xVal>
            <c:numRef>
              <c:f>'H+O2+N2'!$C$14:$C$21</c:f>
              <c:numCache>
                <c:formatCode>0.00</c:formatCode>
                <c:ptCount val="8"/>
                <c:pt idx="0">
                  <c:v>7.9940784626999992</c:v>
                </c:pt>
                <c:pt idx="1">
                  <c:v>7.2045398490999997</c:v>
                </c:pt>
                <c:pt idx="2">
                  <c:v>21.4162348939</c:v>
                </c:pt>
                <c:pt idx="3">
                  <c:v>20.626696280299999</c:v>
                </c:pt>
                <c:pt idx="4">
                  <c:v>22.304465834200002</c:v>
                </c:pt>
                <c:pt idx="5">
                  <c:v>30.890698257100002</c:v>
                </c:pt>
                <c:pt idx="6">
                  <c:v>32.568467810999998</c:v>
                </c:pt>
                <c:pt idx="7">
                  <c:v>32.272390830900001</c:v>
                </c:pt>
              </c:numCache>
            </c:numRef>
          </c:xVal>
          <c:yVal>
            <c:numRef>
              <c:f>'H+O2+N2'!$F$14:$F$21</c:f>
              <c:numCache>
                <c:formatCode>0.00E+00</c:formatCode>
                <c:ptCount val="8"/>
                <c:pt idx="0">
                  <c:v>-2.358605965927172E-2</c:v>
                </c:pt>
                <c:pt idx="1">
                  <c:v>-3.1294174752290037E-2</c:v>
                </c:pt>
                <c:pt idx="2">
                  <c:v>-3.5689549616602138E-2</c:v>
                </c:pt>
                <c:pt idx="3">
                  <c:v>-3.1223707958351797E-2</c:v>
                </c:pt>
                <c:pt idx="4">
                  <c:v>-4.3071092189777963E-2</c:v>
                </c:pt>
                <c:pt idx="5">
                  <c:v>1.2537529438103343E-3</c:v>
                </c:pt>
                <c:pt idx="6">
                  <c:v>3.340679614919346E-3</c:v>
                </c:pt>
                <c:pt idx="7">
                  <c:v>2.7571456843485033E-2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5-48B4-9D4A-7737607F4FCF}"/>
            </c:ext>
          </c:extLst>
        </c:ser>
        <c:ser>
          <c:idx val="1"/>
          <c:order val="2"/>
          <c:tx>
            <c:strRef>
              <c:f>'H+O2+N2'!$E$22</c:f>
              <c:strCache>
                <c:ptCount val="1"/>
                <c:pt idx="0">
                  <c:v>Shao 2019</c:v>
                </c:pt>
              </c:strCache>
            </c:strRef>
          </c:tx>
          <c:spPr>
            <a:ln w="28575">
              <a:noFill/>
            </a:ln>
          </c:spPr>
          <c:xVal>
            <c:numRef>
              <c:f>'H+O2+N2'!$C$24:$C$28</c:f>
              <c:numCache>
                <c:formatCode>0.00</c:formatCode>
                <c:ptCount val="5"/>
                <c:pt idx="0">
                  <c:v>12.6</c:v>
                </c:pt>
                <c:pt idx="1">
                  <c:v>12.7</c:v>
                </c:pt>
                <c:pt idx="2">
                  <c:v>13</c:v>
                </c:pt>
                <c:pt idx="3">
                  <c:v>12.6</c:v>
                </c:pt>
                <c:pt idx="4">
                  <c:v>13.1</c:v>
                </c:pt>
              </c:numCache>
            </c:numRef>
          </c:xVal>
          <c:yVal>
            <c:numRef>
              <c:f>'H+O2+N2'!$F$24:$F$28</c:f>
              <c:numCache>
                <c:formatCode>0.00E+00</c:formatCode>
                <c:ptCount val="5"/>
                <c:pt idx="0">
                  <c:v>6.3244175369448277E-2</c:v>
                </c:pt>
                <c:pt idx="1">
                  <c:v>-2.6472378026442096E-2</c:v>
                </c:pt>
                <c:pt idx="2">
                  <c:v>-3.1614580352722819E-2</c:v>
                </c:pt>
                <c:pt idx="3">
                  <c:v>-2.0772178824708675E-2</c:v>
                </c:pt>
                <c:pt idx="4">
                  <c:v>-6.1316524980644646E-2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5-48B4-9D4A-7737607F4FCF}"/>
            </c:ext>
          </c:extLst>
        </c:ser>
        <c:ser>
          <c:idx val="3"/>
          <c:order val="3"/>
          <c:tx>
            <c:strRef>
              <c:f>'H+O2+N2'!$E$29</c:f>
              <c:strCache>
                <c:ptCount val="1"/>
                <c:pt idx="0">
                  <c:v>Choudhary 2019</c:v>
                </c:pt>
              </c:strCache>
            </c:strRef>
          </c:tx>
          <c:spPr>
            <a:ln w="28575">
              <a:noFill/>
            </a:ln>
          </c:spPr>
          <c:xVal>
            <c:numRef>
              <c:f>'H+O2+N2'!$C$31:$C$39</c:f>
              <c:numCache>
                <c:formatCode>0.00</c:formatCode>
                <c:ptCount val="9"/>
                <c:pt idx="0">
                  <c:v>20.100000000000001</c:v>
                </c:pt>
                <c:pt idx="1">
                  <c:v>20</c:v>
                </c:pt>
                <c:pt idx="2">
                  <c:v>18.84</c:v>
                </c:pt>
                <c:pt idx="3">
                  <c:v>20.97</c:v>
                </c:pt>
                <c:pt idx="4">
                  <c:v>21.68</c:v>
                </c:pt>
                <c:pt idx="5">
                  <c:v>9.35</c:v>
                </c:pt>
                <c:pt idx="6">
                  <c:v>9.94</c:v>
                </c:pt>
                <c:pt idx="7">
                  <c:v>10.61</c:v>
                </c:pt>
                <c:pt idx="8">
                  <c:v>11.55</c:v>
                </c:pt>
              </c:numCache>
            </c:numRef>
          </c:xVal>
          <c:yVal>
            <c:numRef>
              <c:f>'H+O2+N2'!$F$31:$F$39</c:f>
              <c:numCache>
                <c:formatCode>0.00E+00</c:formatCode>
                <c:ptCount val="9"/>
                <c:pt idx="0">
                  <c:v>-0.34713261334480422</c:v>
                </c:pt>
                <c:pt idx="1">
                  <c:v>-0.31924284029031896</c:v>
                </c:pt>
                <c:pt idx="2">
                  <c:v>-0.31285481224837891</c:v>
                </c:pt>
                <c:pt idx="3">
                  <c:v>-0.36901291638950351</c:v>
                </c:pt>
                <c:pt idx="4">
                  <c:v>-0.37327556235322495</c:v>
                </c:pt>
                <c:pt idx="5">
                  <c:v>-0.37754720138943104</c:v>
                </c:pt>
                <c:pt idx="6">
                  <c:v>-0.30286057314256809</c:v>
                </c:pt>
                <c:pt idx="7">
                  <c:v>-0.29173594332887831</c:v>
                </c:pt>
                <c:pt idx="8">
                  <c:v>-0.20601185890431103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5-48B4-9D4A-7737607F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55808"/>
        <c:axId val="286062464"/>
      </c:scatterChart>
      <c:valAx>
        <c:axId val="2860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00"/>
                </a:pPr>
                <a:r>
                  <a:rPr lang="en-US" sz="2500" b="0"/>
                  <a:t>Pressure(atm)</a:t>
                </a:r>
              </a:p>
            </c:rich>
          </c:tx>
          <c:layout>
            <c:manualLayout>
              <c:xMode val="edge"/>
              <c:yMode val="edge"/>
              <c:x val="0.44167062504566351"/>
              <c:y val="0.90157841207349076"/>
            </c:manualLayout>
          </c:layout>
          <c:overlay val="0"/>
        </c:title>
        <c:numFmt formatCode="0.00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286062464"/>
        <c:crossesAt val="-0.8"/>
        <c:crossBetween val="midCat"/>
      </c:valAx>
      <c:valAx>
        <c:axId val="286062464"/>
        <c:scaling>
          <c:orientation val="minMax"/>
          <c:max val="1.5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0">
                    <a:latin typeface="+mn-lt"/>
                    <a:cs typeface="Times New Roman" panose="02020603050405020304" pitchFamily="18" charset="0"/>
                  </a:rPr>
                  <a:t>(</a:t>
                </a:r>
                <a:r>
                  <a:rPr lang="en-US" sz="3000" b="0" i="1" baseline="0">
                    <a:latin typeface="+mn-lt"/>
                    <a:cs typeface="Times New Roman" panose="02020603050405020304" pitchFamily="18" charset="0"/>
                  </a:rPr>
                  <a:t>k</a:t>
                </a:r>
                <a:r>
                  <a:rPr lang="en-US" sz="3000" b="0" baseline="-25000">
                    <a:latin typeface="+mn-lt"/>
                    <a:cs typeface="Times New Roman" panose="02020603050405020304" pitchFamily="18" charset="0"/>
                  </a:rPr>
                  <a:t>exp</a:t>
                </a:r>
                <a:r>
                  <a:rPr lang="en-US" sz="3000" b="0">
                    <a:latin typeface="+mn-lt"/>
                    <a:cs typeface="Times New Roman" panose="02020603050405020304" pitchFamily="18" charset="0"/>
                  </a:rPr>
                  <a:t>-</a:t>
                </a:r>
                <a:r>
                  <a:rPr lang="en-US" sz="3000" b="0" i="1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k</a:t>
                </a:r>
                <a:r>
                  <a:rPr lang="en-US" sz="3000" b="0" i="0" baseline="-25000">
                    <a:effectLst/>
                    <a:latin typeface="+mn-lt"/>
                    <a:cs typeface="Times New Roman" panose="02020603050405020304" pitchFamily="18" charset="0"/>
                  </a:rPr>
                  <a:t>model</a:t>
                </a:r>
                <a:r>
                  <a:rPr lang="en-US" sz="3000" b="0">
                    <a:latin typeface="+mn-lt"/>
                    <a:cs typeface="Times New Roman" panose="02020603050405020304" pitchFamily="18" charset="0"/>
                  </a:rPr>
                  <a:t>)/</a:t>
                </a:r>
                <a:r>
                  <a:rPr lang="en-US" sz="3000" b="0" i="1" u="none" strike="noStrike" baseline="0">
                    <a:effectLst/>
                    <a:latin typeface="+mn-lt"/>
                    <a:cs typeface="Times New Roman" panose="02020603050405020304" pitchFamily="18" charset="0"/>
                  </a:rPr>
                  <a:t>k</a:t>
                </a:r>
                <a:r>
                  <a:rPr lang="en-US" sz="3000" b="0" baseline="-25000">
                    <a:latin typeface="+mn-lt"/>
                    <a:cs typeface="Times New Roman" panose="02020603050405020304" pitchFamily="18" charset="0"/>
                  </a:rPr>
                  <a:t>model</a:t>
                </a:r>
              </a:p>
            </c:rich>
          </c:tx>
          <c:layout>
            <c:manualLayout>
              <c:xMode val="edge"/>
              <c:yMode val="edge"/>
              <c:x val="1.1832801589108173E-4"/>
              <c:y val="0.19596507401746682"/>
            </c:manualLayout>
          </c:layout>
          <c:overlay val="0"/>
        </c:title>
        <c:numFmt formatCode="0.00E+00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286055808"/>
        <c:crossesAt val="0"/>
        <c:crossBetween val="midCat"/>
      </c:valAx>
      <c:spPr>
        <a:ln w="25400">
          <a:solidFill>
            <a:schemeClr val="tx1"/>
          </a:solidFill>
        </a:ln>
      </c:spPr>
    </c:plotArea>
    <c:legend>
      <c:legendPos val="t"/>
      <c:legendEntry>
        <c:idx val="0"/>
        <c:txPr>
          <a:bodyPr/>
          <a:lstStyle/>
          <a:p>
            <a:pPr>
              <a:defRPr sz="2000"/>
            </a:pPr>
            <a:endParaRPr lang="en-US"/>
          </a:p>
        </c:txPr>
      </c:legendEntry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1E97DD-3B2C-4E5C-9982-277279E6C908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640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0E0DE-3DA6-4295-A11D-2F5534A936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9"/>
  <sheetViews>
    <sheetView topLeftCell="D1" zoomScaleNormal="100" workbookViewId="0">
      <selection activeCell="K12" sqref="K12:K24"/>
    </sheetView>
  </sheetViews>
  <sheetFormatPr defaultRowHeight="15" x14ac:dyDescent="0.25"/>
  <cols>
    <col min="1" max="16" width="16.7109375" style="1" customWidth="1"/>
    <col min="17" max="17" width="16.7109375" style="6" customWidth="1"/>
    <col min="18" max="18" width="16.7109375" style="1" customWidth="1"/>
    <col min="19" max="16384" width="9.140625" style="1"/>
  </cols>
  <sheetData>
    <row r="1" spans="1:22" x14ac:dyDescent="0.25">
      <c r="E1" s="6" t="s">
        <v>1</v>
      </c>
      <c r="F1" s="6"/>
      <c r="G1" s="6"/>
      <c r="H1" s="6"/>
      <c r="I1" s="6" t="s">
        <v>47</v>
      </c>
      <c r="J1" s="6" t="s">
        <v>8</v>
      </c>
      <c r="K1" s="6" t="s">
        <v>46</v>
      </c>
      <c r="L1" s="6"/>
      <c r="M1" s="6"/>
      <c r="N1" s="6"/>
      <c r="O1" s="6"/>
      <c r="P1" s="6"/>
    </row>
    <row r="2" spans="1:22" x14ac:dyDescent="0.25">
      <c r="B2" s="1" t="s">
        <v>10</v>
      </c>
      <c r="C2" s="1" t="s">
        <v>11</v>
      </c>
      <c r="D2" s="1" t="s">
        <v>0</v>
      </c>
      <c r="E2" s="6" t="s">
        <v>13</v>
      </c>
      <c r="F2" s="6" t="s">
        <v>12</v>
      </c>
      <c r="G2" s="6" t="s">
        <v>6</v>
      </c>
      <c r="H2" s="6" t="s">
        <v>7</v>
      </c>
      <c r="I2" s="6" t="s">
        <v>3</v>
      </c>
      <c r="J2" s="6" t="s">
        <v>14</v>
      </c>
      <c r="K2" s="6" t="s">
        <v>4</v>
      </c>
      <c r="L2" s="6"/>
      <c r="M2" s="6"/>
      <c r="N2" s="6"/>
      <c r="O2" s="6"/>
      <c r="P2" s="6"/>
    </row>
    <row r="3" spans="1:22" x14ac:dyDescent="0.25">
      <c r="B3" s="4">
        <v>1278</v>
      </c>
      <c r="C3" s="4">
        <v>48.6</v>
      </c>
      <c r="D3" s="7">
        <v>726360004283.71313</v>
      </c>
      <c r="E3" s="7">
        <f>J3*I3</f>
        <v>868987000545.49072</v>
      </c>
      <c r="F3" s="7">
        <f>(E3-D3)/D3</f>
        <v>0.19635854868196748</v>
      </c>
      <c r="G3" s="7">
        <f>0.39*E3/D3</f>
        <v>0.46657983398596731</v>
      </c>
      <c r="H3" s="7">
        <f>0.33*E3/D3</f>
        <v>0.39479832106504931</v>
      </c>
      <c r="I3" s="7">
        <f>C3*101325/1000000/8.314/B3*0.75</f>
        <v>3.4759480021819629E-4</v>
      </c>
      <c r="J3" s="7">
        <v>2500000000000000</v>
      </c>
      <c r="K3" s="7">
        <v>9</v>
      </c>
      <c r="L3" s="7"/>
      <c r="M3" s="7"/>
      <c r="N3" s="7"/>
      <c r="O3" s="7"/>
      <c r="P3" s="7"/>
      <c r="Q3" s="7"/>
    </row>
    <row r="4" spans="1:22" x14ac:dyDescent="0.25">
      <c r="A4" s="2"/>
      <c r="B4" s="4">
        <v>1289</v>
      </c>
      <c r="C4" s="4">
        <v>54.5</v>
      </c>
      <c r="D4" s="7">
        <v>794810437145.17419</v>
      </c>
      <c r="E4" s="7">
        <f t="shared" ref="E4:E11" si="0">J4*I4</f>
        <v>966165330175.78284</v>
      </c>
      <c r="F4" s="7">
        <f t="shared" ref="F4:F11" si="1">(E4-D4)/D4</f>
        <v>0.21559215257173356</v>
      </c>
      <c r="G4" s="7">
        <f t="shared" ref="G4:G11" si="2">0.39*E4/D4</f>
        <v>0.47408093950297608</v>
      </c>
      <c r="H4" s="7">
        <f t="shared" ref="H4:H11" si="3">0.33*E4/D4</f>
        <v>0.40114541034867213</v>
      </c>
      <c r="I4" s="7">
        <f t="shared" ref="I4:I11" si="4">C4*101325/1000000/8.314/B4*0.75</f>
        <v>3.8646613207031315E-4</v>
      </c>
      <c r="J4" s="7">
        <v>2500000000000000</v>
      </c>
      <c r="K4" s="7">
        <v>8</v>
      </c>
      <c r="L4" s="7"/>
      <c r="M4" s="7"/>
      <c r="N4" s="7"/>
      <c r="O4" s="7"/>
      <c r="P4" s="7"/>
      <c r="Q4" s="7"/>
      <c r="R4" s="2"/>
      <c r="S4" s="3"/>
      <c r="T4" s="3"/>
      <c r="U4" s="3"/>
      <c r="V4" s="5"/>
    </row>
    <row r="5" spans="1:22" x14ac:dyDescent="0.25">
      <c r="A5" s="2"/>
      <c r="B5" s="4">
        <v>1298</v>
      </c>
      <c r="C5" s="4">
        <v>55.6</v>
      </c>
      <c r="D5" s="7">
        <v>798323907121.6554</v>
      </c>
      <c r="E5" s="7">
        <f t="shared" si="0"/>
        <v>978831559479.93494</v>
      </c>
      <c r="F5" s="7">
        <f t="shared" si="1"/>
        <v>0.22610828856309353</v>
      </c>
      <c r="G5" s="7">
        <f t="shared" si="2"/>
        <v>0.47818223253960646</v>
      </c>
      <c r="H5" s="7">
        <f t="shared" si="3"/>
        <v>0.40461573522582089</v>
      </c>
      <c r="I5" s="7">
        <f t="shared" si="4"/>
        <v>3.9153262379197396E-4</v>
      </c>
      <c r="J5" s="7">
        <v>2500000000000000</v>
      </c>
      <c r="K5" s="7">
        <v>9</v>
      </c>
      <c r="L5" s="7"/>
      <c r="M5" s="7"/>
      <c r="N5" s="7"/>
      <c r="O5" s="7"/>
      <c r="P5" s="7"/>
      <c r="Q5" s="7"/>
      <c r="R5" s="2"/>
      <c r="S5" s="3"/>
      <c r="T5" s="3"/>
      <c r="U5" s="3"/>
      <c r="V5" s="5"/>
    </row>
    <row r="6" spans="1:22" x14ac:dyDescent="0.25">
      <c r="A6" s="2"/>
      <c r="B6" s="4">
        <v>1304</v>
      </c>
      <c r="C6" s="4">
        <v>48.8</v>
      </c>
      <c r="D6" s="7">
        <v>699363002830.39661</v>
      </c>
      <c r="E6" s="7">
        <f t="shared" si="0"/>
        <v>923578576530.67993</v>
      </c>
      <c r="F6" s="7">
        <f t="shared" si="1"/>
        <v>0.32059970686590367</v>
      </c>
      <c r="G6" s="7">
        <f t="shared" si="2"/>
        <v>0.51503388567770247</v>
      </c>
      <c r="H6" s="7">
        <f t="shared" si="3"/>
        <v>0.43579790326574824</v>
      </c>
      <c r="I6" s="7">
        <f t="shared" si="4"/>
        <v>3.4206613945580739E-4</v>
      </c>
      <c r="J6" s="7">
        <v>2700000000000000</v>
      </c>
      <c r="K6" s="7">
        <v>15</v>
      </c>
      <c r="L6" s="7"/>
      <c r="M6" s="7"/>
      <c r="N6" s="7"/>
      <c r="O6" s="7"/>
      <c r="P6" s="7"/>
      <c r="Q6" s="7"/>
      <c r="R6" s="2"/>
      <c r="S6" s="3"/>
      <c r="T6" s="3"/>
      <c r="U6" s="3"/>
      <c r="V6" s="5"/>
    </row>
    <row r="7" spans="1:22" x14ac:dyDescent="0.25">
      <c r="A7" s="2"/>
      <c r="B7" s="4">
        <v>1323</v>
      </c>
      <c r="C7" s="4">
        <v>50.8</v>
      </c>
      <c r="D7" s="7">
        <v>704895329194.63843</v>
      </c>
      <c r="E7" s="7">
        <f t="shared" si="0"/>
        <v>947622770541.94299</v>
      </c>
      <c r="F7" s="7">
        <f t="shared" si="1"/>
        <v>0.34434536773655045</v>
      </c>
      <c r="G7" s="7">
        <f t="shared" si="2"/>
        <v>0.52429469341725476</v>
      </c>
      <c r="H7" s="7">
        <f t="shared" si="3"/>
        <v>0.44363397135306165</v>
      </c>
      <c r="I7" s="7">
        <f t="shared" si="4"/>
        <v>3.5097139649701594E-4</v>
      </c>
      <c r="J7" s="7">
        <v>2700000000000000</v>
      </c>
      <c r="K7" s="7">
        <v>21</v>
      </c>
      <c r="L7" s="7"/>
      <c r="M7" s="7"/>
      <c r="N7" s="7"/>
      <c r="O7" s="7"/>
      <c r="P7" s="7"/>
      <c r="Q7" s="7"/>
      <c r="R7" s="2"/>
      <c r="S7" s="3"/>
      <c r="T7" s="3"/>
      <c r="U7" s="3"/>
      <c r="V7" s="5"/>
    </row>
    <row r="8" spans="1:22" x14ac:dyDescent="0.25">
      <c r="A8" s="2"/>
      <c r="B8" s="4">
        <v>1328</v>
      </c>
      <c r="C8" s="4">
        <v>52.7</v>
      </c>
      <c r="D8" s="7">
        <v>724044040555.70239</v>
      </c>
      <c r="E8" s="7">
        <f t="shared" si="0"/>
        <v>979364054199.11536</v>
      </c>
      <c r="F8" s="7">
        <f t="shared" si="1"/>
        <v>0.35263050221013537</v>
      </c>
      <c r="G8" s="7">
        <f t="shared" si="2"/>
        <v>0.52752589586195286</v>
      </c>
      <c r="H8" s="7">
        <f t="shared" si="3"/>
        <v>0.44636806572934468</v>
      </c>
      <c r="I8" s="7">
        <f t="shared" si="4"/>
        <v>3.6272742748115385E-4</v>
      </c>
      <c r="J8" s="7">
        <v>2700000000000000</v>
      </c>
      <c r="K8" s="7">
        <v>17</v>
      </c>
      <c r="L8" s="7"/>
      <c r="M8" s="7"/>
      <c r="N8" s="7"/>
      <c r="O8" s="7"/>
      <c r="P8" s="7"/>
      <c r="Q8" s="7"/>
      <c r="R8" s="2"/>
      <c r="S8" s="3"/>
      <c r="T8" s="3"/>
      <c r="U8" s="3"/>
      <c r="V8" s="5"/>
    </row>
    <row r="9" spans="1:22" x14ac:dyDescent="0.25">
      <c r="A9" s="2"/>
      <c r="B9" s="4">
        <v>1347</v>
      </c>
      <c r="C9" s="4">
        <v>55.7</v>
      </c>
      <c r="D9" s="7">
        <v>740698181722.06592</v>
      </c>
      <c r="E9" s="7">
        <f t="shared" si="0"/>
        <v>944920919205.16162</v>
      </c>
      <c r="F9" s="7">
        <f t="shared" si="1"/>
        <v>0.27571653680625169</v>
      </c>
      <c r="G9" s="7">
        <f t="shared" si="2"/>
        <v>0.49752944935443821</v>
      </c>
      <c r="H9" s="7">
        <f t="shared" si="3"/>
        <v>0.42098645714606309</v>
      </c>
      <c r="I9" s="7">
        <f t="shared" si="4"/>
        <v>3.7796836768206466E-4</v>
      </c>
      <c r="J9" s="7">
        <v>2500000000000000</v>
      </c>
      <c r="K9" s="7">
        <v>25</v>
      </c>
      <c r="L9" s="7"/>
      <c r="M9" s="7"/>
      <c r="N9" s="7"/>
      <c r="O9" s="7"/>
      <c r="P9" s="7"/>
      <c r="Q9" s="7"/>
      <c r="R9" s="2"/>
      <c r="S9" s="3"/>
      <c r="T9" s="3"/>
      <c r="U9" s="3"/>
      <c r="V9" s="5"/>
    </row>
    <row r="10" spans="1:22" x14ac:dyDescent="0.25">
      <c r="A10" s="2"/>
      <c r="B10" s="4">
        <v>1350</v>
      </c>
      <c r="C10" s="4">
        <v>57.2</v>
      </c>
      <c r="D10" s="7">
        <v>755980817640.32312</v>
      </c>
      <c r="E10" s="7">
        <f t="shared" si="0"/>
        <v>1045668150108.2511</v>
      </c>
      <c r="F10" s="7">
        <f t="shared" si="1"/>
        <v>0.38319402517664675</v>
      </c>
      <c r="G10" s="7">
        <f t="shared" si="2"/>
        <v>0.5394456698188923</v>
      </c>
      <c r="H10" s="7">
        <f t="shared" si="3"/>
        <v>0.45645402830829346</v>
      </c>
      <c r="I10" s="7">
        <f t="shared" si="4"/>
        <v>3.8728450004009299E-4</v>
      </c>
      <c r="J10" s="7">
        <v>2700000000000000</v>
      </c>
      <c r="K10" s="7">
        <v>19</v>
      </c>
      <c r="L10" s="7"/>
      <c r="M10" s="7"/>
      <c r="N10" s="7"/>
      <c r="O10" s="7"/>
      <c r="P10" s="7"/>
      <c r="Q10" s="7"/>
      <c r="R10" s="2"/>
      <c r="S10" s="3"/>
      <c r="T10" s="3"/>
      <c r="U10" s="3"/>
      <c r="V10" s="5"/>
    </row>
    <row r="11" spans="1:22" x14ac:dyDescent="0.25">
      <c r="A11" s="2"/>
      <c r="B11" s="4">
        <v>1375</v>
      </c>
      <c r="C11" s="4">
        <v>52.7</v>
      </c>
      <c r="D11" s="7">
        <v>673608564310.75024</v>
      </c>
      <c r="E11" s="7">
        <f t="shared" si="0"/>
        <v>875821861263.58606</v>
      </c>
      <c r="F11" s="7">
        <f t="shared" si="1"/>
        <v>0.30019407066141524</v>
      </c>
      <c r="G11" s="7">
        <f t="shared" si="2"/>
        <v>0.50707568755795196</v>
      </c>
      <c r="H11" s="7">
        <f t="shared" si="3"/>
        <v>0.42906404331826703</v>
      </c>
      <c r="I11" s="7">
        <f t="shared" si="4"/>
        <v>3.5032874450543442E-4</v>
      </c>
      <c r="J11" s="7">
        <v>2500000000000000</v>
      </c>
      <c r="K11" s="7">
        <v>38</v>
      </c>
      <c r="L11" s="7"/>
      <c r="M11" s="7"/>
      <c r="N11" s="7"/>
      <c r="O11" s="7"/>
      <c r="P11" s="7"/>
      <c r="Q11" s="7"/>
      <c r="R11" s="2"/>
      <c r="S11" s="3"/>
      <c r="T11" s="3"/>
      <c r="U11" s="3"/>
      <c r="V11" s="5"/>
    </row>
    <row r="12" spans="1:22" s="6" customFormat="1" x14ac:dyDescent="0.25">
      <c r="A12" s="2"/>
      <c r="E12" s="6" t="s">
        <v>2</v>
      </c>
      <c r="I12" s="6" t="s">
        <v>47</v>
      </c>
      <c r="J12" s="6" t="s">
        <v>2</v>
      </c>
      <c r="Q12" s="7"/>
      <c r="R12" s="7"/>
      <c r="S12" s="5"/>
      <c r="T12" s="5"/>
      <c r="U12" s="5"/>
      <c r="V12" s="5"/>
    </row>
    <row r="13" spans="1:22" s="6" customFormat="1" x14ac:dyDescent="0.25">
      <c r="A13" s="6" t="s">
        <v>42</v>
      </c>
      <c r="B13" s="6" t="s">
        <v>10</v>
      </c>
      <c r="C13" s="6" t="s">
        <v>11</v>
      </c>
      <c r="D13" s="6" t="s">
        <v>0</v>
      </c>
      <c r="E13" s="6" t="s">
        <v>13</v>
      </c>
      <c r="F13" s="6" t="s">
        <v>12</v>
      </c>
      <c r="G13" s="6" t="s">
        <v>6</v>
      </c>
      <c r="H13" s="6" t="s">
        <v>7</v>
      </c>
      <c r="I13" s="6" t="s">
        <v>3</v>
      </c>
      <c r="J13" s="6" t="s">
        <v>43</v>
      </c>
      <c r="Q13" s="7"/>
      <c r="R13" s="7"/>
      <c r="S13" s="5"/>
      <c r="T13" s="5"/>
      <c r="U13" s="5"/>
      <c r="V13" s="5"/>
    </row>
    <row r="14" spans="1:22" s="6" customFormat="1" x14ac:dyDescent="0.25">
      <c r="A14" s="9">
        <v>8.1</v>
      </c>
      <c r="B14" s="9">
        <v>1119</v>
      </c>
      <c r="C14" s="9">
        <f>A14*0.986923267</f>
        <v>7.9940784626999992</v>
      </c>
      <c r="D14" s="7">
        <v>225729263884.83112</v>
      </c>
      <c r="E14" s="7">
        <f>J14*6.022E+23</f>
        <v>220405200000</v>
      </c>
      <c r="F14" s="7">
        <f t="shared" ref="F14:F21" si="5">(E14-D14)/D14</f>
        <v>-2.358605965927172E-2</v>
      </c>
      <c r="G14" s="7">
        <f>0.24*E14/D14</f>
        <v>0.23433934568177478</v>
      </c>
      <c r="H14" s="7">
        <f>G14</f>
        <v>0.23433934568177478</v>
      </c>
      <c r="I14" s="7">
        <f>C14*101325/1000000/8.314/B14</f>
        <v>8.7065262210803858E-5</v>
      </c>
      <c r="J14" s="7">
        <v>3.6600000000000001E-13</v>
      </c>
      <c r="K14" s="7"/>
      <c r="L14" s="7"/>
      <c r="M14" s="7"/>
      <c r="N14" s="7"/>
      <c r="O14" s="7"/>
      <c r="P14" s="7"/>
      <c r="Q14" s="7"/>
      <c r="R14" s="7"/>
      <c r="S14" s="5"/>
      <c r="T14" s="5"/>
      <c r="U14" s="5"/>
      <c r="V14" s="5"/>
    </row>
    <row r="15" spans="1:22" s="6" customFormat="1" x14ac:dyDescent="0.25">
      <c r="A15" s="9">
        <v>7.3</v>
      </c>
      <c r="B15" s="9">
        <v>1136</v>
      </c>
      <c r="C15" s="9">
        <f t="shared" ref="C15:C21" si="6">A15*0.986923267</f>
        <v>7.2045398490999997</v>
      </c>
      <c r="D15" s="7">
        <v>197686020883.61676</v>
      </c>
      <c r="E15" s="7">
        <f t="shared" ref="E15:E20" si="7">J15*6.022E+23</f>
        <v>191499600000</v>
      </c>
      <c r="F15" s="7">
        <f t="shared" si="5"/>
        <v>-3.1294174752290037E-2</v>
      </c>
      <c r="G15" s="7">
        <f>0.24*E15/D15</f>
        <v>0.2324893980594504</v>
      </c>
      <c r="H15" s="7">
        <f t="shared" ref="H15:H21" si="8">G15</f>
        <v>0.2324893980594504</v>
      </c>
      <c r="I15" s="7">
        <f t="shared" ref="I15:I21" si="9">C15*101325/1000000/8.314/B15</f>
        <v>7.7291993503455207E-5</v>
      </c>
      <c r="J15" s="7">
        <v>3.1800000000000001E-13</v>
      </c>
      <c r="K15" s="7"/>
      <c r="L15" s="7"/>
      <c r="M15" s="7"/>
      <c r="N15" s="7"/>
      <c r="O15" s="7"/>
      <c r="P15" s="7"/>
      <c r="Q15" s="7"/>
      <c r="R15" s="7"/>
      <c r="S15" s="5"/>
      <c r="T15" s="5"/>
      <c r="U15" s="5"/>
      <c r="V15" s="5"/>
    </row>
    <row r="16" spans="1:22" x14ac:dyDescent="0.25">
      <c r="A16" s="9">
        <v>21.7</v>
      </c>
      <c r="B16" s="9">
        <v>1192</v>
      </c>
      <c r="C16" s="9">
        <f t="shared" si="6"/>
        <v>21.4162348939</v>
      </c>
      <c r="D16" s="7">
        <v>507708487246.34857</v>
      </c>
      <c r="E16" s="7">
        <f t="shared" si="7"/>
        <v>489588600000</v>
      </c>
      <c r="F16" s="7">
        <f t="shared" si="5"/>
        <v>-3.5689549616602138E-2</v>
      </c>
      <c r="G16" s="7">
        <f>0.22*E16/D16</f>
        <v>0.21214829908434754</v>
      </c>
      <c r="H16" s="7">
        <f t="shared" si="8"/>
        <v>0.21214829908434754</v>
      </c>
      <c r="I16" s="7">
        <f t="shared" si="9"/>
        <v>2.189643732477217E-4</v>
      </c>
      <c r="J16" s="7">
        <v>8.1299999999999997E-13</v>
      </c>
      <c r="K16" s="7"/>
      <c r="L16" s="7"/>
      <c r="M16" s="7"/>
      <c r="N16" s="7"/>
      <c r="O16" s="7"/>
      <c r="P16" s="7"/>
      <c r="Q16" s="7"/>
      <c r="R16" s="2"/>
      <c r="S16" s="3"/>
      <c r="T16" s="3"/>
      <c r="U16" s="3"/>
      <c r="V16" s="5"/>
    </row>
    <row r="17" spans="1:16" x14ac:dyDescent="0.25">
      <c r="A17" s="9">
        <v>20.9</v>
      </c>
      <c r="B17" s="9">
        <v>1180</v>
      </c>
      <c r="C17" s="9">
        <f t="shared" si="6"/>
        <v>20.626696280299999</v>
      </c>
      <c r="D17" s="7">
        <v>500395193381.92004</v>
      </c>
      <c r="E17" s="7">
        <f t="shared" si="7"/>
        <v>484771000000</v>
      </c>
      <c r="F17" s="7">
        <f t="shared" si="5"/>
        <v>-3.1223707958351797E-2</v>
      </c>
      <c r="G17" s="7">
        <f>0.22*E17/D17</f>
        <v>0.2131307842491626</v>
      </c>
      <c r="H17" s="7">
        <f t="shared" si="8"/>
        <v>0.2131307842491626</v>
      </c>
      <c r="I17" s="7">
        <f t="shared" si="9"/>
        <v>2.1303661789603379E-4</v>
      </c>
      <c r="J17" s="7">
        <v>8.05E-13</v>
      </c>
      <c r="K17" s="7"/>
      <c r="L17" s="7"/>
      <c r="M17" s="7"/>
      <c r="N17" s="7"/>
      <c r="O17" s="7"/>
      <c r="P17" s="7"/>
    </row>
    <row r="18" spans="1:16" x14ac:dyDescent="0.25">
      <c r="A18" s="9">
        <v>22.6</v>
      </c>
      <c r="B18" s="9">
        <v>1222</v>
      </c>
      <c r="C18" s="9">
        <f t="shared" si="6"/>
        <v>22.304465834200002</v>
      </c>
      <c r="D18" s="7">
        <v>500926658279.05463</v>
      </c>
      <c r="E18" s="7">
        <f t="shared" si="7"/>
        <v>479351200000.00006</v>
      </c>
      <c r="F18" s="7">
        <f t="shared" si="5"/>
        <v>-4.3071092189777963E-2</v>
      </c>
      <c r="G18" s="7">
        <f>0.22*E18/D18</f>
        <v>0.21052435971824884</v>
      </c>
      <c r="H18" s="7">
        <f t="shared" si="8"/>
        <v>0.21052435971824884</v>
      </c>
      <c r="I18" s="7">
        <f t="shared" si="9"/>
        <v>2.2244733811742573E-4</v>
      </c>
      <c r="J18" s="7">
        <v>7.9600000000000004E-13</v>
      </c>
      <c r="K18" s="7"/>
      <c r="L18" s="7"/>
      <c r="M18" s="7"/>
      <c r="N18" s="7"/>
      <c r="O18" s="7"/>
      <c r="P18" s="7"/>
    </row>
    <row r="19" spans="1:16" x14ac:dyDescent="0.25">
      <c r="A19" s="9">
        <v>31.3</v>
      </c>
      <c r="B19" s="9">
        <v>1189</v>
      </c>
      <c r="C19" s="9">
        <f t="shared" si="6"/>
        <v>30.890698257100002</v>
      </c>
      <c r="D19" s="7">
        <v>721735122465.5575</v>
      </c>
      <c r="E19" s="7">
        <f t="shared" si="7"/>
        <v>722640000000</v>
      </c>
      <c r="F19" s="7">
        <f t="shared" si="5"/>
        <v>1.2537529438103343E-3</v>
      </c>
      <c r="G19" s="7">
        <f>0.21*E19/D19</f>
        <v>0.21026328811820016</v>
      </c>
      <c r="H19" s="7">
        <f t="shared" si="8"/>
        <v>0.21026328811820016</v>
      </c>
      <c r="I19" s="7">
        <f t="shared" si="9"/>
        <v>3.1663029305202447E-4</v>
      </c>
      <c r="J19" s="7">
        <v>1.1999999999999999E-12</v>
      </c>
      <c r="K19" s="7"/>
      <c r="L19" s="7"/>
      <c r="M19" s="7"/>
      <c r="N19" s="7"/>
      <c r="O19" s="7"/>
      <c r="P19" s="7"/>
    </row>
    <row r="20" spans="1:16" x14ac:dyDescent="0.25">
      <c r="A20" s="9">
        <v>33</v>
      </c>
      <c r="B20" s="9">
        <v>1200</v>
      </c>
      <c r="C20" s="9">
        <f t="shared" si="6"/>
        <v>32.568467810999998</v>
      </c>
      <c r="D20" s="7">
        <v>744241726834.59131</v>
      </c>
      <c r="E20" s="7">
        <f t="shared" si="7"/>
        <v>746728000000</v>
      </c>
      <c r="F20" s="7">
        <f t="shared" si="5"/>
        <v>3.340679614919346E-3</v>
      </c>
      <c r="G20" s="7">
        <f>0.21*E20/D20</f>
        <v>0.21070154271913305</v>
      </c>
      <c r="H20" s="7">
        <f t="shared" si="8"/>
        <v>0.21070154271913305</v>
      </c>
      <c r="I20" s="7">
        <f t="shared" si="9"/>
        <v>3.3076738041752608E-4</v>
      </c>
      <c r="J20" s="7">
        <v>1.24E-12</v>
      </c>
      <c r="K20" s="7"/>
      <c r="L20" s="7"/>
      <c r="M20" s="7"/>
      <c r="N20" s="7"/>
      <c r="O20" s="7"/>
      <c r="P20" s="7"/>
    </row>
    <row r="21" spans="1:16" x14ac:dyDescent="0.25">
      <c r="A21" s="9">
        <v>32.700000000000003</v>
      </c>
      <c r="B21" s="9">
        <v>1195</v>
      </c>
      <c r="C21" s="9">
        <f t="shared" si="6"/>
        <v>32.272390830900001</v>
      </c>
      <c r="D21" s="7">
        <v>744273300807.04053</v>
      </c>
      <c r="E21" s="7">
        <f>J21*6.022E+23</f>
        <v>764794000000</v>
      </c>
      <c r="F21" s="7">
        <f t="shared" si="5"/>
        <v>2.7571456843485033E-2</v>
      </c>
      <c r="G21" s="7">
        <f>0.21*E21/D21</f>
        <v>0.21579000593713185</v>
      </c>
      <c r="H21" s="7">
        <f t="shared" si="8"/>
        <v>0.21579000593713185</v>
      </c>
      <c r="I21" s="7">
        <f t="shared" si="9"/>
        <v>3.2913178667639729E-4</v>
      </c>
      <c r="J21" s="7">
        <v>1.27E-12</v>
      </c>
      <c r="K21" s="7"/>
      <c r="L21" s="7"/>
      <c r="M21" s="7"/>
      <c r="N21" s="7"/>
      <c r="O21" s="7"/>
      <c r="P21" s="7"/>
    </row>
    <row r="22" spans="1:16" s="6" customFormat="1" x14ac:dyDescent="0.25">
      <c r="A22" s="9"/>
      <c r="E22" s="6" t="s">
        <v>5</v>
      </c>
      <c r="J22" s="7"/>
      <c r="K22" s="7"/>
      <c r="L22" s="7"/>
      <c r="M22" s="7"/>
      <c r="N22" s="7"/>
      <c r="O22" s="7"/>
      <c r="P22" s="7"/>
    </row>
    <row r="23" spans="1:16" s="6" customFormat="1" x14ac:dyDescent="0.25">
      <c r="A23" s="9"/>
      <c r="B23" s="6" t="s">
        <v>10</v>
      </c>
      <c r="C23" s="6" t="s">
        <v>11</v>
      </c>
      <c r="D23" s="6" t="s">
        <v>0</v>
      </c>
      <c r="E23" s="6" t="s">
        <v>13</v>
      </c>
      <c r="F23" s="6" t="s">
        <v>12</v>
      </c>
      <c r="G23" s="6" t="s">
        <v>6</v>
      </c>
      <c r="H23" s="6" t="s">
        <v>7</v>
      </c>
      <c r="I23" s="6" t="s">
        <v>48</v>
      </c>
      <c r="J23" s="7"/>
      <c r="K23" s="7"/>
      <c r="L23" s="7"/>
      <c r="M23" s="7"/>
      <c r="N23" s="7"/>
      <c r="O23" s="7"/>
      <c r="P23" s="7"/>
    </row>
    <row r="24" spans="1:16" s="6" customFormat="1" x14ac:dyDescent="0.25">
      <c r="A24" s="9"/>
      <c r="B24" s="9">
        <v>1228</v>
      </c>
      <c r="C24" s="9">
        <v>12.6</v>
      </c>
      <c r="D24" s="7">
        <v>287059550501.86359</v>
      </c>
      <c r="E24" s="7">
        <v>305214395055.27844</v>
      </c>
      <c r="F24" s="7">
        <f t="shared" ref="F24:F28" si="10">(E24-D24)/D24</f>
        <v>6.3244175369448277E-2</v>
      </c>
      <c r="G24" s="7">
        <f>0.12*E24/D24</f>
        <v>0.1275893010443338</v>
      </c>
      <c r="H24" s="7">
        <f>G24</f>
        <v>0.1275893010443338</v>
      </c>
      <c r="I24" s="7">
        <v>2590000000000000</v>
      </c>
      <c r="J24" s="7"/>
      <c r="K24" s="7"/>
      <c r="L24" s="7"/>
      <c r="M24" s="7"/>
      <c r="N24" s="7"/>
      <c r="O24" s="7"/>
      <c r="P24" s="7"/>
    </row>
    <row r="25" spans="1:16" s="6" customFormat="1" x14ac:dyDescent="0.25">
      <c r="A25" s="9"/>
      <c r="B25" s="9">
        <v>1201</v>
      </c>
      <c r="C25" s="9">
        <v>12.7</v>
      </c>
      <c r="D25" s="7">
        <v>303238503458.51044</v>
      </c>
      <c r="E25" s="7">
        <v>295211059162.78418</v>
      </c>
      <c r="F25" s="7">
        <f t="shared" si="10"/>
        <v>-2.6472378026442096E-2</v>
      </c>
      <c r="G25" s="7">
        <f>0.1*E25/D25</f>
        <v>9.7352762197355794E-2</v>
      </c>
      <c r="H25" s="7">
        <f t="shared" ref="H25:H28" si="11">G25</f>
        <v>9.7352762197355794E-2</v>
      </c>
      <c r="I25" s="7">
        <v>2430000000000000</v>
      </c>
      <c r="J25" s="7"/>
      <c r="K25" s="7"/>
      <c r="L25" s="7"/>
      <c r="M25" s="7"/>
      <c r="N25" s="7"/>
      <c r="O25" s="7"/>
      <c r="P25" s="7"/>
    </row>
    <row r="26" spans="1:16" s="6" customFormat="1" x14ac:dyDescent="0.25">
      <c r="A26" s="9"/>
      <c r="B26" s="9">
        <v>1199</v>
      </c>
      <c r="C26" s="9">
        <v>13</v>
      </c>
      <c r="D26" s="7">
        <v>311215107913.68219</v>
      </c>
      <c r="E26" s="7">
        <v>301376172877.56378</v>
      </c>
      <c r="F26" s="7">
        <f t="shared" si="10"/>
        <v>-3.1614580352722819E-2</v>
      </c>
      <c r="G26" s="7">
        <f>0.1*E26/D26</f>
        <v>9.6838541964727715E-2</v>
      </c>
      <c r="H26" s="7">
        <f t="shared" si="11"/>
        <v>9.6838541964727715E-2</v>
      </c>
      <c r="I26" s="7">
        <v>2420000000000000</v>
      </c>
      <c r="J26" s="7"/>
      <c r="K26" s="7"/>
      <c r="L26" s="7"/>
      <c r="M26" s="7"/>
      <c r="N26" s="7"/>
      <c r="O26" s="7"/>
      <c r="P26" s="7"/>
    </row>
    <row r="27" spans="1:16" s="6" customFormat="1" x14ac:dyDescent="0.25">
      <c r="A27" s="9"/>
      <c r="B27" s="9">
        <v>1225</v>
      </c>
      <c r="C27" s="9">
        <v>12.6</v>
      </c>
      <c r="D27" s="7">
        <v>288555976301.64691</v>
      </c>
      <c r="E27" s="7">
        <v>282562039960.9707</v>
      </c>
      <c r="F27" s="7">
        <f t="shared" si="10"/>
        <v>-2.0772178824708675E-2</v>
      </c>
      <c r="G27" s="7">
        <f>0.13*E27/D27</f>
        <v>0.12729961675278789</v>
      </c>
      <c r="H27" s="7">
        <f t="shared" si="11"/>
        <v>0.12729961675278789</v>
      </c>
      <c r="I27" s="7">
        <v>2390000000000000</v>
      </c>
      <c r="J27" s="7"/>
      <c r="K27" s="7"/>
      <c r="L27" s="7"/>
      <c r="M27" s="7"/>
      <c r="N27" s="7"/>
      <c r="O27" s="7"/>
      <c r="P27" s="7"/>
    </row>
    <row r="28" spans="1:16" s="6" customFormat="1" x14ac:dyDescent="0.25">
      <c r="A28" s="9"/>
      <c r="B28" s="9">
        <v>1201</v>
      </c>
      <c r="C28" s="9">
        <v>13.1</v>
      </c>
      <c r="D28" s="7">
        <v>312407148743.28729</v>
      </c>
      <c r="E28" s="7">
        <v>293251428003.23755</v>
      </c>
      <c r="F28" s="7">
        <f t="shared" si="10"/>
        <v>-6.1316524980644646E-2</v>
      </c>
      <c r="G28" s="7">
        <f>0.1*E28/D28</f>
        <v>9.386834750193554E-2</v>
      </c>
      <c r="H28" s="7">
        <f t="shared" si="11"/>
        <v>9.386834750193554E-2</v>
      </c>
      <c r="I28" s="7">
        <v>2340000000000000</v>
      </c>
      <c r="J28" s="7"/>
      <c r="K28" s="7"/>
      <c r="L28" s="7"/>
      <c r="M28" s="7"/>
      <c r="N28" s="7"/>
      <c r="O28" s="7"/>
      <c r="P28" s="7"/>
    </row>
    <row r="29" spans="1:16" s="6" customFormat="1" x14ac:dyDescent="0.25">
      <c r="A29" s="9"/>
      <c r="E29" s="6" t="s">
        <v>40</v>
      </c>
      <c r="I29" s="6" t="s">
        <v>47</v>
      </c>
      <c r="J29" s="6" t="s">
        <v>41</v>
      </c>
      <c r="K29" s="7"/>
      <c r="L29" s="7"/>
      <c r="M29" s="7"/>
      <c r="N29" s="7"/>
      <c r="O29" s="7"/>
      <c r="P29" s="7"/>
    </row>
    <row r="30" spans="1:16" s="6" customFormat="1" x14ac:dyDescent="0.25">
      <c r="A30" s="9"/>
      <c r="B30" s="6" t="s">
        <v>10</v>
      </c>
      <c r="C30" s="6" t="s">
        <v>11</v>
      </c>
      <c r="D30" s="6" t="s">
        <v>0</v>
      </c>
      <c r="E30" s="6" t="s">
        <v>13</v>
      </c>
      <c r="F30" s="6" t="s">
        <v>12</v>
      </c>
      <c r="G30" s="6" t="s">
        <v>6</v>
      </c>
      <c r="H30" s="6" t="s">
        <v>7</v>
      </c>
      <c r="I30" s="6" t="s">
        <v>3</v>
      </c>
      <c r="J30" s="6" t="s">
        <v>14</v>
      </c>
      <c r="K30" s="7"/>
      <c r="L30" s="7"/>
      <c r="M30" s="7"/>
      <c r="N30" s="7"/>
      <c r="O30" s="7"/>
      <c r="P30" s="7"/>
    </row>
    <row r="31" spans="1:16" s="6" customFormat="1" x14ac:dyDescent="0.25">
      <c r="A31" s="9"/>
      <c r="B31" s="9">
        <v>1839</v>
      </c>
      <c r="C31" s="9">
        <v>20.100000000000001</v>
      </c>
      <c r="D31" s="7">
        <v>190156799126.69165</v>
      </c>
      <c r="E31" s="7">
        <f>I31*J31</f>
        <v>124147172500.5602</v>
      </c>
      <c r="F31" s="7">
        <f t="shared" ref="F31:F39" si="12">(E31-D31)/D31</f>
        <v>-0.34713261334480422</v>
      </c>
      <c r="G31" s="7">
        <f>0.2006*E31/D31</f>
        <v>0.13096519776303228</v>
      </c>
      <c r="H31" s="7">
        <f>0.2027*E31/D31</f>
        <v>0.13233621927500819</v>
      </c>
      <c r="I31" s="7">
        <f>C31*101325/1000000/8.314/B31</f>
        <v>1.3320512070875558E-4</v>
      </c>
      <c r="J31" s="5">
        <v>932000000000000</v>
      </c>
      <c r="K31" s="7"/>
      <c r="L31" s="7"/>
      <c r="M31" s="7"/>
      <c r="N31" s="7"/>
      <c r="O31" s="7"/>
      <c r="P31" s="7"/>
    </row>
    <row r="32" spans="1:16" s="6" customFormat="1" x14ac:dyDescent="0.25">
      <c r="A32" s="9"/>
      <c r="B32" s="9">
        <v>1834</v>
      </c>
      <c r="C32" s="9">
        <v>20</v>
      </c>
      <c r="D32" s="7">
        <v>190348585836.02899</v>
      </c>
      <c r="E32" s="7">
        <f>I32*J32</f>
        <v>129581162648.48952</v>
      </c>
      <c r="F32" s="7">
        <f t="shared" si="12"/>
        <v>-0.31924284029031896</v>
      </c>
      <c r="G32" s="7">
        <f>0.1525*E32/D32</f>
        <v>0.10381546685572635</v>
      </c>
      <c r="H32" s="7">
        <f>0.2385*E32/D32</f>
        <v>0.16236058259075892</v>
      </c>
      <c r="I32" s="7">
        <f t="shared" ref="I32:I39" si="13">C32*101325/1000000/8.314/B32</f>
        <v>1.3290375656255335E-4</v>
      </c>
      <c r="J32" s="5">
        <v>975000000000000</v>
      </c>
      <c r="K32" s="7"/>
      <c r="L32" s="7"/>
      <c r="M32" s="7"/>
      <c r="N32" s="7"/>
      <c r="O32" s="7"/>
      <c r="P32" s="7"/>
    </row>
    <row r="33" spans="1:16" s="6" customFormat="1" x14ac:dyDescent="0.25">
      <c r="A33" s="9"/>
      <c r="B33" s="9">
        <v>1908</v>
      </c>
      <c r="C33" s="9">
        <v>18.84</v>
      </c>
      <c r="D33" s="7">
        <v>164972484040.86838</v>
      </c>
      <c r="E33" s="7">
        <f t="shared" ref="E33:E39" si="14">I33*J33</f>
        <v>113360048520.11382</v>
      </c>
      <c r="F33" s="7">
        <f t="shared" si="12"/>
        <v>-0.31285481224837891</v>
      </c>
      <c r="G33" s="7">
        <f>0.1822*E33/D33</f>
        <v>0.12519785320834537</v>
      </c>
      <c r="H33" s="7">
        <f>0.1124*E33/D33</f>
        <v>7.7235119103282207E-2</v>
      </c>
      <c r="I33" s="7">
        <f t="shared" si="13"/>
        <v>1.2033975426763675E-4</v>
      </c>
      <c r="J33" s="5">
        <v>942000000000000</v>
      </c>
      <c r="K33" s="7"/>
      <c r="L33" s="7"/>
      <c r="M33" s="7"/>
      <c r="N33" s="7"/>
      <c r="O33" s="7"/>
      <c r="P33" s="7"/>
    </row>
    <row r="34" spans="1:16" s="6" customFormat="1" x14ac:dyDescent="0.25">
      <c r="A34" s="9"/>
      <c r="B34" s="9">
        <v>1812</v>
      </c>
      <c r="C34" s="9">
        <v>20.97</v>
      </c>
      <c r="D34" s="7">
        <v>204525495817.25882</v>
      </c>
      <c r="E34" s="7">
        <f t="shared" si="14"/>
        <v>129052946129.72295</v>
      </c>
      <c r="F34" s="7">
        <f t="shared" si="12"/>
        <v>-0.36901291638950351</v>
      </c>
      <c r="G34" s="7">
        <f>0.3299*E34/D34</f>
        <v>0.20816263888310282</v>
      </c>
      <c r="H34" s="7">
        <f>0.2164*E34/D34</f>
        <v>0.13654560489331144</v>
      </c>
      <c r="I34" s="7">
        <f t="shared" si="13"/>
        <v>1.4104147118002507E-4</v>
      </c>
      <c r="J34" s="5">
        <v>915000000000000</v>
      </c>
      <c r="K34" s="7"/>
      <c r="L34" s="7"/>
      <c r="M34" s="7"/>
      <c r="N34" s="7"/>
      <c r="O34" s="7"/>
      <c r="P34" s="7"/>
    </row>
    <row r="35" spans="1:16" s="6" customFormat="1" x14ac:dyDescent="0.25">
      <c r="A35" s="9"/>
      <c r="B35" s="9">
        <v>1761</v>
      </c>
      <c r="C35" s="9">
        <v>21.68</v>
      </c>
      <c r="D35" s="7">
        <v>224560167309.12531</v>
      </c>
      <c r="E35" s="7">
        <f t="shared" si="14"/>
        <v>140737344574.67728</v>
      </c>
      <c r="F35" s="7">
        <f t="shared" si="12"/>
        <v>-0.37327556235322495</v>
      </c>
      <c r="G35" s="7">
        <f>0.2326*E35/D35</f>
        <v>0.14577610419663989</v>
      </c>
      <c r="H35" s="7">
        <f>0.1229*E35/D35</f>
        <v>7.7024433386788646E-2</v>
      </c>
      <c r="I35" s="7">
        <f t="shared" si="13"/>
        <v>1.5003981297940009E-4</v>
      </c>
      <c r="J35" s="5">
        <v>938000000000000</v>
      </c>
      <c r="K35" s="7"/>
      <c r="L35" s="7"/>
      <c r="M35" s="7"/>
      <c r="N35" s="7"/>
      <c r="O35" s="7"/>
      <c r="P35" s="7"/>
    </row>
    <row r="36" spans="1:16" s="6" customFormat="1" x14ac:dyDescent="0.25">
      <c r="A36" s="9"/>
      <c r="B36" s="9">
        <v>1702</v>
      </c>
      <c r="C36" s="9">
        <v>9.35</v>
      </c>
      <c r="D36" s="7">
        <v>106699871306.19153</v>
      </c>
      <c r="E36" s="7">
        <f t="shared" si="14"/>
        <v>66415633505.92646</v>
      </c>
      <c r="F36" s="7">
        <f t="shared" si="12"/>
        <v>-0.37754720138943104</v>
      </c>
      <c r="G36" s="7">
        <f>0.2818*E36/D36</f>
        <v>0.17540719864845833</v>
      </c>
      <c r="H36" s="7">
        <f>0.1846*E36/D36</f>
        <v>0.11490478662351102</v>
      </c>
      <c r="I36" s="7">
        <f t="shared" si="13"/>
        <v>6.6951243453554899E-5</v>
      </c>
      <c r="J36" s="5">
        <v>992000000000000</v>
      </c>
      <c r="K36" s="7"/>
      <c r="L36" s="7"/>
      <c r="M36" s="7"/>
      <c r="N36" s="7"/>
      <c r="O36" s="7"/>
      <c r="P36" s="7"/>
    </row>
    <row r="37" spans="1:16" s="6" customFormat="1" x14ac:dyDescent="0.25">
      <c r="A37" s="9"/>
      <c r="B37" s="9">
        <v>1650</v>
      </c>
      <c r="C37" s="9">
        <v>9.94</v>
      </c>
      <c r="D37" s="7">
        <v>121112014436.46077</v>
      </c>
      <c r="E37" s="7">
        <f t="shared" si="14"/>
        <v>84431960329.783279</v>
      </c>
      <c r="F37" s="7">
        <f t="shared" si="12"/>
        <v>-0.30286057314256809</v>
      </c>
      <c r="G37" s="7">
        <f>0.2263*E37/D37</f>
        <v>0.15776265229783684</v>
      </c>
      <c r="H37" s="7">
        <f>0.1761*E37/D37</f>
        <v>0.12276625306959377</v>
      </c>
      <c r="I37" s="7">
        <f t="shared" si="13"/>
        <v>7.3419095938941981E-5</v>
      </c>
      <c r="J37" s="5">
        <v>1150000000000000</v>
      </c>
      <c r="K37" s="7"/>
      <c r="L37" s="7"/>
      <c r="M37" s="7"/>
      <c r="N37" s="7"/>
      <c r="O37" s="7"/>
      <c r="P37" s="7"/>
    </row>
    <row r="38" spans="1:16" s="6" customFormat="1" x14ac:dyDescent="0.25">
      <c r="A38" s="9"/>
      <c r="B38" s="9">
        <v>1554</v>
      </c>
      <c r="C38" s="9">
        <v>10.61</v>
      </c>
      <c r="D38" s="7">
        <v>146853997231.40973</v>
      </c>
      <c r="E38" s="7">
        <f t="shared" si="14"/>
        <v>104011407817.48793</v>
      </c>
      <c r="F38" s="7">
        <f t="shared" si="12"/>
        <v>-0.29173594332887831</v>
      </c>
      <c r="G38" s="7">
        <f>0.2573*E38/D38</f>
        <v>0.18223634178147957</v>
      </c>
      <c r="H38" s="7">
        <f>0.1681*E38/D38</f>
        <v>0.11905918792641555</v>
      </c>
      <c r="I38" s="7">
        <f t="shared" si="13"/>
        <v>8.3209126253990344E-5</v>
      </c>
      <c r="J38" s="5">
        <v>1250000000000000</v>
      </c>
      <c r="K38" s="7"/>
      <c r="L38" s="7"/>
      <c r="M38" s="7"/>
      <c r="N38" s="7"/>
      <c r="O38" s="7"/>
      <c r="P38" s="7"/>
    </row>
    <row r="39" spans="1:16" s="6" customFormat="1" x14ac:dyDescent="0.25">
      <c r="A39" s="9"/>
      <c r="B39" s="9">
        <v>1552</v>
      </c>
      <c r="C39" s="9">
        <v>11.55</v>
      </c>
      <c r="D39" s="7">
        <v>159922982026.30646</v>
      </c>
      <c r="E39" s="7">
        <f t="shared" si="14"/>
        <v>126976951217.54634</v>
      </c>
      <c r="F39" s="7">
        <f t="shared" si="12"/>
        <v>-0.20601185890431103</v>
      </c>
      <c r="G39" s="7">
        <f>0.2538*E39/D39</f>
        <v>0.20151419021008588</v>
      </c>
      <c r="H39" s="7">
        <f>0.194*E39/D39</f>
        <v>0.15403369937256367</v>
      </c>
      <c r="I39" s="7">
        <f t="shared" si="13"/>
        <v>9.0697822298247386E-5</v>
      </c>
      <c r="J39" s="5">
        <v>1400000000000000</v>
      </c>
      <c r="K39" s="7"/>
      <c r="L39" s="7"/>
      <c r="M39" s="7"/>
      <c r="N39" s="7"/>
      <c r="O39" s="7"/>
      <c r="P39" s="7"/>
    </row>
    <row r="40" spans="1:16" s="6" customFormat="1" x14ac:dyDescent="0.25">
      <c r="A40" s="9"/>
      <c r="B40" s="9"/>
      <c r="C40" s="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s="6" customFormat="1" x14ac:dyDescent="0.25">
      <c r="A41" s="9"/>
      <c r="B41" s="9"/>
      <c r="C41" s="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s="6" customFormat="1" x14ac:dyDescent="0.25">
      <c r="A42" s="9"/>
      <c r="B42" s="9"/>
      <c r="C42" s="9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s="6" customFormat="1" x14ac:dyDescent="0.25">
      <c r="A43" s="9"/>
      <c r="B43" s="9"/>
      <c r="C43" s="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s="6" customFormat="1" x14ac:dyDescent="0.25">
      <c r="A44" s="9"/>
      <c r="B44" s="9"/>
      <c r="C44" s="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s="6" customFormat="1" x14ac:dyDescent="0.25">
      <c r="A45" s="9"/>
      <c r="B45" s="9"/>
      <c r="C45" s="9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s="6" customFormat="1" x14ac:dyDescent="0.25">
      <c r="A46" s="9"/>
      <c r="B46" s="9"/>
      <c r="C46" s="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s="6" customFormat="1" x14ac:dyDescent="0.25">
      <c r="A47" s="9"/>
      <c r="B47" s="9"/>
      <c r="C47" s="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s="6" customFormat="1" x14ac:dyDescent="0.25">
      <c r="A48" s="9"/>
      <c r="B48" s="9"/>
      <c r="C48" s="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s="6" customFormat="1" x14ac:dyDescent="0.25">
      <c r="A49" s="9"/>
      <c r="B49" s="9"/>
      <c r="C49" s="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s="6" customFormat="1" x14ac:dyDescent="0.25">
      <c r="A50" s="9"/>
      <c r="B50" s="9"/>
      <c r="C50" s="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s="6" customFormat="1" x14ac:dyDescent="0.25">
      <c r="A51" s="9"/>
      <c r="B51" s="9"/>
      <c r="C51" s="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s="6" customFormat="1" x14ac:dyDescent="0.25"/>
    <row r="53" spans="1:16" s="6" customFormat="1" x14ac:dyDescent="0.25"/>
    <row r="54" spans="1:16" s="6" customFormat="1" x14ac:dyDescent="0.25">
      <c r="B54" s="9"/>
      <c r="C54" s="9"/>
      <c r="D54" s="7"/>
      <c r="E54" s="7"/>
      <c r="F54" s="7"/>
      <c r="G54" s="7"/>
      <c r="H54" s="7"/>
      <c r="I54" s="7"/>
    </row>
    <row r="55" spans="1:16" s="6" customFormat="1" x14ac:dyDescent="0.25">
      <c r="B55" s="9"/>
      <c r="C55" s="9"/>
      <c r="D55" s="7"/>
      <c r="E55" s="7"/>
      <c r="F55" s="7"/>
      <c r="G55" s="7"/>
      <c r="H55" s="7"/>
      <c r="I55" s="7"/>
    </row>
    <row r="56" spans="1:16" s="6" customFormat="1" x14ac:dyDescent="0.25">
      <c r="B56" s="9"/>
      <c r="C56" s="9"/>
      <c r="D56" s="7"/>
      <c r="E56" s="7"/>
      <c r="F56" s="7"/>
      <c r="G56" s="7"/>
      <c r="H56" s="7"/>
      <c r="I56" s="7"/>
    </row>
    <row r="57" spans="1:16" s="6" customFormat="1" x14ac:dyDescent="0.25">
      <c r="B57" s="9"/>
      <c r="C57" s="9"/>
      <c r="D57" s="7"/>
      <c r="E57" s="7"/>
      <c r="F57" s="7"/>
      <c r="G57" s="7"/>
      <c r="H57" s="7"/>
      <c r="I57" s="7"/>
    </row>
    <row r="58" spans="1:16" s="6" customFormat="1" x14ac:dyDescent="0.25">
      <c r="B58" s="9"/>
      <c r="C58" s="9"/>
      <c r="D58" s="7"/>
      <c r="E58" s="7"/>
      <c r="F58" s="7"/>
      <c r="G58" s="7"/>
      <c r="H58" s="7"/>
      <c r="I58" s="7"/>
    </row>
    <row r="59" spans="1:16" s="6" customFormat="1" x14ac:dyDescent="0.25">
      <c r="B59" s="9"/>
      <c r="C59" s="9"/>
      <c r="D59" s="7"/>
      <c r="E59" s="7"/>
      <c r="F59" s="7"/>
      <c r="G59" s="7"/>
      <c r="H59" s="7"/>
    </row>
    <row r="60" spans="1:16" s="6" customFormat="1" x14ac:dyDescent="0.25">
      <c r="B60" s="9"/>
      <c r="C60" s="9"/>
      <c r="D60" s="7"/>
      <c r="E60" s="7"/>
      <c r="F60" s="7"/>
      <c r="G60" s="7"/>
      <c r="H60" s="7"/>
    </row>
    <row r="61" spans="1:16" s="6" customFormat="1" x14ac:dyDescent="0.25">
      <c r="B61" s="9"/>
      <c r="C61" s="9"/>
      <c r="D61" s="7"/>
      <c r="E61" s="7"/>
      <c r="F61" s="7"/>
      <c r="G61" s="7"/>
      <c r="H61" s="7"/>
    </row>
    <row r="62" spans="1:16" s="6" customFormat="1" x14ac:dyDescent="0.25">
      <c r="B62" s="9"/>
      <c r="C62" s="9"/>
      <c r="D62" s="7"/>
      <c r="E62" s="7"/>
      <c r="F62" s="7"/>
      <c r="G62" s="7"/>
      <c r="H62" s="7"/>
    </row>
    <row r="63" spans="1:16" s="6" customFormat="1" x14ac:dyDescent="0.25">
      <c r="B63" s="9"/>
      <c r="C63" s="9"/>
      <c r="D63" s="7"/>
      <c r="E63" s="7"/>
      <c r="F63" s="7"/>
      <c r="G63" s="7"/>
      <c r="H63" s="7"/>
    </row>
    <row r="64" spans="1:16" s="6" customFormat="1" x14ac:dyDescent="0.25">
      <c r="B64" s="9"/>
      <c r="C64" s="9"/>
      <c r="D64" s="7"/>
      <c r="E64" s="7"/>
      <c r="F64" s="7"/>
      <c r="G64" s="7"/>
      <c r="H64" s="7"/>
    </row>
    <row r="65" spans="2:10" s="6" customFormat="1" x14ac:dyDescent="0.25"/>
    <row r="66" spans="2:10" s="6" customFormat="1" x14ac:dyDescent="0.25"/>
    <row r="67" spans="2:10" s="6" customFormat="1" x14ac:dyDescent="0.25">
      <c r="B67" s="9"/>
      <c r="C67" s="9"/>
      <c r="D67" s="7"/>
      <c r="E67" s="7"/>
      <c r="F67" s="7"/>
      <c r="G67" s="7"/>
      <c r="H67" s="7"/>
      <c r="I67" s="7"/>
      <c r="J67" s="5"/>
    </row>
    <row r="68" spans="2:10" s="6" customFormat="1" x14ac:dyDescent="0.25">
      <c r="B68" s="9"/>
      <c r="C68" s="9"/>
      <c r="D68" s="7"/>
      <c r="E68" s="7"/>
      <c r="F68" s="7"/>
      <c r="G68" s="7"/>
      <c r="H68" s="7"/>
      <c r="I68" s="7"/>
      <c r="J68" s="5"/>
    </row>
    <row r="69" spans="2:10" s="6" customFormat="1" x14ac:dyDescent="0.25">
      <c r="B69" s="9"/>
      <c r="C69" s="9"/>
      <c r="D69" s="7"/>
      <c r="E69" s="7"/>
      <c r="F69" s="7"/>
      <c r="G69" s="7"/>
      <c r="H69" s="7"/>
      <c r="I69" s="7"/>
      <c r="J69" s="5"/>
    </row>
    <row r="70" spans="2:10" s="6" customFormat="1" x14ac:dyDescent="0.25">
      <c r="B70" s="9"/>
      <c r="C70" s="9"/>
      <c r="D70" s="7"/>
      <c r="E70" s="7"/>
      <c r="F70" s="7"/>
      <c r="G70" s="7"/>
      <c r="H70" s="7"/>
      <c r="I70" s="7"/>
      <c r="J70" s="5"/>
    </row>
    <row r="71" spans="2:10" s="6" customFormat="1" x14ac:dyDescent="0.25">
      <c r="B71" s="9"/>
      <c r="C71" s="9"/>
      <c r="D71" s="7"/>
      <c r="E71" s="7"/>
      <c r="F71" s="7"/>
      <c r="G71" s="7"/>
      <c r="H71" s="7"/>
      <c r="I71" s="7"/>
      <c r="J71" s="5"/>
    </row>
    <row r="72" spans="2:10" s="6" customFormat="1" x14ac:dyDescent="0.25">
      <c r="B72" s="9"/>
      <c r="C72" s="9"/>
      <c r="D72" s="7"/>
      <c r="E72" s="7"/>
      <c r="F72" s="7"/>
      <c r="G72" s="7"/>
      <c r="H72" s="7"/>
      <c r="I72" s="7"/>
      <c r="J72" s="5"/>
    </row>
    <row r="73" spans="2:10" s="6" customFormat="1" x14ac:dyDescent="0.25">
      <c r="B73" s="9"/>
      <c r="C73" s="9"/>
      <c r="D73" s="7"/>
      <c r="E73" s="7"/>
      <c r="F73" s="7"/>
      <c r="G73" s="7"/>
      <c r="H73" s="7"/>
      <c r="I73" s="7"/>
      <c r="J73" s="5"/>
    </row>
    <row r="74" spans="2:10" s="6" customFormat="1" x14ac:dyDescent="0.25">
      <c r="B74" s="9"/>
      <c r="C74" s="9"/>
      <c r="D74" s="7"/>
      <c r="E74" s="7"/>
      <c r="F74" s="7"/>
      <c r="G74" s="7"/>
      <c r="H74" s="7"/>
      <c r="I74" s="7"/>
      <c r="J74" s="5"/>
    </row>
    <row r="75" spans="2:10" s="6" customFormat="1" x14ac:dyDescent="0.25">
      <c r="B75" s="9"/>
      <c r="C75" s="9"/>
      <c r="D75" s="7"/>
      <c r="E75" s="7"/>
      <c r="F75" s="7"/>
      <c r="G75" s="7"/>
      <c r="H75" s="7"/>
      <c r="I75" s="7"/>
      <c r="J75" s="5"/>
    </row>
    <row r="76" spans="2:10" s="6" customFormat="1" x14ac:dyDescent="0.25">
      <c r="B76" s="9"/>
      <c r="C76" s="9"/>
      <c r="D76" s="7"/>
      <c r="E76" s="7"/>
      <c r="F76" s="7"/>
      <c r="G76" s="7"/>
      <c r="H76" s="7"/>
      <c r="I76" s="7"/>
      <c r="J76" s="5"/>
    </row>
    <row r="77" spans="2:10" s="6" customFormat="1" x14ac:dyDescent="0.25">
      <c r="B77" s="9"/>
      <c r="C77" s="9"/>
      <c r="D77" s="7"/>
      <c r="E77" s="7"/>
      <c r="F77" s="7"/>
      <c r="G77" s="7"/>
      <c r="H77" s="7"/>
      <c r="I77" s="7"/>
      <c r="J77" s="5"/>
    </row>
    <row r="78" spans="2:10" s="6" customFormat="1" x14ac:dyDescent="0.25">
      <c r="B78" s="9"/>
      <c r="C78" s="9"/>
      <c r="D78" s="7"/>
      <c r="E78" s="7"/>
      <c r="F78" s="7"/>
      <c r="G78" s="7"/>
      <c r="H78" s="7"/>
      <c r="I78" s="7"/>
      <c r="J78" s="5"/>
    </row>
    <row r="79" spans="2:10" s="6" customFormat="1" x14ac:dyDescent="0.25">
      <c r="B79" s="9"/>
      <c r="C79" s="9"/>
      <c r="D79" s="7"/>
      <c r="E79" s="7"/>
      <c r="F79" s="7"/>
      <c r="G79" s="7"/>
      <c r="H79" s="7"/>
      <c r="I79" s="7"/>
      <c r="J79" s="5"/>
    </row>
  </sheetData>
  <pageMargins left="0.7" right="0.7" top="0.75" bottom="0.75" header="0.3" footer="0.3"/>
  <ignoredErrors>
    <ignoredError sqref="G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43C3-0505-4CCD-A414-76A9BB85B9F6}">
  <dimension ref="A1:V78"/>
  <sheetViews>
    <sheetView workbookViewId="0">
      <selection activeCell="Q27" sqref="Q27:Q35"/>
    </sheetView>
  </sheetViews>
  <sheetFormatPr defaultRowHeight="15" x14ac:dyDescent="0.25"/>
  <cols>
    <col min="2" max="2" width="9.5703125" bestFit="1" customWidth="1"/>
    <col min="4" max="15" width="9.28515625" bestFit="1" customWidth="1"/>
    <col min="16" max="16" width="9.85546875" bestFit="1" customWidth="1"/>
    <col min="17" max="17" width="14.42578125" customWidth="1"/>
  </cols>
  <sheetData>
    <row r="1" spans="1:22" x14ac:dyDescent="0.25">
      <c r="A1" s="6" t="s">
        <v>29</v>
      </c>
      <c r="B1" s="6"/>
      <c r="C1" s="6"/>
      <c r="D1" s="10" t="s">
        <v>18</v>
      </c>
      <c r="E1" s="10" t="s">
        <v>19</v>
      </c>
      <c r="F1" s="10" t="s">
        <v>20</v>
      </c>
      <c r="G1" s="5" t="s">
        <v>21</v>
      </c>
      <c r="H1" s="10" t="s">
        <v>22</v>
      </c>
      <c r="I1" s="10" t="s">
        <v>23</v>
      </c>
      <c r="J1" s="5" t="s">
        <v>24</v>
      </c>
      <c r="K1" s="5" t="s">
        <v>25</v>
      </c>
      <c r="L1" s="11" t="s">
        <v>26</v>
      </c>
      <c r="M1" s="5" t="s">
        <v>27</v>
      </c>
      <c r="N1" s="10" t="s">
        <v>28</v>
      </c>
      <c r="O1" s="1" t="s">
        <v>10</v>
      </c>
      <c r="P1" s="1" t="s">
        <v>11</v>
      </c>
      <c r="Q1" s="5" t="s">
        <v>36</v>
      </c>
      <c r="R1" s="2"/>
      <c r="S1" s="7"/>
      <c r="T1" s="2"/>
      <c r="U1" s="2"/>
      <c r="V1" s="13"/>
    </row>
    <row r="2" spans="1:22" x14ac:dyDescent="0.25">
      <c r="A2" s="6" t="s">
        <v>30</v>
      </c>
      <c r="B2" s="6"/>
      <c r="C2" s="6" t="s">
        <v>37</v>
      </c>
      <c r="D2" s="10">
        <f>10^E2</f>
        <v>0.80575748322179952</v>
      </c>
      <c r="E2" s="10">
        <f>LOG(J2)/(1+(F2/(I2-0.14*F2))^2)</f>
        <v>-9.3795652422090162E-2</v>
      </c>
      <c r="F2" s="10">
        <f t="shared" ref="F2:F10" si="0">LOG(G2)+H2</f>
        <v>-2.1640976895645951</v>
      </c>
      <c r="G2" s="5">
        <f>M2*K2/L2</f>
        <v>1.0747013482651259E-2</v>
      </c>
      <c r="H2" s="10">
        <f>-0.4-0.67*LOG(J2)</f>
        <v>-0.19538548328549105</v>
      </c>
      <c r="I2" s="10">
        <f>0.75-1.27*LOG(J2)</f>
        <v>1.1378513973543678</v>
      </c>
      <c r="J2" s="5">
        <f>(1-$B$10)*EXP(-O2/$B$11)+$B$10*EXP(-O2/$B$12)+EXP(-B$13/O2)</f>
        <v>0.495</v>
      </c>
      <c r="K2" s="5">
        <f>P2*101325/8.314/O2/1000000*0.75</f>
        <v>3.4759480021819635E-4</v>
      </c>
      <c r="L2" s="11">
        <f>B$4*O2^B$5*EXP(-B$6/1.987/O2)</f>
        <v>84781724874407.594</v>
      </c>
      <c r="M2" s="5">
        <f>$B$7*O2^$B$8*EXP(-$B$9/1.987/O2)</f>
        <v>2621300260348342</v>
      </c>
      <c r="N2" s="10">
        <f t="shared" ref="N2:N10" si="1">10000/O2</f>
        <v>7.8247261345852896</v>
      </c>
      <c r="O2" s="4">
        <v>1278</v>
      </c>
      <c r="P2" s="4">
        <v>48.6</v>
      </c>
      <c r="Q2" s="5">
        <f t="shared" ref="Q2:Q10" si="2">L2/(1+L2/M2/K2)*D2</f>
        <v>726360004283.71313</v>
      </c>
      <c r="R2" s="2"/>
      <c r="S2" s="7"/>
      <c r="T2" s="2"/>
      <c r="U2" s="2"/>
      <c r="V2" s="13"/>
    </row>
    <row r="3" spans="1:22" x14ac:dyDescent="0.25">
      <c r="A3" s="6" t="s">
        <v>31</v>
      </c>
      <c r="B3" s="6"/>
      <c r="C3" s="6"/>
      <c r="D3" s="10">
        <f>10^E3</f>
        <v>0.80222494157407376</v>
      </c>
      <c r="E3" s="10">
        <f t="shared" ref="E3:E10" si="3">LOG(J3)/(1+(F3/(I3-0.14*F3))^2)</f>
        <v>-9.5703839712135017E-2</v>
      </c>
      <c r="F3" s="10">
        <f t="shared" si="0"/>
        <v>-2.1245339062295741</v>
      </c>
      <c r="G3" s="5">
        <f t="shared" ref="G3:G10" si="4">M3*K3/L3</f>
        <v>1.1772035878366539E-2</v>
      </c>
      <c r="H3" s="10">
        <f t="shared" ref="H3:H10" si="5">-0.4-0.67*LOG(J3)</f>
        <v>-0.19538548328549105</v>
      </c>
      <c r="I3" s="10">
        <f t="shared" ref="I3:I10" si="6">0.75-1.27*LOG(J3)</f>
        <v>1.1378513973543678</v>
      </c>
      <c r="J3" s="5">
        <f t="shared" ref="J3:J10" si="7">(1-$B$10)*EXP(-O3/$B$11)+$B$10*EXP(-O3/$B$12)+EXP(-B$13/O3)</f>
        <v>0.495</v>
      </c>
      <c r="K3" s="5">
        <f t="shared" ref="K3:K10" si="8">P3*101325/8.314/O3/1000000*0.75</f>
        <v>3.8646613207031315E-4</v>
      </c>
      <c r="L3" s="11">
        <f t="shared" ref="L3:L10" si="9">B$4*O3^B$5*EXP(-B$6/1.987/O3)</f>
        <v>85152714309917.859</v>
      </c>
      <c r="M3" s="5">
        <f t="shared" ref="M3:M10" si="10">$B$7*O3^$B$8*EXP(-$B$9/1.987/O3)</f>
        <v>2593812820354125.5</v>
      </c>
      <c r="N3" s="10">
        <f t="shared" si="1"/>
        <v>7.7579519006982158</v>
      </c>
      <c r="O3" s="4">
        <v>1289</v>
      </c>
      <c r="P3" s="4">
        <v>54.5</v>
      </c>
      <c r="Q3" s="5">
        <f t="shared" si="2"/>
        <v>794810437145.17419</v>
      </c>
      <c r="R3" s="2"/>
      <c r="S3" s="7"/>
      <c r="T3" s="2"/>
      <c r="U3" s="2"/>
      <c r="V3" s="13"/>
    </row>
    <row r="4" spans="1:22" x14ac:dyDescent="0.25">
      <c r="A4" s="6" t="s">
        <v>15</v>
      </c>
      <c r="B4" s="7">
        <v>1025000000000</v>
      </c>
      <c r="C4" s="8"/>
      <c r="D4" s="10">
        <f t="shared" ref="D4:D10" si="11">10^E4</f>
        <v>0.80218887821662199</v>
      </c>
      <c r="E4" s="10">
        <f t="shared" si="3"/>
        <v>-9.5723363499514158E-2</v>
      </c>
      <c r="F4" s="10">
        <f t="shared" si="0"/>
        <v>-2.124135863168918</v>
      </c>
      <c r="G4" s="5">
        <f t="shared" si="4"/>
        <v>1.1782830224980955E-2</v>
      </c>
      <c r="H4" s="10">
        <f t="shared" si="5"/>
        <v>-0.19538548328549105</v>
      </c>
      <c r="I4" s="10">
        <f t="shared" si="6"/>
        <v>1.1378513973543678</v>
      </c>
      <c r="J4" s="5">
        <f t="shared" si="7"/>
        <v>0.495</v>
      </c>
      <c r="K4" s="5">
        <f t="shared" si="8"/>
        <v>3.9153262379197396E-4</v>
      </c>
      <c r="L4" s="11">
        <f t="shared" si="9"/>
        <v>85455532303411.234</v>
      </c>
      <c r="M4" s="5">
        <f t="shared" si="10"/>
        <v>2571709144348218.5</v>
      </c>
      <c r="N4" s="10">
        <f t="shared" si="1"/>
        <v>7.704160246533128</v>
      </c>
      <c r="O4" s="4">
        <v>1298</v>
      </c>
      <c r="P4" s="4">
        <v>55.6</v>
      </c>
      <c r="Q4" s="5">
        <f t="shared" si="2"/>
        <v>798323907121.6554</v>
      </c>
      <c r="R4" s="2"/>
      <c r="S4" s="7"/>
      <c r="T4" s="2"/>
      <c r="U4" s="2"/>
      <c r="V4" s="13"/>
    </row>
    <row r="5" spans="1:22" x14ac:dyDescent="0.25">
      <c r="A5" s="6" t="s">
        <v>16</v>
      </c>
      <c r="B5" s="6">
        <v>0.60399999999999998</v>
      </c>
      <c r="C5" s="6"/>
      <c r="D5" s="10">
        <f t="shared" si="11"/>
        <v>0.80769380333304019</v>
      </c>
      <c r="E5" s="10">
        <f t="shared" si="3"/>
        <v>-9.2753249034717405E-2</v>
      </c>
      <c r="F5" s="10">
        <f t="shared" si="0"/>
        <v>-2.1862802458474033</v>
      </c>
      <c r="G5" s="5">
        <f t="shared" si="4"/>
        <v>1.0211869058571578E-2</v>
      </c>
      <c r="H5" s="10">
        <f t="shared" si="5"/>
        <v>-0.19538548328549105</v>
      </c>
      <c r="I5" s="10">
        <f t="shared" si="6"/>
        <v>1.1378513973543678</v>
      </c>
      <c r="J5" s="5">
        <f t="shared" si="7"/>
        <v>0.495</v>
      </c>
      <c r="K5" s="5">
        <f t="shared" si="8"/>
        <v>3.4206613945580739E-4</v>
      </c>
      <c r="L5" s="11">
        <f t="shared" si="9"/>
        <v>85657053720852.203</v>
      </c>
      <c r="M5" s="5">
        <f t="shared" si="10"/>
        <v>2557162243336809</v>
      </c>
      <c r="N5" s="10">
        <f t="shared" si="1"/>
        <v>7.6687116564417179</v>
      </c>
      <c r="O5" s="4">
        <v>1304</v>
      </c>
      <c r="P5" s="4">
        <v>48.8</v>
      </c>
      <c r="Q5" s="5">
        <f t="shared" si="2"/>
        <v>699363002830.39661</v>
      </c>
      <c r="R5" s="2"/>
      <c r="S5" s="7"/>
      <c r="T5" s="2"/>
      <c r="U5" s="2"/>
      <c r="V5" s="13"/>
    </row>
    <row r="6" spans="1:22" x14ac:dyDescent="0.25">
      <c r="A6" s="6" t="s">
        <v>17</v>
      </c>
      <c r="B6" s="6">
        <v>-241.1</v>
      </c>
      <c r="C6" s="6"/>
      <c r="D6" s="10">
        <f t="shared" si="11"/>
        <v>0.80767472293268949</v>
      </c>
      <c r="E6" s="10">
        <f t="shared" si="3"/>
        <v>-9.276350862867444E-2</v>
      </c>
      <c r="F6" s="10">
        <f t="shared" si="0"/>
        <v>-2.1860598968400073</v>
      </c>
      <c r="G6" s="5">
        <f t="shared" si="4"/>
        <v>1.0217051593094545E-2</v>
      </c>
      <c r="H6" s="10">
        <f t="shared" si="5"/>
        <v>-0.19538548328549105</v>
      </c>
      <c r="I6" s="10">
        <f t="shared" si="6"/>
        <v>1.1378513973543678</v>
      </c>
      <c r="J6" s="5">
        <f t="shared" si="7"/>
        <v>0.495</v>
      </c>
      <c r="K6" s="5">
        <f t="shared" si="8"/>
        <v>3.5097139649701594E-4</v>
      </c>
      <c r="L6" s="11">
        <f t="shared" si="9"/>
        <v>86293334240090.531</v>
      </c>
      <c r="M6" s="5">
        <f t="shared" si="10"/>
        <v>2512066387377677</v>
      </c>
      <c r="N6" s="10">
        <f t="shared" si="1"/>
        <v>7.5585789871504154</v>
      </c>
      <c r="O6" s="4">
        <v>1323</v>
      </c>
      <c r="P6" s="4">
        <v>50.8</v>
      </c>
      <c r="Q6" s="5">
        <f t="shared" si="2"/>
        <v>704895329194.63843</v>
      </c>
      <c r="R6" s="2"/>
      <c r="S6" s="7"/>
      <c r="T6" s="2"/>
      <c r="U6" s="2"/>
      <c r="V6" s="13"/>
    </row>
    <row r="7" spans="1:22" x14ac:dyDescent="0.25">
      <c r="A7" s="6" t="s">
        <v>15</v>
      </c>
      <c r="B7" s="7">
        <v>1.736E+19</v>
      </c>
      <c r="C7" s="6"/>
      <c r="D7" s="10">
        <f t="shared" si="11"/>
        <v>0.80667864993320981</v>
      </c>
      <c r="E7" s="10">
        <f t="shared" si="3"/>
        <v>-9.3299437217066128E-2</v>
      </c>
      <c r="F7" s="10">
        <f t="shared" si="0"/>
        <v>-2.1746057731122801</v>
      </c>
      <c r="G7" s="5">
        <f t="shared" si="4"/>
        <v>1.0490101978688838E-2</v>
      </c>
      <c r="H7" s="10">
        <f t="shared" si="5"/>
        <v>-0.19538548328549105</v>
      </c>
      <c r="I7" s="10">
        <f t="shared" si="6"/>
        <v>1.1378513973543678</v>
      </c>
      <c r="J7" s="5">
        <f t="shared" si="7"/>
        <v>0.495</v>
      </c>
      <c r="K7" s="5">
        <f t="shared" si="8"/>
        <v>3.6272742748115385E-4</v>
      </c>
      <c r="L7" s="11">
        <f t="shared" si="9"/>
        <v>86460307182525.563</v>
      </c>
      <c r="M7" s="5">
        <f t="shared" si="10"/>
        <v>2500437989351053</v>
      </c>
      <c r="N7" s="10">
        <f t="shared" si="1"/>
        <v>7.5301204819277112</v>
      </c>
      <c r="O7" s="4">
        <v>1328</v>
      </c>
      <c r="P7" s="4">
        <v>52.7</v>
      </c>
      <c r="Q7" s="5">
        <f t="shared" si="2"/>
        <v>724044040555.70239</v>
      </c>
      <c r="R7" s="2"/>
      <c r="S7" s="7"/>
      <c r="T7" s="2"/>
      <c r="U7" s="2"/>
      <c r="V7" s="13"/>
    </row>
    <row r="8" spans="1:22" x14ac:dyDescent="0.25">
      <c r="A8" s="6" t="s">
        <v>16</v>
      </c>
      <c r="B8" s="6">
        <v>-1.23</v>
      </c>
      <c r="C8" s="6"/>
      <c r="D8" s="10">
        <f t="shared" si="11"/>
        <v>0.80605527585274139</v>
      </c>
      <c r="E8" s="10">
        <f t="shared" si="3"/>
        <v>-9.36351750997549E-2</v>
      </c>
      <c r="F8" s="10">
        <f t="shared" si="0"/>
        <v>-2.1674858938107584</v>
      </c>
      <c r="G8" s="5">
        <f t="shared" si="4"/>
        <v>1.0663495486820761E-2</v>
      </c>
      <c r="H8" s="10">
        <f t="shared" si="5"/>
        <v>-0.19538548328549105</v>
      </c>
      <c r="I8" s="10">
        <f t="shared" si="6"/>
        <v>1.1378513973543678</v>
      </c>
      <c r="J8" s="5">
        <f t="shared" si="7"/>
        <v>0.495</v>
      </c>
      <c r="K8" s="5">
        <f t="shared" si="8"/>
        <v>3.7796836768206471E-4</v>
      </c>
      <c r="L8" s="11">
        <f t="shared" si="9"/>
        <v>87093038748773.625</v>
      </c>
      <c r="M8" s="5">
        <f t="shared" si="10"/>
        <v>2457126852510209.5</v>
      </c>
      <c r="N8" s="10">
        <f t="shared" si="1"/>
        <v>7.4239049740163328</v>
      </c>
      <c r="O8" s="4">
        <v>1347</v>
      </c>
      <c r="P8" s="4">
        <v>55.7</v>
      </c>
      <c r="Q8" s="5">
        <f t="shared" si="2"/>
        <v>740698181722.06592</v>
      </c>
      <c r="R8" s="2"/>
      <c r="S8" s="7"/>
      <c r="T8" s="2"/>
      <c r="U8" s="2"/>
      <c r="V8" s="13"/>
    </row>
    <row r="9" spans="1:22" x14ac:dyDescent="0.25">
      <c r="A9" s="6" t="s">
        <v>17</v>
      </c>
      <c r="B9" s="6">
        <v>0</v>
      </c>
      <c r="C9" s="8"/>
      <c r="D9" s="10">
        <f t="shared" si="11"/>
        <v>0.80527238172969529</v>
      </c>
      <c r="E9" s="10">
        <f t="shared" si="3"/>
        <v>-9.405719556555947E-2</v>
      </c>
      <c r="F9" s="10">
        <f t="shared" si="0"/>
        <v>-2.158596257048472</v>
      </c>
      <c r="G9" s="5">
        <f t="shared" si="4"/>
        <v>1.0884017370760214E-2</v>
      </c>
      <c r="H9" s="10">
        <f t="shared" si="5"/>
        <v>-0.19538548328549105</v>
      </c>
      <c r="I9" s="10">
        <f t="shared" si="6"/>
        <v>1.1378513973543678</v>
      </c>
      <c r="J9" s="5">
        <f t="shared" si="7"/>
        <v>0.495</v>
      </c>
      <c r="K9" s="5">
        <f t="shared" si="8"/>
        <v>3.8728450004009299E-4</v>
      </c>
      <c r="L9" s="11">
        <f t="shared" si="9"/>
        <v>87192689780624.453</v>
      </c>
      <c r="M9" s="5">
        <f t="shared" si="10"/>
        <v>2450412423108538.5</v>
      </c>
      <c r="N9" s="10">
        <f t="shared" si="1"/>
        <v>7.4074074074074074</v>
      </c>
      <c r="O9" s="4">
        <v>1350</v>
      </c>
      <c r="P9" s="4">
        <v>57.2</v>
      </c>
      <c r="Q9" s="5">
        <f t="shared" si="2"/>
        <v>755980817640.32312</v>
      </c>
      <c r="R9" s="2"/>
      <c r="S9" s="7"/>
      <c r="T9" s="2"/>
      <c r="U9" s="2"/>
      <c r="V9" s="13"/>
    </row>
    <row r="10" spans="1:22" x14ac:dyDescent="0.25">
      <c r="A10" s="6" t="s">
        <v>32</v>
      </c>
      <c r="B10" s="6">
        <v>0.495</v>
      </c>
      <c r="C10" s="6"/>
      <c r="D10" s="10">
        <f t="shared" si="11"/>
        <v>0.81024412304113147</v>
      </c>
      <c r="E10" s="10">
        <f t="shared" si="3"/>
        <v>-9.1384110360625492E-2</v>
      </c>
      <c r="F10" s="10">
        <f t="shared" si="0"/>
        <v>-2.2160558970677964</v>
      </c>
      <c r="G10" s="5">
        <f t="shared" si="4"/>
        <v>9.5351951577075187E-3</v>
      </c>
      <c r="H10" s="10">
        <f t="shared" si="5"/>
        <v>-0.19538548328549105</v>
      </c>
      <c r="I10" s="10">
        <f t="shared" si="6"/>
        <v>1.1378513973543678</v>
      </c>
      <c r="J10" s="5">
        <f t="shared" si="7"/>
        <v>0.495</v>
      </c>
      <c r="K10" s="5">
        <f t="shared" si="8"/>
        <v>3.5032874450543447E-4</v>
      </c>
      <c r="L10" s="11">
        <f t="shared" si="9"/>
        <v>88020450814562.156</v>
      </c>
      <c r="M10" s="5">
        <f t="shared" si="10"/>
        <v>2395727411894476.5</v>
      </c>
      <c r="N10" s="10">
        <f t="shared" si="1"/>
        <v>7.2727272727272725</v>
      </c>
      <c r="O10" s="4">
        <v>1375</v>
      </c>
      <c r="P10" s="4">
        <v>52.7</v>
      </c>
      <c r="Q10" s="5">
        <f t="shared" si="2"/>
        <v>673608564310.75024</v>
      </c>
      <c r="R10" s="2"/>
      <c r="S10" s="7"/>
      <c r="T10" s="2"/>
      <c r="U10" s="2"/>
      <c r="V10" s="13"/>
    </row>
    <row r="11" spans="1:22" x14ac:dyDescent="0.25">
      <c r="A11" s="6" t="s">
        <v>33</v>
      </c>
      <c r="B11" s="6">
        <v>1.0000000000000001E-30</v>
      </c>
      <c r="C11" s="6"/>
      <c r="D11" s="10" t="s">
        <v>18</v>
      </c>
      <c r="E11" s="10" t="s">
        <v>19</v>
      </c>
      <c r="F11" s="10" t="s">
        <v>20</v>
      </c>
      <c r="G11" s="5" t="s">
        <v>21</v>
      </c>
      <c r="H11" s="10" t="s">
        <v>22</v>
      </c>
      <c r="I11" s="10" t="s">
        <v>23</v>
      </c>
      <c r="J11" s="5" t="s">
        <v>24</v>
      </c>
      <c r="K11" s="5" t="s">
        <v>25</v>
      </c>
      <c r="L11" s="11" t="s">
        <v>26</v>
      </c>
      <c r="M11" s="5" t="s">
        <v>27</v>
      </c>
      <c r="N11" s="10" t="s">
        <v>28</v>
      </c>
      <c r="O11" s="1" t="s">
        <v>10</v>
      </c>
      <c r="P11" s="1" t="s">
        <v>11</v>
      </c>
      <c r="Q11" s="5" t="s">
        <v>36</v>
      </c>
      <c r="R11" s="2"/>
      <c r="S11" s="7"/>
      <c r="T11" s="2"/>
      <c r="U11" s="2"/>
      <c r="V11" s="13"/>
    </row>
    <row r="12" spans="1:22" x14ac:dyDescent="0.25">
      <c r="A12" s="6" t="s">
        <v>34</v>
      </c>
      <c r="B12" s="6">
        <v>1E+30</v>
      </c>
      <c r="C12" s="6" t="s">
        <v>38</v>
      </c>
      <c r="D12" s="10">
        <f t="shared" ref="D12:D19" si="12">10^E12</f>
        <v>0.84279783735251379</v>
      </c>
      <c r="E12" s="10">
        <f t="shared" ref="E12:E19" si="13">LOG(J12)/(1+(F12/(I12-0.14*F12))^2)</f>
        <v>-7.4276587476697978E-2</v>
      </c>
      <c r="F12" s="10">
        <f t="shared" ref="F12:F19" si="14">LOG(G12)+H12</f>
        <v>-2.6653617917482824</v>
      </c>
      <c r="G12" s="5">
        <f t="shared" ref="G12:G19" si="15">M12*K12/L12</f>
        <v>3.3886264119539211E-3</v>
      </c>
      <c r="H12" s="10">
        <f t="shared" ref="H12:H19" si="16">-0.4-0.67*LOG(J12)</f>
        <v>-0.19538548328549105</v>
      </c>
      <c r="I12" s="10">
        <f t="shared" ref="I12:I19" si="17">0.75-1.27*LOG(J12)</f>
        <v>1.1378513973543678</v>
      </c>
      <c r="J12" s="5">
        <f t="shared" ref="J12:J19" si="18">(1-$B$10)*EXP(-O12/$B$11)+$B$10*EXP(-O12/$B$12)+EXP(-B$13/O12)</f>
        <v>0.495</v>
      </c>
      <c r="K12" s="5">
        <f t="shared" ref="K12:K19" si="19">P12*101325/8.314/O12/1000000</f>
        <v>8.7065262210803872E-5</v>
      </c>
      <c r="L12" s="11">
        <f t="shared" ref="L12:L19" si="20">B$4*O12^B$5*EXP(-B$6/1.987/O12)</f>
        <v>79306710259466.641</v>
      </c>
      <c r="M12" s="5">
        <f t="shared" ref="M12:M19" si="21">$B$7*O12^$B$8*EXP(-$B$9/1.987/O12)</f>
        <v>3086659434617286.5</v>
      </c>
      <c r="N12" s="10">
        <f t="shared" ref="N12:N19" si="22">10000/O12</f>
        <v>8.9365504915102765</v>
      </c>
      <c r="O12" s="4">
        <v>1119</v>
      </c>
      <c r="P12" s="4">
        <v>7.9940784626999992</v>
      </c>
      <c r="Q12" s="5">
        <f t="shared" ref="Q12:Q19" si="23">L12/(1+L12/M12/K12)*D12</f>
        <v>225729263884.83112</v>
      </c>
      <c r="R12" s="2"/>
      <c r="S12" s="7"/>
      <c r="T12" s="2"/>
      <c r="U12" s="2"/>
      <c r="V12" s="13"/>
    </row>
    <row r="13" spans="1:22" x14ac:dyDescent="0.25">
      <c r="A13" s="6" t="s">
        <v>35</v>
      </c>
      <c r="B13" s="6">
        <v>1E+30</v>
      </c>
      <c r="D13" s="10">
        <f t="shared" si="12"/>
        <v>0.84659970322563816</v>
      </c>
      <c r="E13" s="10">
        <f t="shared" si="13"/>
        <v>-7.2321888103315315E-2</v>
      </c>
      <c r="F13" s="10">
        <f t="shared" si="14"/>
        <v>-2.7283769441326045</v>
      </c>
      <c r="G13" s="5">
        <f t="shared" si="15"/>
        <v>2.9309508734095676E-3</v>
      </c>
      <c r="H13" s="10">
        <f t="shared" si="16"/>
        <v>-0.19538548328549105</v>
      </c>
      <c r="I13" s="10">
        <f t="shared" si="17"/>
        <v>1.1378513973543678</v>
      </c>
      <c r="J13" s="5">
        <f t="shared" si="18"/>
        <v>0.495</v>
      </c>
      <c r="K13" s="5">
        <f t="shared" si="19"/>
        <v>7.729199350345522E-5</v>
      </c>
      <c r="L13" s="11">
        <f t="shared" si="20"/>
        <v>79902495401682.094</v>
      </c>
      <c r="M13" s="5">
        <f t="shared" si="21"/>
        <v>3029942405026660</v>
      </c>
      <c r="N13" s="10">
        <f t="shared" si="22"/>
        <v>8.8028169014084501</v>
      </c>
      <c r="O13" s="4">
        <v>1136</v>
      </c>
      <c r="P13" s="4">
        <v>7.2045398490999997</v>
      </c>
      <c r="Q13" s="5">
        <f t="shared" si="23"/>
        <v>197686020883.61676</v>
      </c>
      <c r="R13" s="2"/>
      <c r="S13" s="7"/>
      <c r="T13" s="2"/>
      <c r="U13" s="2"/>
      <c r="V13" s="13"/>
    </row>
    <row r="14" spans="1:22" x14ac:dyDescent="0.25">
      <c r="A14" s="6"/>
      <c r="B14" s="6"/>
      <c r="D14" s="10">
        <f t="shared" si="12"/>
        <v>0.81811901714614121</v>
      </c>
      <c r="E14" s="10">
        <f t="shared" si="13"/>
        <v>-8.7183512062287499E-2</v>
      </c>
      <c r="F14" s="10">
        <f t="shared" si="14"/>
        <v>-2.3122854867222591</v>
      </c>
      <c r="G14" s="5">
        <f t="shared" si="15"/>
        <v>7.6401167747104952E-3</v>
      </c>
      <c r="H14" s="10">
        <f t="shared" si="16"/>
        <v>-0.19538548328549105</v>
      </c>
      <c r="I14" s="10">
        <f t="shared" si="17"/>
        <v>1.1378513973543678</v>
      </c>
      <c r="J14" s="5">
        <f t="shared" si="18"/>
        <v>0.495</v>
      </c>
      <c r="K14" s="5">
        <f t="shared" si="19"/>
        <v>2.1896437324772167E-4</v>
      </c>
      <c r="L14" s="11">
        <f t="shared" si="20"/>
        <v>81847117413027.891</v>
      </c>
      <c r="M14" s="5">
        <f t="shared" si="21"/>
        <v>2855814055200326.5</v>
      </c>
      <c r="N14" s="10">
        <f t="shared" si="22"/>
        <v>8.3892617449664435</v>
      </c>
      <c r="O14" s="4">
        <v>1192</v>
      </c>
      <c r="P14" s="4">
        <v>21.4162348939</v>
      </c>
      <c r="Q14" s="5">
        <f t="shared" si="23"/>
        <v>507708487246.34857</v>
      </c>
      <c r="R14" s="2"/>
      <c r="S14" s="7"/>
      <c r="T14" s="2"/>
      <c r="U14" s="2"/>
      <c r="V14" s="13"/>
    </row>
    <row r="15" spans="1:22" x14ac:dyDescent="0.25">
      <c r="A15" s="6"/>
      <c r="B15" s="15"/>
      <c r="D15" s="10">
        <f t="shared" si="12"/>
        <v>0.81845904304942174</v>
      </c>
      <c r="E15" s="10">
        <f t="shared" si="13"/>
        <v>-8.700304847278284E-2</v>
      </c>
      <c r="F15" s="10">
        <f t="shared" si="14"/>
        <v>-2.3165952149925193</v>
      </c>
      <c r="G15" s="5">
        <f t="shared" si="15"/>
        <v>7.564674896566633E-3</v>
      </c>
      <c r="H15" s="10">
        <f t="shared" si="16"/>
        <v>-0.19538548328549105</v>
      </c>
      <c r="I15" s="10">
        <f t="shared" si="17"/>
        <v>1.1378513973543678</v>
      </c>
      <c r="J15" s="5">
        <f t="shared" si="18"/>
        <v>0.495</v>
      </c>
      <c r="K15" s="5">
        <f t="shared" si="19"/>
        <v>2.1303661789603379E-4</v>
      </c>
      <c r="L15" s="11">
        <f t="shared" si="20"/>
        <v>81432701449133.391</v>
      </c>
      <c r="M15" s="5">
        <f t="shared" si="21"/>
        <v>2891577600581750.5</v>
      </c>
      <c r="N15" s="10">
        <f t="shared" si="22"/>
        <v>8.4745762711864412</v>
      </c>
      <c r="O15" s="4">
        <v>1180</v>
      </c>
      <c r="P15" s="4">
        <v>20.626696280299999</v>
      </c>
      <c r="Q15" s="5">
        <f t="shared" si="23"/>
        <v>500395193381.92004</v>
      </c>
      <c r="R15" s="2"/>
      <c r="S15" s="6"/>
      <c r="T15" s="2"/>
      <c r="U15" s="2"/>
    </row>
    <row r="16" spans="1:22" x14ac:dyDescent="0.25">
      <c r="A16" s="6"/>
      <c r="B16" s="16"/>
      <c r="D16" s="10">
        <f t="shared" si="12"/>
        <v>0.81905211228076236</v>
      </c>
      <c r="E16" s="10">
        <f t="shared" si="13"/>
        <v>-8.6688465326303074E-2</v>
      </c>
      <c r="F16" s="10">
        <f t="shared" si="14"/>
        <v>-2.3241443520420488</v>
      </c>
      <c r="G16" s="5">
        <f t="shared" si="15"/>
        <v>7.4343179539937427E-3</v>
      </c>
      <c r="H16" s="10">
        <f t="shared" si="16"/>
        <v>-0.19538548328549105</v>
      </c>
      <c r="I16" s="10">
        <f t="shared" si="17"/>
        <v>1.1378513973543678</v>
      </c>
      <c r="J16" s="5">
        <f t="shared" si="18"/>
        <v>0.495</v>
      </c>
      <c r="K16" s="5">
        <f t="shared" si="19"/>
        <v>2.2244733811742573E-4</v>
      </c>
      <c r="L16" s="11">
        <f t="shared" si="20"/>
        <v>82877801024124.328</v>
      </c>
      <c r="M16" s="5">
        <f t="shared" si="21"/>
        <v>2769823767528833.5</v>
      </c>
      <c r="N16" s="10">
        <f t="shared" si="22"/>
        <v>8.1833060556464812</v>
      </c>
      <c r="O16" s="4">
        <v>1222</v>
      </c>
      <c r="P16" s="4">
        <v>22.304465834200002</v>
      </c>
      <c r="Q16" s="5">
        <f t="shared" si="23"/>
        <v>500926658279.05463</v>
      </c>
      <c r="R16" s="2"/>
      <c r="S16" s="7"/>
      <c r="T16" s="2"/>
      <c r="U16" s="2"/>
    </row>
    <row r="17" spans="1:20" x14ac:dyDescent="0.25">
      <c r="A17" s="6"/>
      <c r="B17" s="16"/>
      <c r="D17" s="10">
        <f t="shared" si="12"/>
        <v>0.80452921504767283</v>
      </c>
      <c r="E17" s="10">
        <f t="shared" si="13"/>
        <v>-9.445818064684075E-2</v>
      </c>
      <c r="F17" s="10">
        <f t="shared" si="14"/>
        <v>-2.1502108953483856</v>
      </c>
      <c r="G17" s="5">
        <f t="shared" si="15"/>
        <v>1.1096207971476811E-2</v>
      </c>
      <c r="H17" s="10">
        <f t="shared" si="16"/>
        <v>-0.19538548328549105</v>
      </c>
      <c r="I17" s="10">
        <f t="shared" si="17"/>
        <v>1.1378513973543678</v>
      </c>
      <c r="J17" s="5">
        <f t="shared" si="18"/>
        <v>0.495</v>
      </c>
      <c r="K17" s="5">
        <f t="shared" si="19"/>
        <v>3.1663029305202447E-4</v>
      </c>
      <c r="L17" s="11">
        <f t="shared" si="20"/>
        <v>81743629064465.281</v>
      </c>
      <c r="M17" s="5">
        <f t="shared" si="21"/>
        <v>2864679496391489.5</v>
      </c>
      <c r="N17" s="10">
        <f t="shared" si="22"/>
        <v>8.4104289318755256</v>
      </c>
      <c r="O17" s="4">
        <v>1189</v>
      </c>
      <c r="P17" s="4">
        <v>30.890698257100002</v>
      </c>
      <c r="Q17" s="5">
        <f t="shared" si="23"/>
        <v>721735122465.5575</v>
      </c>
      <c r="R17" s="6"/>
      <c r="S17" s="7"/>
      <c r="T17" s="6"/>
    </row>
    <row r="18" spans="1:20" x14ac:dyDescent="0.25">
      <c r="B18" s="12"/>
      <c r="D18" s="10">
        <f t="shared" si="12"/>
        <v>0.80345399284250307</v>
      </c>
      <c r="E18" s="10">
        <f t="shared" si="13"/>
        <v>-9.5038986637638989E-2</v>
      </c>
      <c r="F18" s="10">
        <f t="shared" si="14"/>
        <v>-2.1381692997438289</v>
      </c>
      <c r="G18" s="5">
        <f t="shared" si="15"/>
        <v>1.1408175235334732E-2</v>
      </c>
      <c r="H18" s="10">
        <f t="shared" si="16"/>
        <v>-0.19538548328549105</v>
      </c>
      <c r="I18" s="10">
        <f t="shared" si="17"/>
        <v>1.1378513973543678</v>
      </c>
      <c r="J18" s="5">
        <f t="shared" si="18"/>
        <v>0.495</v>
      </c>
      <c r="K18" s="5">
        <f t="shared" si="19"/>
        <v>3.3076738041752613E-4</v>
      </c>
      <c r="L18" s="11">
        <f t="shared" si="20"/>
        <v>82122711144729.859</v>
      </c>
      <c r="M18" s="5">
        <f t="shared" si="21"/>
        <v>2832414364310192.5</v>
      </c>
      <c r="N18" s="10">
        <f t="shared" si="22"/>
        <v>8.3333333333333339</v>
      </c>
      <c r="O18" s="4">
        <v>1200</v>
      </c>
      <c r="P18" s="4">
        <v>32.568467810999998</v>
      </c>
      <c r="Q18" s="5">
        <f t="shared" si="23"/>
        <v>744241726834.59131</v>
      </c>
      <c r="S18" s="7"/>
    </row>
    <row r="19" spans="1:20" x14ac:dyDescent="0.25">
      <c r="B19" s="9"/>
      <c r="D19" s="10">
        <f t="shared" si="12"/>
        <v>0.80336525311961493</v>
      </c>
      <c r="E19" s="10">
        <f t="shared" si="13"/>
        <v>-9.5086956155196065E-2</v>
      </c>
      <c r="F19" s="10">
        <f t="shared" si="14"/>
        <v>-2.1371802195743324</v>
      </c>
      <c r="G19" s="5">
        <f t="shared" si="15"/>
        <v>1.1434186292333632E-2</v>
      </c>
      <c r="H19" s="10">
        <f t="shared" si="16"/>
        <v>-0.19538548328549105</v>
      </c>
      <c r="I19" s="10">
        <f t="shared" si="17"/>
        <v>1.1378513973543678</v>
      </c>
      <c r="J19" s="5">
        <f t="shared" si="18"/>
        <v>0.495</v>
      </c>
      <c r="K19" s="5">
        <f t="shared" si="19"/>
        <v>3.2913178667639729E-4</v>
      </c>
      <c r="L19" s="11">
        <f t="shared" si="20"/>
        <v>81950528929197.734</v>
      </c>
      <c r="M19" s="5">
        <f t="shared" si="21"/>
        <v>2846998231298212</v>
      </c>
      <c r="N19" s="10">
        <f t="shared" si="22"/>
        <v>8.3682008368200833</v>
      </c>
      <c r="O19" s="4">
        <v>1195</v>
      </c>
      <c r="P19" s="4">
        <v>32.272390830900001</v>
      </c>
      <c r="Q19" s="5">
        <f t="shared" si="23"/>
        <v>744273300807.04053</v>
      </c>
      <c r="S19" s="7"/>
    </row>
    <row r="20" spans="1:20" x14ac:dyDescent="0.25">
      <c r="B20" s="7"/>
      <c r="D20" s="10" t="s">
        <v>18</v>
      </c>
      <c r="E20" s="10" t="s">
        <v>19</v>
      </c>
      <c r="F20" s="10" t="s">
        <v>20</v>
      </c>
      <c r="G20" s="5" t="s">
        <v>21</v>
      </c>
      <c r="H20" s="10" t="s">
        <v>22</v>
      </c>
      <c r="I20" s="10" t="s">
        <v>23</v>
      </c>
      <c r="J20" s="5" t="s">
        <v>24</v>
      </c>
      <c r="K20" s="5" t="s">
        <v>25</v>
      </c>
      <c r="L20" s="11" t="s">
        <v>26</v>
      </c>
      <c r="M20" s="5" t="s">
        <v>27</v>
      </c>
      <c r="N20" s="10" t="s">
        <v>28</v>
      </c>
      <c r="O20" s="1" t="s">
        <v>10</v>
      </c>
      <c r="P20" s="1" t="s">
        <v>11</v>
      </c>
      <c r="Q20" s="5" t="s">
        <v>36</v>
      </c>
      <c r="S20" s="7"/>
    </row>
    <row r="21" spans="1:20" x14ac:dyDescent="0.25">
      <c r="B21" s="7"/>
      <c r="C21" t="s">
        <v>39</v>
      </c>
      <c r="D21" s="10">
        <f t="shared" ref="D21:D25" si="24">10^E21</f>
        <v>0.83724666312689477</v>
      </c>
      <c r="E21" s="10">
        <f t="shared" ref="E21:E25" si="25">LOG(J21)/(1+(F21/(I21-0.14*F21))^2)</f>
        <v>-7.7146574679065105E-2</v>
      </c>
      <c r="F21" s="10">
        <f t="shared" ref="F21:F25" si="26">LOG(G21)+H21</f>
        <v>-2.5779833073833047</v>
      </c>
      <c r="G21" s="5">
        <f t="shared" ref="G21:G25" si="27">M21*K21/L21</f>
        <v>4.1438323440193339E-3</v>
      </c>
      <c r="H21" s="10">
        <f t="shared" ref="H21:H25" si="28">-0.4-0.67*LOG(J21)</f>
        <v>-0.19538548328549105</v>
      </c>
      <c r="I21" s="10">
        <f t="shared" ref="I21:I25" si="29">0.75-1.27*LOG(J21)</f>
        <v>1.1378513973543678</v>
      </c>
      <c r="J21" s="5">
        <f t="shared" ref="J21:J25" si="30">(1-$B$10)*EXP(-O21/$B$11)+$B$10*EXP(-O21/$B$12)+EXP(-B$13/O21)</f>
        <v>0.495</v>
      </c>
      <c r="K21" s="5">
        <f t="shared" ref="K21:K25" si="31">P21*101325/8.314/O21/1000000</f>
        <v>1.2504858176506955E-4</v>
      </c>
      <c r="L21" s="11">
        <f t="shared" ref="L21:L25" si="32">B$4*O21^B$5*EXP(-B$6/1.987/O21)</f>
        <v>83083029550708.203</v>
      </c>
      <c r="M21" s="5">
        <f t="shared" ref="M21:M25" si="33">$B$7*O21^$B$8*EXP(-$B$9/1.987/O21)</f>
        <v>2753187123210611.5</v>
      </c>
      <c r="N21" s="10">
        <f t="shared" ref="N21:N25" si="34">10000/O21</f>
        <v>8.1433224755700326</v>
      </c>
      <c r="O21" s="9">
        <v>1228</v>
      </c>
      <c r="P21" s="9">
        <v>12.6</v>
      </c>
      <c r="Q21" s="5">
        <f t="shared" ref="Q21:Q25" si="35">L21/(1+L21/M21/K21)*D21</f>
        <v>287059550501.86359</v>
      </c>
      <c r="S21" s="7"/>
    </row>
    <row r="22" spans="1:20" x14ac:dyDescent="0.25">
      <c r="B22" s="12"/>
      <c r="D22" s="10">
        <f t="shared" si="24"/>
        <v>0.83527322027430273</v>
      </c>
      <c r="E22" s="10">
        <f t="shared" si="25"/>
        <v>-7.8171442302432143E-2</v>
      </c>
      <c r="F22" s="10">
        <f t="shared" si="26"/>
        <v>-2.548151573577897</v>
      </c>
      <c r="G22" s="5">
        <f t="shared" si="27"/>
        <v>4.4384763457285138E-3</v>
      </c>
      <c r="H22" s="10">
        <f t="shared" si="28"/>
        <v>-0.19538548328549105</v>
      </c>
      <c r="I22" s="10">
        <f t="shared" si="29"/>
        <v>1.1378513973543678</v>
      </c>
      <c r="J22" s="5">
        <f t="shared" si="30"/>
        <v>0.495</v>
      </c>
      <c r="K22" s="5">
        <f t="shared" si="31"/>
        <v>1.288745927187211E-4</v>
      </c>
      <c r="L22" s="11">
        <f t="shared" si="32"/>
        <v>82157122093507.609</v>
      </c>
      <c r="M22" s="5">
        <f t="shared" si="33"/>
        <v>2829513834748216</v>
      </c>
      <c r="N22" s="10">
        <f t="shared" si="34"/>
        <v>8.3263946711074102</v>
      </c>
      <c r="O22" s="9">
        <v>1201</v>
      </c>
      <c r="P22" s="9">
        <v>12.7</v>
      </c>
      <c r="Q22" s="5">
        <f t="shared" si="35"/>
        <v>303238503458.51044</v>
      </c>
      <c r="S22" s="7"/>
    </row>
    <row r="23" spans="1:20" x14ac:dyDescent="0.25">
      <c r="B23" s="9"/>
      <c r="D23" s="10">
        <f t="shared" si="24"/>
        <v>0.83445980586286939</v>
      </c>
      <c r="E23" s="10">
        <f t="shared" si="25"/>
        <v>-7.8594577513632247E-2</v>
      </c>
      <c r="F23" s="10">
        <f t="shared" si="26"/>
        <v>-2.5360338141008794</v>
      </c>
      <c r="G23" s="5">
        <f t="shared" si="27"/>
        <v>4.5640634058350749E-3</v>
      </c>
      <c r="H23" s="10">
        <f t="shared" si="28"/>
        <v>-0.19538548328549105</v>
      </c>
      <c r="I23" s="10">
        <f t="shared" si="29"/>
        <v>1.1378513973543678</v>
      </c>
      <c r="J23" s="5">
        <f t="shared" si="30"/>
        <v>0.495</v>
      </c>
      <c r="K23" s="5">
        <f t="shared" si="31"/>
        <v>1.321389226006838E-4</v>
      </c>
      <c r="L23" s="11">
        <f t="shared" si="32"/>
        <v>82088291705598.75</v>
      </c>
      <c r="M23" s="5">
        <f t="shared" si="33"/>
        <v>2835320289035710.5</v>
      </c>
      <c r="N23" s="10">
        <f t="shared" si="34"/>
        <v>8.3402835696413682</v>
      </c>
      <c r="O23" s="9">
        <v>1199</v>
      </c>
      <c r="P23" s="9">
        <v>13</v>
      </c>
      <c r="Q23" s="5">
        <f t="shared" si="35"/>
        <v>311215107913.68219</v>
      </c>
      <c r="S23" s="7"/>
    </row>
    <row r="24" spans="1:20" x14ac:dyDescent="0.25">
      <c r="B24" s="7"/>
      <c r="D24" s="10">
        <f t="shared" si="24"/>
        <v>0.83705625867530409</v>
      </c>
      <c r="E24" s="10">
        <f t="shared" si="25"/>
        <v>-7.7245352029251133E-2</v>
      </c>
      <c r="F24" s="10">
        <f t="shared" si="26"/>
        <v>-2.5750779034276468</v>
      </c>
      <c r="G24" s="5">
        <f t="shared" si="27"/>
        <v>4.1716472694473513E-3</v>
      </c>
      <c r="H24" s="10">
        <f t="shared" si="28"/>
        <v>-0.19538548328549105</v>
      </c>
      <c r="I24" s="10">
        <f t="shared" si="29"/>
        <v>1.1378513973543678</v>
      </c>
      <c r="J24" s="5">
        <f t="shared" si="30"/>
        <v>0.495</v>
      </c>
      <c r="K24" s="5">
        <f t="shared" si="31"/>
        <v>1.2535482318980033E-4</v>
      </c>
      <c r="L24" s="11">
        <f t="shared" si="32"/>
        <v>82980452842881.859</v>
      </c>
      <c r="M24" s="5">
        <f t="shared" si="33"/>
        <v>2761482731265812.5</v>
      </c>
      <c r="N24" s="10">
        <f t="shared" si="34"/>
        <v>8.1632653061224492</v>
      </c>
      <c r="O24" s="9">
        <v>1225</v>
      </c>
      <c r="P24" s="9">
        <v>12.6</v>
      </c>
      <c r="Q24" s="5">
        <f t="shared" si="35"/>
        <v>288555976301.64691</v>
      </c>
      <c r="S24" s="7"/>
    </row>
    <row r="25" spans="1:20" x14ac:dyDescent="0.25">
      <c r="B25" s="7"/>
      <c r="D25" s="10">
        <f t="shared" si="24"/>
        <v>0.83436877143200872</v>
      </c>
      <c r="E25" s="10">
        <f t="shared" si="25"/>
        <v>-7.8641958954198482E-2</v>
      </c>
      <c r="F25" s="10">
        <f t="shared" si="26"/>
        <v>-2.5346839988780894</v>
      </c>
      <c r="G25" s="5">
        <f t="shared" si="27"/>
        <v>4.5782708763026404E-3</v>
      </c>
      <c r="H25" s="10">
        <f t="shared" si="28"/>
        <v>-0.19538548328549105</v>
      </c>
      <c r="I25" s="10">
        <f t="shared" si="29"/>
        <v>1.1378513973543678</v>
      </c>
      <c r="J25" s="5">
        <f t="shared" si="30"/>
        <v>0.495</v>
      </c>
      <c r="K25" s="5">
        <f t="shared" si="31"/>
        <v>1.3293363500907449E-4</v>
      </c>
      <c r="L25" s="11">
        <f t="shared" si="32"/>
        <v>82157122093507.609</v>
      </c>
      <c r="M25" s="5">
        <f t="shared" si="33"/>
        <v>2829513834748216</v>
      </c>
      <c r="N25" s="10">
        <f t="shared" si="34"/>
        <v>8.3263946711074102</v>
      </c>
      <c r="O25" s="9">
        <v>1201</v>
      </c>
      <c r="P25" s="9">
        <v>13.1</v>
      </c>
      <c r="Q25" s="5">
        <f t="shared" si="35"/>
        <v>312407148743.28729</v>
      </c>
      <c r="S25" s="7"/>
    </row>
    <row r="26" spans="1:20" x14ac:dyDescent="0.25">
      <c r="B26" s="14"/>
      <c r="D26" s="10" t="s">
        <v>18</v>
      </c>
      <c r="E26" s="10" t="s">
        <v>19</v>
      </c>
      <c r="F26" s="10" t="s">
        <v>20</v>
      </c>
      <c r="G26" s="5" t="s">
        <v>21</v>
      </c>
      <c r="H26" s="10" t="s">
        <v>22</v>
      </c>
      <c r="I26" s="10" t="s">
        <v>23</v>
      </c>
      <c r="J26" s="5" t="s">
        <v>24</v>
      </c>
      <c r="K26" s="5" t="s">
        <v>25</v>
      </c>
      <c r="L26" s="11" t="s">
        <v>26</v>
      </c>
      <c r="M26" s="5" t="s">
        <v>27</v>
      </c>
      <c r="N26" s="10" t="s">
        <v>28</v>
      </c>
      <c r="O26" s="1" t="s">
        <v>10</v>
      </c>
      <c r="P26" s="1" t="s">
        <v>11</v>
      </c>
      <c r="Q26" s="5" t="s">
        <v>36</v>
      </c>
      <c r="S26" s="7"/>
    </row>
    <row r="27" spans="1:20" x14ac:dyDescent="0.25">
      <c r="B27" s="14"/>
      <c r="C27" t="s">
        <v>41</v>
      </c>
      <c r="D27" s="10">
        <f t="shared" ref="D27:D35" si="36">10^E27</f>
        <v>0.85392609654940022</v>
      </c>
      <c r="E27" s="10">
        <f t="shared" ref="E27:E35" si="37">LOG(J27)/(1+(F27/(I27-0.14*F27))^2)</f>
        <v>-6.8579713912429327E-2</v>
      </c>
      <c r="F27" s="10">
        <f t="shared" ref="F27:F35" si="38">LOG(G27)+H27</f>
        <v>-2.8579366986316699</v>
      </c>
      <c r="G27" s="5">
        <f t="shared" ref="G27:G35" si="39">M27*K27/L27</f>
        <v>2.1749475323513826E-3</v>
      </c>
      <c r="H27" s="10">
        <f t="shared" ref="H27:H35" si="40">-0.4-0.67*LOG(J27)</f>
        <v>-0.19538548328549105</v>
      </c>
      <c r="I27" s="10">
        <f t="shared" ref="I27:I35" si="41">0.75-1.27*LOG(J27)</f>
        <v>1.1378513973543678</v>
      </c>
      <c r="J27" s="5">
        <f t="shared" ref="J27:J35" si="42">(1-$B$10)*EXP(-O27/$B$11)+$B$10*EXP(-O27/$B$12)+EXP(-B$13/O27)</f>
        <v>0.495</v>
      </c>
      <c r="K27" s="5">
        <f t="shared" ref="K27:K35" si="43">P27*101325/8.314/O27/1000000</f>
        <v>1.3320512070875558E-4</v>
      </c>
      <c r="L27" s="11">
        <f t="shared" ref="L27:L35" si="44">B$4*O27^B$5*EXP(-B$6/1.987/O27)</f>
        <v>102609206623659.11</v>
      </c>
      <c r="M27" s="5">
        <f t="shared" ref="M27:M35" si="45">$B$7*O27^$B$8*EXP(-$B$9/1.987/O27)</f>
        <v>1675383345289004</v>
      </c>
      <c r="N27" s="10">
        <f t="shared" ref="N27:N35" si="46">10000/O27</f>
        <v>5.4377379010331701</v>
      </c>
      <c r="O27" s="9">
        <v>1839</v>
      </c>
      <c r="P27" s="9">
        <v>20.100000000000001</v>
      </c>
      <c r="Q27" s="5">
        <f t="shared" ref="Q27:Q35" si="47">L27/(1+L27/M27/K27)*D27</f>
        <v>190156799126.69165</v>
      </c>
    </row>
    <row r="28" spans="1:20" x14ac:dyDescent="0.25">
      <c r="D28" s="10">
        <f t="shared" si="36"/>
        <v>0.85386615908998997</v>
      </c>
      <c r="E28" s="10">
        <f t="shared" si="37"/>
        <v>-6.8610198308650144E-2</v>
      </c>
      <c r="F28" s="10">
        <f t="shared" si="38"/>
        <v>-2.8568299665922554</v>
      </c>
      <c r="G28" s="5">
        <f t="shared" si="39"/>
        <v>2.1804971164826651E-3</v>
      </c>
      <c r="H28" s="10">
        <f t="shared" si="40"/>
        <v>-0.19538548328549105</v>
      </c>
      <c r="I28" s="10">
        <f t="shared" si="41"/>
        <v>1.1378513973543678</v>
      </c>
      <c r="J28" s="5">
        <f t="shared" si="42"/>
        <v>0.495</v>
      </c>
      <c r="K28" s="5">
        <f t="shared" si="43"/>
        <v>1.3290375656255338E-4</v>
      </c>
      <c r="L28" s="11">
        <f t="shared" si="44"/>
        <v>102459040185240.95</v>
      </c>
      <c r="M28" s="5">
        <f t="shared" si="45"/>
        <v>1681003212097672.8</v>
      </c>
      <c r="N28" s="10">
        <f t="shared" si="46"/>
        <v>5.4525627044711014</v>
      </c>
      <c r="O28" s="9">
        <v>1834</v>
      </c>
      <c r="P28" s="9">
        <v>20</v>
      </c>
      <c r="Q28" s="5">
        <f t="shared" si="47"/>
        <v>190348585836.02899</v>
      </c>
    </row>
    <row r="29" spans="1:20" x14ac:dyDescent="0.25">
      <c r="D29" s="10">
        <f t="shared" si="36"/>
        <v>0.85775416480631339</v>
      </c>
      <c r="E29" s="10">
        <f t="shared" si="37"/>
        <v>-6.6637164559449805E-2</v>
      </c>
      <c r="F29" s="10">
        <f t="shared" si="38"/>
        <v>-2.9303500692253928</v>
      </c>
      <c r="G29" s="5">
        <f t="shared" si="39"/>
        <v>1.8409221112929734E-3</v>
      </c>
      <c r="H29" s="10">
        <f t="shared" si="40"/>
        <v>-0.19538548328549105</v>
      </c>
      <c r="I29" s="10">
        <f t="shared" si="41"/>
        <v>1.1378513973543678</v>
      </c>
      <c r="J29" s="5">
        <f t="shared" si="42"/>
        <v>0.495</v>
      </c>
      <c r="K29" s="5">
        <f t="shared" si="43"/>
        <v>1.2033975426763678E-4</v>
      </c>
      <c r="L29" s="11">
        <f t="shared" si="44"/>
        <v>104667543492295.42</v>
      </c>
      <c r="M29" s="5">
        <f t="shared" si="45"/>
        <v>1601173247546714.8</v>
      </c>
      <c r="N29" s="10">
        <f t="shared" si="46"/>
        <v>5.2410901467505244</v>
      </c>
      <c r="O29" s="9">
        <v>1908</v>
      </c>
      <c r="P29" s="9">
        <v>18.84</v>
      </c>
      <c r="Q29" s="5">
        <f t="shared" si="47"/>
        <v>164972484040.86838</v>
      </c>
    </row>
    <row r="30" spans="1:20" x14ac:dyDescent="0.25">
      <c r="D30" s="10">
        <f t="shared" si="36"/>
        <v>0.85194370350881399</v>
      </c>
      <c r="E30" s="10">
        <f t="shared" si="37"/>
        <v>-6.9589102490646038E-2</v>
      </c>
      <c r="F30" s="10">
        <f t="shared" si="38"/>
        <v>-2.8217570048177949</v>
      </c>
      <c r="G30" s="5">
        <f t="shared" si="39"/>
        <v>2.3638966134156151E-3</v>
      </c>
      <c r="H30" s="10">
        <f t="shared" si="40"/>
        <v>-0.19538548328549105</v>
      </c>
      <c r="I30" s="10">
        <f t="shared" si="41"/>
        <v>1.1378513973543678</v>
      </c>
      <c r="J30" s="5">
        <f t="shared" si="42"/>
        <v>0.495</v>
      </c>
      <c r="K30" s="5">
        <f t="shared" si="43"/>
        <v>1.4104147118002507E-4</v>
      </c>
      <c r="L30" s="11">
        <f t="shared" si="44"/>
        <v>101796651824102.14</v>
      </c>
      <c r="M30" s="5">
        <f t="shared" si="45"/>
        <v>1706141877922524.3</v>
      </c>
      <c r="N30" s="10">
        <f t="shared" si="46"/>
        <v>5.518763796909492</v>
      </c>
      <c r="O30" s="9">
        <v>1812</v>
      </c>
      <c r="P30" s="9">
        <v>20.97</v>
      </c>
      <c r="Q30" s="5">
        <f t="shared" si="47"/>
        <v>204525495817.25882</v>
      </c>
    </row>
    <row r="31" spans="1:20" x14ac:dyDescent="0.25">
      <c r="D31" s="10">
        <f t="shared" si="36"/>
        <v>0.84919530070976124</v>
      </c>
      <c r="E31" s="10">
        <f t="shared" si="37"/>
        <v>-7.0992417804986635E-2</v>
      </c>
      <c r="F31" s="10">
        <f t="shared" si="38"/>
        <v>-2.7730000931110679</v>
      </c>
      <c r="G31" s="5">
        <f t="shared" si="39"/>
        <v>2.6447546548417286E-3</v>
      </c>
      <c r="H31" s="10">
        <f t="shared" si="40"/>
        <v>-0.19538548328549105</v>
      </c>
      <c r="I31" s="10">
        <f t="shared" si="41"/>
        <v>1.1378513973543678</v>
      </c>
      <c r="J31" s="5">
        <f t="shared" si="42"/>
        <v>0.495</v>
      </c>
      <c r="K31" s="5">
        <f t="shared" si="43"/>
        <v>1.5003981297940011E-4</v>
      </c>
      <c r="L31" s="11">
        <f t="shared" si="44"/>
        <v>100250566855657.02</v>
      </c>
      <c r="M31" s="5">
        <f t="shared" si="45"/>
        <v>1767118660554604</v>
      </c>
      <c r="N31" s="10">
        <f t="shared" si="46"/>
        <v>5.6785917092561045</v>
      </c>
      <c r="O31" s="9">
        <v>1761</v>
      </c>
      <c r="P31" s="9">
        <v>21.68</v>
      </c>
      <c r="Q31" s="5">
        <f t="shared" si="47"/>
        <v>224560167309.12531</v>
      </c>
    </row>
    <row r="32" spans="1:20" x14ac:dyDescent="0.25">
      <c r="D32" s="10">
        <f t="shared" si="36"/>
        <v>0.86592389964423844</v>
      </c>
      <c r="E32" s="10">
        <f t="shared" si="37"/>
        <v>-6.2520273590976186E-2</v>
      </c>
      <c r="F32" s="10">
        <f t="shared" si="38"/>
        <v>-3.0973424558466571</v>
      </c>
      <c r="G32" s="5">
        <f t="shared" si="39"/>
        <v>1.2532653352257557E-3</v>
      </c>
      <c r="H32" s="10">
        <f t="shared" si="40"/>
        <v>-0.19538548328549105</v>
      </c>
      <c r="I32" s="10">
        <f t="shared" si="41"/>
        <v>1.1378513973543678</v>
      </c>
      <c r="J32" s="5">
        <f t="shared" si="42"/>
        <v>0.495</v>
      </c>
      <c r="K32" s="5">
        <f t="shared" si="43"/>
        <v>6.6951243453554913E-5</v>
      </c>
      <c r="L32" s="11">
        <f t="shared" si="44"/>
        <v>98443056002865.063</v>
      </c>
      <c r="M32" s="5">
        <f t="shared" si="45"/>
        <v>1842762930425120.5</v>
      </c>
      <c r="N32" s="10">
        <f t="shared" si="46"/>
        <v>5.8754406580493539</v>
      </c>
      <c r="O32" s="9">
        <v>1702</v>
      </c>
      <c r="P32" s="9">
        <v>9.35</v>
      </c>
      <c r="Q32" s="5">
        <f t="shared" si="47"/>
        <v>106699871306.19153</v>
      </c>
    </row>
    <row r="33" spans="4:17" x14ac:dyDescent="0.25">
      <c r="D33" s="10">
        <f t="shared" si="36"/>
        <v>0.8629063577541437</v>
      </c>
      <c r="E33" s="10">
        <f t="shared" si="37"/>
        <v>-6.403633118771368E-2</v>
      </c>
      <c r="F33" s="10">
        <f t="shared" si="38"/>
        <v>-3.0335535603277743</v>
      </c>
      <c r="G33" s="5">
        <f t="shared" si="39"/>
        <v>1.4515497421467901E-3</v>
      </c>
      <c r="H33" s="10">
        <f t="shared" si="40"/>
        <v>-0.19538548328549105</v>
      </c>
      <c r="I33" s="10">
        <f t="shared" si="41"/>
        <v>1.1378513973543678</v>
      </c>
      <c r="J33" s="5">
        <f t="shared" si="42"/>
        <v>0.495</v>
      </c>
      <c r="K33" s="5">
        <f t="shared" si="43"/>
        <v>7.3419095938941981E-5</v>
      </c>
      <c r="L33" s="11">
        <f t="shared" si="44"/>
        <v>96832596858308.359</v>
      </c>
      <c r="M33" s="5">
        <f t="shared" si="45"/>
        <v>1914451944736206</v>
      </c>
      <c r="N33" s="10">
        <f t="shared" si="46"/>
        <v>6.0606060606060606</v>
      </c>
      <c r="O33" s="9">
        <v>1650</v>
      </c>
      <c r="P33" s="9">
        <v>9.94</v>
      </c>
      <c r="Q33" s="5">
        <f t="shared" si="47"/>
        <v>121112014436.46077</v>
      </c>
    </row>
    <row r="34" spans="4:17" x14ac:dyDescent="0.25">
      <c r="D34" s="10">
        <f t="shared" si="36"/>
        <v>0.85791247511894431</v>
      </c>
      <c r="E34" s="10">
        <f t="shared" si="37"/>
        <v>-6.6557016943591216E-2</v>
      </c>
      <c r="F34" s="10">
        <f t="shared" si="38"/>
        <v>-2.9334202054041394</v>
      </c>
      <c r="G34" s="5">
        <f t="shared" si="39"/>
        <v>1.8279540642161935E-3</v>
      </c>
      <c r="H34" s="10">
        <f t="shared" si="40"/>
        <v>-0.19538548328549105</v>
      </c>
      <c r="I34" s="10">
        <f t="shared" si="41"/>
        <v>1.1378513973543678</v>
      </c>
      <c r="J34" s="5">
        <f t="shared" si="42"/>
        <v>0.495</v>
      </c>
      <c r="K34" s="5">
        <f t="shared" si="43"/>
        <v>8.3209126253990331E-5</v>
      </c>
      <c r="L34" s="11">
        <f t="shared" si="44"/>
        <v>93814648744799.797</v>
      </c>
      <c r="M34" s="5">
        <f t="shared" si="45"/>
        <v>2060938218875331.5</v>
      </c>
      <c r="N34" s="10">
        <f t="shared" si="46"/>
        <v>6.4350064350064349</v>
      </c>
      <c r="O34" s="9">
        <v>1554</v>
      </c>
      <c r="P34" s="9">
        <v>10.61</v>
      </c>
      <c r="Q34" s="5">
        <f t="shared" si="47"/>
        <v>146853997231.40973</v>
      </c>
    </row>
    <row r="35" spans="4:17" x14ac:dyDescent="0.25">
      <c r="D35" s="10">
        <f t="shared" si="36"/>
        <v>0.85590886063215199</v>
      </c>
      <c r="E35" s="10">
        <f t="shared" si="37"/>
        <v>-6.7572477649746499E-2</v>
      </c>
      <c r="F35" s="10">
        <f t="shared" si="38"/>
        <v>-2.8950122547828792</v>
      </c>
      <c r="G35" s="5">
        <f t="shared" si="39"/>
        <v>1.9969777612341344E-3</v>
      </c>
      <c r="H35" s="10">
        <f t="shared" si="40"/>
        <v>-0.19538548328549105</v>
      </c>
      <c r="I35" s="10">
        <f t="shared" si="41"/>
        <v>1.1378513973543678</v>
      </c>
      <c r="J35" s="5">
        <f t="shared" si="42"/>
        <v>0.495</v>
      </c>
      <c r="K35" s="5">
        <f t="shared" si="43"/>
        <v>9.06978222982474E-5</v>
      </c>
      <c r="L35" s="11">
        <f t="shared" si="44"/>
        <v>93751136262119.219</v>
      </c>
      <c r="M35" s="5">
        <f t="shared" si="45"/>
        <v>2064205396136626.3</v>
      </c>
      <c r="N35" s="10">
        <f t="shared" si="46"/>
        <v>6.4432989690721651</v>
      </c>
      <c r="O35" s="9">
        <v>1552</v>
      </c>
      <c r="P35" s="9">
        <v>11.55</v>
      </c>
      <c r="Q35" s="5">
        <f t="shared" si="47"/>
        <v>159922982026.30646</v>
      </c>
    </row>
    <row r="36" spans="4:17" x14ac:dyDescent="0.25">
      <c r="D36" s="10"/>
      <c r="E36" s="10"/>
      <c r="F36" s="10"/>
      <c r="G36" s="5"/>
      <c r="H36" s="10"/>
      <c r="I36" s="10"/>
      <c r="J36" s="5"/>
      <c r="K36" s="5"/>
      <c r="L36" s="11"/>
      <c r="M36" s="5"/>
      <c r="N36" s="10"/>
      <c r="O36" s="4"/>
      <c r="P36" s="4"/>
      <c r="Q36" s="5"/>
    </row>
    <row r="37" spans="4:17" x14ac:dyDescent="0.25">
      <c r="D37" s="10"/>
      <c r="E37" s="10"/>
      <c r="F37" s="10"/>
      <c r="G37" s="5"/>
      <c r="H37" s="10"/>
      <c r="I37" s="10"/>
      <c r="J37" s="5"/>
      <c r="K37" s="5"/>
      <c r="L37" s="11"/>
      <c r="M37" s="5"/>
      <c r="N37" s="10"/>
      <c r="O37" s="4"/>
      <c r="P37" s="4"/>
      <c r="Q37" s="5"/>
    </row>
    <row r="38" spans="4:17" x14ac:dyDescent="0.25">
      <c r="D38" s="10"/>
      <c r="E38" s="10"/>
      <c r="F38" s="10"/>
      <c r="G38" s="5"/>
      <c r="H38" s="10"/>
      <c r="I38" s="10"/>
      <c r="J38" s="5"/>
      <c r="K38" s="5"/>
      <c r="L38" s="11"/>
      <c r="M38" s="5"/>
      <c r="N38" s="10"/>
      <c r="O38" s="4"/>
      <c r="P38" s="4"/>
      <c r="Q38" s="5"/>
    </row>
    <row r="39" spans="4:17" x14ac:dyDescent="0.25">
      <c r="D39" s="10"/>
      <c r="E39" s="10"/>
      <c r="F39" s="10"/>
      <c r="G39" s="5"/>
      <c r="H39" s="10"/>
      <c r="I39" s="10"/>
      <c r="J39" s="5"/>
      <c r="K39" s="5"/>
      <c r="L39" s="11"/>
      <c r="M39" s="5"/>
      <c r="N39" s="10"/>
      <c r="O39" s="4"/>
      <c r="P39" s="4"/>
      <c r="Q39" s="5"/>
    </row>
    <row r="40" spans="4:17" x14ac:dyDescent="0.25">
      <c r="D40" s="10"/>
      <c r="E40" s="10"/>
      <c r="F40" s="10"/>
      <c r="G40" s="5"/>
      <c r="H40" s="10"/>
      <c r="I40" s="10"/>
      <c r="J40" s="5"/>
      <c r="K40" s="5"/>
      <c r="L40" s="11"/>
      <c r="M40" s="5"/>
      <c r="N40" s="10"/>
      <c r="O40" s="4"/>
      <c r="P40" s="4"/>
      <c r="Q40" s="5"/>
    </row>
    <row r="41" spans="4:17" x14ac:dyDescent="0.25">
      <c r="D41" s="10"/>
      <c r="E41" s="10"/>
      <c r="F41" s="10"/>
      <c r="G41" s="5"/>
      <c r="H41" s="10"/>
      <c r="I41" s="10"/>
      <c r="J41" s="5"/>
      <c r="K41" s="5"/>
      <c r="L41" s="11"/>
      <c r="M41" s="5"/>
      <c r="N41" s="10"/>
      <c r="O41" s="4"/>
      <c r="P41" s="4"/>
      <c r="Q41" s="5"/>
    </row>
    <row r="42" spans="4:17" x14ac:dyDescent="0.25">
      <c r="D42" s="10"/>
      <c r="E42" s="10"/>
      <c r="F42" s="10"/>
      <c r="G42" s="5"/>
      <c r="H42" s="10"/>
      <c r="I42" s="10"/>
      <c r="J42" s="5"/>
      <c r="K42" s="5"/>
      <c r="L42" s="11"/>
      <c r="M42" s="5"/>
      <c r="N42" s="10"/>
      <c r="O42" s="4"/>
      <c r="P42" s="4"/>
      <c r="Q42" s="5"/>
    </row>
    <row r="43" spans="4:17" x14ac:dyDescent="0.25">
      <c r="D43" s="10"/>
      <c r="E43" s="10"/>
      <c r="F43" s="10"/>
      <c r="G43" s="5"/>
      <c r="H43" s="10"/>
      <c r="I43" s="10"/>
      <c r="J43" s="5"/>
      <c r="K43" s="5"/>
      <c r="L43" s="11"/>
      <c r="M43" s="5"/>
      <c r="N43" s="10"/>
      <c r="O43" s="4"/>
      <c r="P43" s="4"/>
      <c r="Q43" s="5"/>
    </row>
    <row r="44" spans="4:17" x14ac:dyDescent="0.25">
      <c r="D44" s="10"/>
      <c r="E44" s="10"/>
      <c r="F44" s="10"/>
      <c r="G44" s="5"/>
      <c r="H44" s="10"/>
      <c r="I44" s="10"/>
      <c r="J44" s="5"/>
      <c r="K44" s="5"/>
      <c r="L44" s="11"/>
      <c r="M44" s="5"/>
      <c r="N44" s="10"/>
      <c r="O44" s="4"/>
      <c r="P44" s="4"/>
      <c r="Q44" s="5"/>
    </row>
    <row r="45" spans="4:17" x14ac:dyDescent="0.25">
      <c r="D45" s="10"/>
      <c r="E45" s="10"/>
      <c r="F45" s="10"/>
      <c r="G45" s="5"/>
      <c r="H45" s="10"/>
      <c r="I45" s="10"/>
      <c r="J45" s="5"/>
      <c r="K45" s="5"/>
      <c r="L45" s="11"/>
      <c r="M45" s="5"/>
      <c r="N45" s="10"/>
      <c r="O45" s="4"/>
      <c r="P45" s="4"/>
      <c r="Q45" s="5"/>
    </row>
    <row r="46" spans="4:17" x14ac:dyDescent="0.25">
      <c r="D46" s="10"/>
      <c r="E46" s="10"/>
      <c r="F46" s="10"/>
      <c r="G46" s="5"/>
      <c r="H46" s="10"/>
      <c r="I46" s="10"/>
      <c r="J46" s="5"/>
      <c r="K46" s="5"/>
      <c r="L46" s="11"/>
      <c r="M46" s="5"/>
      <c r="N46" s="10"/>
      <c r="O46" s="4"/>
      <c r="P46" s="4"/>
      <c r="Q46" s="5"/>
    </row>
    <row r="47" spans="4:17" x14ac:dyDescent="0.25">
      <c r="D47" s="10"/>
      <c r="E47" s="10"/>
      <c r="F47" s="10"/>
      <c r="G47" s="5"/>
      <c r="H47" s="10"/>
      <c r="I47" s="10"/>
      <c r="J47" s="5"/>
      <c r="K47" s="5"/>
      <c r="L47" s="11"/>
      <c r="M47" s="5"/>
      <c r="N47" s="10"/>
      <c r="O47" s="4"/>
      <c r="P47" s="4"/>
      <c r="Q47" s="5"/>
    </row>
    <row r="48" spans="4:17" x14ac:dyDescent="0.25">
      <c r="D48" s="10"/>
      <c r="E48" s="10"/>
      <c r="F48" s="10"/>
      <c r="G48" s="5"/>
      <c r="H48" s="10"/>
      <c r="I48" s="10"/>
      <c r="J48" s="5"/>
      <c r="K48" s="5"/>
      <c r="L48" s="11"/>
      <c r="M48" s="5"/>
      <c r="N48" s="10"/>
      <c r="O48" s="4"/>
      <c r="P48" s="4"/>
      <c r="Q48" s="5"/>
    </row>
    <row r="49" spans="4:17" x14ac:dyDescent="0.25">
      <c r="D49" s="10"/>
      <c r="E49" s="10"/>
      <c r="F49" s="10"/>
      <c r="G49" s="5"/>
      <c r="H49" s="10"/>
      <c r="I49" s="10"/>
      <c r="J49" s="5"/>
      <c r="K49" s="5"/>
      <c r="L49" s="11"/>
      <c r="M49" s="5"/>
      <c r="N49" s="10"/>
      <c r="O49" s="4"/>
      <c r="P49" s="4"/>
      <c r="Q49" s="5"/>
    </row>
    <row r="50" spans="4:17" x14ac:dyDescent="0.25">
      <c r="D50" s="10"/>
      <c r="E50" s="10"/>
      <c r="F50" s="10"/>
      <c r="G50" s="5"/>
      <c r="H50" s="10"/>
      <c r="I50" s="10"/>
      <c r="J50" s="5"/>
      <c r="K50" s="5"/>
      <c r="L50" s="11"/>
      <c r="M50" s="5"/>
      <c r="N50" s="10"/>
      <c r="O50" s="4"/>
      <c r="P50" s="4"/>
      <c r="Q50" s="5"/>
    </row>
    <row r="51" spans="4:17" x14ac:dyDescent="0.25">
      <c r="D51" s="10"/>
      <c r="E51" s="10"/>
      <c r="F51" s="10"/>
      <c r="G51" s="5"/>
      <c r="H51" s="10"/>
      <c r="I51" s="10"/>
      <c r="J51" s="5"/>
      <c r="K51" s="5"/>
      <c r="L51" s="11"/>
      <c r="M51" s="5"/>
      <c r="N51" s="10"/>
      <c r="O51" s="1"/>
      <c r="P51" s="1"/>
      <c r="Q51" s="5"/>
    </row>
    <row r="52" spans="4:17" x14ac:dyDescent="0.25">
      <c r="D52" s="10"/>
      <c r="E52" s="10"/>
      <c r="F52" s="10"/>
      <c r="G52" s="5"/>
      <c r="H52" s="10"/>
      <c r="I52" s="10"/>
      <c r="J52" s="5"/>
      <c r="K52" s="5"/>
      <c r="L52" s="11"/>
      <c r="M52" s="5"/>
      <c r="N52" s="10"/>
      <c r="O52" s="1"/>
      <c r="P52" s="1"/>
      <c r="Q52" s="5"/>
    </row>
    <row r="53" spans="4:17" x14ac:dyDescent="0.25">
      <c r="D53" s="10"/>
      <c r="E53" s="10"/>
      <c r="F53" s="10"/>
      <c r="G53" s="5"/>
      <c r="H53" s="10"/>
      <c r="I53" s="10"/>
      <c r="J53" s="5"/>
      <c r="K53" s="5"/>
      <c r="L53" s="11"/>
      <c r="M53" s="5"/>
      <c r="N53" s="10"/>
      <c r="O53" s="4"/>
      <c r="P53" s="4"/>
      <c r="Q53" s="5"/>
    </row>
    <row r="54" spans="4:17" x14ac:dyDescent="0.25">
      <c r="D54" s="10"/>
      <c r="E54" s="10"/>
      <c r="F54" s="10"/>
      <c r="G54" s="5"/>
      <c r="H54" s="10"/>
      <c r="I54" s="10"/>
      <c r="J54" s="5"/>
      <c r="K54" s="5"/>
      <c r="L54" s="11"/>
      <c r="M54" s="5"/>
      <c r="N54" s="10"/>
      <c r="O54" s="4"/>
      <c r="P54" s="4"/>
      <c r="Q54" s="5"/>
    </row>
    <row r="55" spans="4:17" x14ac:dyDescent="0.25">
      <c r="D55" s="10"/>
      <c r="E55" s="10"/>
      <c r="F55" s="10"/>
      <c r="G55" s="5"/>
      <c r="H55" s="10"/>
      <c r="I55" s="10"/>
      <c r="J55" s="5"/>
      <c r="K55" s="5"/>
      <c r="L55" s="11"/>
      <c r="M55" s="5"/>
      <c r="N55" s="10"/>
      <c r="O55" s="4"/>
      <c r="P55" s="4"/>
      <c r="Q55" s="5"/>
    </row>
    <row r="56" spans="4:17" x14ac:dyDescent="0.25">
      <c r="D56" s="10"/>
      <c r="E56" s="10"/>
      <c r="F56" s="10"/>
      <c r="G56" s="5"/>
      <c r="H56" s="10"/>
      <c r="I56" s="10"/>
      <c r="J56" s="5"/>
      <c r="K56" s="5"/>
      <c r="L56" s="11"/>
      <c r="M56" s="5"/>
      <c r="N56" s="10"/>
      <c r="O56" s="4"/>
      <c r="P56" s="4"/>
      <c r="Q56" s="5"/>
    </row>
    <row r="57" spans="4:17" x14ac:dyDescent="0.25">
      <c r="D57" s="10"/>
      <c r="E57" s="10"/>
      <c r="F57" s="10"/>
      <c r="G57" s="5"/>
      <c r="H57" s="10"/>
      <c r="I57" s="10"/>
      <c r="J57" s="5"/>
      <c r="K57" s="5"/>
      <c r="L57" s="11"/>
      <c r="M57" s="5"/>
      <c r="N57" s="10"/>
      <c r="O57" s="4"/>
      <c r="P57" s="4"/>
      <c r="Q57" s="5"/>
    </row>
    <row r="58" spans="4:17" x14ac:dyDescent="0.25">
      <c r="D58" s="10"/>
      <c r="E58" s="10"/>
      <c r="F58" s="10"/>
      <c r="G58" s="5"/>
      <c r="H58" s="10"/>
      <c r="I58" s="10"/>
      <c r="J58" s="5"/>
      <c r="K58" s="5"/>
      <c r="L58" s="11"/>
      <c r="M58" s="5"/>
      <c r="N58" s="10"/>
      <c r="O58" s="4"/>
      <c r="P58" s="4"/>
      <c r="Q58" s="5"/>
    </row>
    <row r="59" spans="4:17" x14ac:dyDescent="0.25">
      <c r="D59" s="10"/>
      <c r="E59" s="10"/>
      <c r="F59" s="10"/>
      <c r="G59" s="5"/>
      <c r="H59" s="10"/>
      <c r="I59" s="10"/>
      <c r="J59" s="5"/>
      <c r="K59" s="5"/>
      <c r="L59" s="11"/>
      <c r="M59" s="5"/>
      <c r="N59" s="10"/>
      <c r="O59" s="4"/>
      <c r="P59" s="4"/>
      <c r="Q59" s="5"/>
    </row>
    <row r="60" spans="4:17" x14ac:dyDescent="0.25">
      <c r="D60" s="10"/>
      <c r="E60" s="10"/>
      <c r="F60" s="10"/>
      <c r="G60" s="5"/>
      <c r="H60" s="10"/>
      <c r="I60" s="10"/>
      <c r="J60" s="5"/>
      <c r="K60" s="5"/>
      <c r="L60" s="11"/>
      <c r="M60" s="5"/>
      <c r="N60" s="10"/>
      <c r="O60" s="4"/>
      <c r="P60" s="4"/>
      <c r="Q60" s="5"/>
    </row>
    <row r="61" spans="4:17" x14ac:dyDescent="0.25">
      <c r="D61" s="10"/>
      <c r="E61" s="10"/>
      <c r="F61" s="10"/>
      <c r="G61" s="5"/>
      <c r="H61" s="10"/>
      <c r="I61" s="10"/>
      <c r="J61" s="5"/>
      <c r="K61" s="5"/>
      <c r="L61" s="11"/>
      <c r="M61" s="5"/>
      <c r="N61" s="10"/>
      <c r="O61" s="4"/>
      <c r="P61" s="4"/>
      <c r="Q61" s="5"/>
    </row>
    <row r="62" spans="4:17" x14ac:dyDescent="0.25">
      <c r="D62" s="10"/>
      <c r="E62" s="10"/>
      <c r="F62" s="10"/>
      <c r="G62" s="5"/>
      <c r="H62" s="10"/>
      <c r="I62" s="10"/>
      <c r="J62" s="5"/>
      <c r="K62" s="5"/>
      <c r="L62" s="11"/>
      <c r="M62" s="5"/>
      <c r="N62" s="10"/>
      <c r="O62" s="4"/>
      <c r="P62" s="4"/>
      <c r="Q62" s="5"/>
    </row>
    <row r="63" spans="4:17" x14ac:dyDescent="0.25">
      <c r="D63" s="10"/>
      <c r="E63" s="10"/>
      <c r="F63" s="10"/>
      <c r="G63" s="5"/>
      <c r="H63" s="10"/>
      <c r="I63" s="10"/>
      <c r="J63" s="5"/>
      <c r="K63" s="5"/>
      <c r="L63" s="11"/>
      <c r="M63" s="5"/>
      <c r="N63" s="10"/>
      <c r="O63" s="4"/>
      <c r="P63" s="4"/>
      <c r="Q63" s="5"/>
    </row>
    <row r="65" spans="4:17" x14ac:dyDescent="0.25">
      <c r="D65" s="10"/>
      <c r="E65" s="10"/>
      <c r="F65" s="10"/>
      <c r="G65" s="5"/>
      <c r="H65" s="10"/>
      <c r="I65" s="10"/>
      <c r="J65" s="5"/>
      <c r="K65" s="5"/>
      <c r="L65" s="11"/>
      <c r="M65" s="5"/>
      <c r="N65" s="10"/>
      <c r="O65" s="1"/>
      <c r="P65" s="1"/>
      <c r="Q65" s="1"/>
    </row>
    <row r="66" spans="4:17" x14ac:dyDescent="0.25">
      <c r="D66" s="10"/>
      <c r="E66" s="10"/>
      <c r="F66" s="10"/>
      <c r="G66" s="5"/>
      <c r="H66" s="10"/>
      <c r="I66" s="10"/>
      <c r="J66" s="5"/>
      <c r="K66" s="5"/>
      <c r="L66" s="11"/>
      <c r="M66" s="5"/>
      <c r="N66" s="10"/>
      <c r="O66" s="4"/>
      <c r="P66" s="4"/>
      <c r="Q66" s="5"/>
    </row>
    <row r="67" spans="4:17" x14ac:dyDescent="0.25">
      <c r="D67" s="10"/>
      <c r="E67" s="10"/>
      <c r="F67" s="10"/>
      <c r="G67" s="5"/>
      <c r="H67" s="10"/>
      <c r="I67" s="10"/>
      <c r="J67" s="5"/>
      <c r="K67" s="5"/>
      <c r="L67" s="11"/>
      <c r="M67" s="5"/>
      <c r="N67" s="10"/>
      <c r="O67" s="4"/>
      <c r="P67" s="4"/>
      <c r="Q67" s="5"/>
    </row>
    <row r="68" spans="4:17" x14ac:dyDescent="0.25">
      <c r="D68" s="10"/>
      <c r="E68" s="10"/>
      <c r="F68" s="10"/>
      <c r="G68" s="5"/>
      <c r="H68" s="10"/>
      <c r="I68" s="10"/>
      <c r="J68" s="5"/>
      <c r="K68" s="5"/>
      <c r="L68" s="11"/>
      <c r="M68" s="5"/>
      <c r="N68" s="10"/>
      <c r="O68" s="4"/>
      <c r="P68" s="4"/>
      <c r="Q68" s="5"/>
    </row>
    <row r="69" spans="4:17" x14ac:dyDescent="0.25">
      <c r="D69" s="10"/>
      <c r="E69" s="10"/>
      <c r="F69" s="10"/>
      <c r="G69" s="5"/>
      <c r="H69" s="10"/>
      <c r="I69" s="10"/>
      <c r="J69" s="5"/>
      <c r="K69" s="5"/>
      <c r="L69" s="11"/>
      <c r="M69" s="5"/>
      <c r="N69" s="10"/>
      <c r="O69" s="4"/>
      <c r="P69" s="4"/>
      <c r="Q69" s="5"/>
    </row>
    <row r="70" spans="4:17" x14ac:dyDescent="0.25">
      <c r="D70" s="10"/>
      <c r="E70" s="10"/>
      <c r="F70" s="10"/>
      <c r="G70" s="5"/>
      <c r="H70" s="10"/>
      <c r="I70" s="10"/>
      <c r="J70" s="5"/>
      <c r="K70" s="5"/>
      <c r="L70" s="11"/>
      <c r="M70" s="5"/>
      <c r="N70" s="10"/>
      <c r="O70" s="4"/>
      <c r="P70" s="4"/>
      <c r="Q70" s="5"/>
    </row>
    <row r="71" spans="4:17" x14ac:dyDescent="0.25">
      <c r="D71" s="10"/>
      <c r="E71" s="10"/>
      <c r="F71" s="10"/>
      <c r="G71" s="5"/>
      <c r="H71" s="10"/>
      <c r="I71" s="10"/>
      <c r="J71" s="5"/>
      <c r="K71" s="5"/>
      <c r="L71" s="11"/>
      <c r="M71" s="5"/>
      <c r="N71" s="10"/>
      <c r="O71" s="4"/>
      <c r="P71" s="4"/>
      <c r="Q71" s="5"/>
    </row>
    <row r="72" spans="4:17" x14ac:dyDescent="0.25">
      <c r="D72" s="10"/>
      <c r="E72" s="10"/>
      <c r="F72" s="10"/>
      <c r="G72" s="5"/>
      <c r="H72" s="10"/>
      <c r="I72" s="10"/>
      <c r="J72" s="5"/>
      <c r="K72" s="5"/>
      <c r="L72" s="11"/>
      <c r="M72" s="5"/>
      <c r="N72" s="10"/>
      <c r="O72" s="4"/>
      <c r="P72" s="4"/>
      <c r="Q72" s="5"/>
    </row>
    <row r="73" spans="4:17" x14ac:dyDescent="0.25">
      <c r="D73" s="10"/>
      <c r="E73" s="10"/>
      <c r="F73" s="10"/>
      <c r="G73" s="5"/>
      <c r="H73" s="10"/>
      <c r="I73" s="10"/>
      <c r="J73" s="5"/>
      <c r="K73" s="5"/>
      <c r="L73" s="11"/>
      <c r="M73" s="5"/>
      <c r="N73" s="10"/>
      <c r="O73" s="4"/>
      <c r="P73" s="4"/>
      <c r="Q73" s="5"/>
    </row>
    <row r="74" spans="4:17" x14ac:dyDescent="0.25">
      <c r="D74" s="10"/>
      <c r="E74" s="10"/>
      <c r="F74" s="10"/>
      <c r="G74" s="5"/>
      <c r="H74" s="10"/>
      <c r="I74" s="10"/>
      <c r="J74" s="5"/>
      <c r="K74" s="5"/>
      <c r="L74" s="11"/>
      <c r="M74" s="5"/>
      <c r="N74" s="10"/>
      <c r="O74" s="4"/>
      <c r="P74" s="4"/>
      <c r="Q74" s="5"/>
    </row>
    <row r="75" spans="4:17" x14ac:dyDescent="0.25">
      <c r="D75" s="10"/>
      <c r="E75" s="10"/>
      <c r="F75" s="10"/>
      <c r="G75" s="5"/>
      <c r="H75" s="10"/>
      <c r="I75" s="10"/>
      <c r="J75" s="5"/>
      <c r="K75" s="5"/>
      <c r="L75" s="11"/>
      <c r="M75" s="5"/>
      <c r="N75" s="10"/>
      <c r="O75" s="4"/>
      <c r="P75" s="4"/>
      <c r="Q75" s="5"/>
    </row>
    <row r="76" spans="4:17" x14ac:dyDescent="0.25">
      <c r="D76" s="10"/>
      <c r="E76" s="10"/>
      <c r="F76" s="10"/>
      <c r="G76" s="5"/>
      <c r="H76" s="10"/>
      <c r="I76" s="10"/>
      <c r="J76" s="5"/>
      <c r="K76" s="5"/>
      <c r="L76" s="11"/>
      <c r="M76" s="5"/>
      <c r="N76" s="10"/>
      <c r="O76" s="4"/>
      <c r="P76" s="4"/>
      <c r="Q76" s="5"/>
    </row>
    <row r="77" spans="4:17" x14ac:dyDescent="0.25">
      <c r="D77" s="10"/>
      <c r="E77" s="10"/>
      <c r="F77" s="10"/>
      <c r="G77" s="5"/>
      <c r="H77" s="10"/>
      <c r="I77" s="10"/>
      <c r="J77" s="5"/>
      <c r="K77" s="5"/>
      <c r="L77" s="11"/>
      <c r="M77" s="5"/>
      <c r="N77" s="10"/>
      <c r="O77" s="4"/>
      <c r="P77" s="4"/>
      <c r="Q77" s="5"/>
    </row>
    <row r="78" spans="4:17" x14ac:dyDescent="0.25">
      <c r="D78" s="10"/>
      <c r="E78" s="10"/>
      <c r="F78" s="10"/>
      <c r="G78" s="5"/>
      <c r="H78" s="10"/>
      <c r="I78" s="10"/>
      <c r="J78" s="5"/>
      <c r="K78" s="5"/>
      <c r="L78" s="11"/>
      <c r="M78" s="5"/>
      <c r="N78" s="10"/>
      <c r="O78" s="4"/>
      <c r="P78" s="4"/>
      <c r="Q7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EAF7-38B4-4FF2-BE8A-B9FA24FE0A91}">
  <dimension ref="A1:V78"/>
  <sheetViews>
    <sheetView workbookViewId="0">
      <selection activeCell="Q2" sqref="Q2:Q6"/>
    </sheetView>
  </sheetViews>
  <sheetFormatPr defaultRowHeight="15" x14ac:dyDescent="0.25"/>
  <cols>
    <col min="2" max="2" width="9.5703125" bestFit="1" customWidth="1"/>
    <col min="4" max="15" width="9.28515625" bestFit="1" customWidth="1"/>
    <col min="16" max="16" width="9.85546875" bestFit="1" customWidth="1"/>
    <col min="17" max="17" width="14.42578125" customWidth="1"/>
  </cols>
  <sheetData>
    <row r="1" spans="1:22" x14ac:dyDescent="0.25">
      <c r="A1" s="6" t="s">
        <v>29</v>
      </c>
      <c r="B1" s="6"/>
      <c r="C1" s="6"/>
      <c r="D1" s="10" t="s">
        <v>18</v>
      </c>
      <c r="E1" s="10" t="s">
        <v>19</v>
      </c>
      <c r="F1" s="10" t="s">
        <v>20</v>
      </c>
      <c r="G1" s="5" t="s">
        <v>21</v>
      </c>
      <c r="H1" s="10" t="s">
        <v>22</v>
      </c>
      <c r="I1" s="10" t="s">
        <v>23</v>
      </c>
      <c r="J1" s="5" t="s">
        <v>24</v>
      </c>
      <c r="K1" s="5" t="s">
        <v>25</v>
      </c>
      <c r="L1" s="11" t="s">
        <v>26</v>
      </c>
      <c r="M1" s="5" t="s">
        <v>27</v>
      </c>
      <c r="N1" s="10" t="s">
        <v>28</v>
      </c>
      <c r="O1" s="9" t="s">
        <v>10</v>
      </c>
      <c r="P1" s="9" t="s">
        <v>11</v>
      </c>
      <c r="Q1" s="5" t="s">
        <v>44</v>
      </c>
      <c r="R1" s="2"/>
      <c r="S1" s="7"/>
      <c r="T1" s="2"/>
      <c r="U1" s="2"/>
      <c r="V1" s="13"/>
    </row>
    <row r="2" spans="1:22" x14ac:dyDescent="0.25">
      <c r="A2" s="6" t="s">
        <v>30</v>
      </c>
      <c r="B2" s="6"/>
      <c r="C2" s="14" t="s">
        <v>39</v>
      </c>
      <c r="D2" s="10">
        <f t="shared" ref="D2:D6" si="0">10^E2</f>
        <v>0.94369720188051176</v>
      </c>
      <c r="E2" s="10">
        <f t="shared" ref="E2:E6" si="1">LOG(J2)/(1+(F2/(I2-0.14*F2))^2)</f>
        <v>-2.5167332659052456E-2</v>
      </c>
      <c r="F2" s="10">
        <f t="shared" ref="F2:F6" si="2">LOG(G2)+H2</f>
        <v>-3.1510886334198047</v>
      </c>
      <c r="G2" s="5">
        <f t="shared" ref="G2:G6" si="3">M2*K2/L2</f>
        <v>1.396776930113981E-3</v>
      </c>
      <c r="H2" s="10">
        <f t="shared" ref="H2:H6" si="4">-0.4-0.67*LOG(J2)</f>
        <v>-0.29621568680955207</v>
      </c>
      <c r="I2" s="10">
        <f t="shared" ref="I2:I6" si="5">0.75-1.27*LOG(J2)</f>
        <v>0.94672548918189381</v>
      </c>
      <c r="J2" s="5">
        <f t="shared" ref="J2:J6" si="6">(1-$B$10)*EXP(-O2/$B$11)+$B$10*EXP(-O2/$B$12)+EXP(-B$13/O2)</f>
        <v>0.7</v>
      </c>
      <c r="K2" s="5">
        <f>P2*101325/8.314/O2/1000000</f>
        <v>1.2504858176506955E-4</v>
      </c>
      <c r="L2" s="11">
        <f t="shared" ref="L2:L6" si="7">B$4*O2^B$5*EXP(-B$6/1.987/O2)</f>
        <v>231873694209068.13</v>
      </c>
      <c r="M2" s="7">
        <v>2590000000000000</v>
      </c>
      <c r="N2" s="10">
        <f t="shared" ref="N2:N6" si="8">10000/O2</f>
        <v>8.1433224755700326</v>
      </c>
      <c r="O2" s="9">
        <v>1228</v>
      </c>
      <c r="P2" s="9">
        <v>12.6</v>
      </c>
      <c r="Q2" s="5">
        <f>L2/(1+L2/M2/K2)*D2</f>
        <v>305214395055.27844</v>
      </c>
      <c r="R2" s="2"/>
      <c r="S2" s="7"/>
      <c r="T2" s="2"/>
      <c r="U2" s="2"/>
      <c r="V2" s="13"/>
    </row>
    <row r="3" spans="1:22" x14ac:dyDescent="0.25">
      <c r="A3" s="6" t="s">
        <v>31</v>
      </c>
      <c r="B3" s="6"/>
      <c r="C3" s="14"/>
      <c r="D3" s="10">
        <f t="shared" si="0"/>
        <v>0.94394743353066302</v>
      </c>
      <c r="E3" s="10">
        <f t="shared" si="1"/>
        <v>-2.5052189984995896E-2</v>
      </c>
      <c r="F3" s="10">
        <f t="shared" si="2"/>
        <v>-3.163762516781659</v>
      </c>
      <c r="G3" s="5">
        <f t="shared" si="3"/>
        <v>1.3566042397834372E-3</v>
      </c>
      <c r="H3" s="10">
        <f t="shared" si="4"/>
        <v>-0.29621568680955207</v>
      </c>
      <c r="I3" s="10">
        <f t="shared" si="5"/>
        <v>0.94672548918189381</v>
      </c>
      <c r="J3" s="5">
        <f t="shared" si="6"/>
        <v>0.7</v>
      </c>
      <c r="K3" s="5">
        <f t="shared" ref="K3:K6" si="9">P3*101325/8.314/O3/1000000</f>
        <v>1.288745927187211E-4</v>
      </c>
      <c r="L3" s="11">
        <f t="shared" si="7"/>
        <v>230844966514688.69</v>
      </c>
      <c r="M3" s="7">
        <v>2430000000000000</v>
      </c>
      <c r="N3" s="10">
        <f t="shared" si="8"/>
        <v>8.3263946711074102</v>
      </c>
      <c r="O3" s="9">
        <v>1201</v>
      </c>
      <c r="P3" s="9">
        <v>12.7</v>
      </c>
      <c r="Q3" s="5">
        <f t="shared" ref="Q3:Q6" si="10">L3/(1+L3/M3/K3)*D3</f>
        <v>295211059162.78418</v>
      </c>
      <c r="R3" s="2"/>
      <c r="S3" s="7"/>
      <c r="T3" s="2"/>
      <c r="U3" s="2"/>
      <c r="V3" s="13"/>
    </row>
    <row r="4" spans="1:22" x14ac:dyDescent="0.25">
      <c r="A4" s="6" t="s">
        <v>15</v>
      </c>
      <c r="B4" s="7">
        <v>55900000000000</v>
      </c>
      <c r="C4" s="14"/>
      <c r="D4" s="10">
        <f t="shared" si="0"/>
        <v>0.9437656647153374</v>
      </c>
      <c r="E4" s="10">
        <f t="shared" si="1"/>
        <v>-2.5135826840400832E-2</v>
      </c>
      <c r="F4" s="10">
        <f t="shared" si="2"/>
        <v>-3.1545452038837909</v>
      </c>
      <c r="G4" s="5">
        <f t="shared" si="3"/>
        <v>1.3857040392931082E-3</v>
      </c>
      <c r="H4" s="10">
        <f t="shared" si="4"/>
        <v>-0.29621568680955207</v>
      </c>
      <c r="I4" s="10">
        <f t="shared" si="5"/>
        <v>0.94672548918189381</v>
      </c>
      <c r="J4" s="5">
        <f t="shared" si="6"/>
        <v>0.7</v>
      </c>
      <c r="K4" s="5">
        <f t="shared" si="9"/>
        <v>1.321389226006838E-4</v>
      </c>
      <c r="L4" s="11">
        <f t="shared" si="7"/>
        <v>230768030998006.47</v>
      </c>
      <c r="M4" s="7">
        <v>2420000000000000</v>
      </c>
      <c r="N4" s="10">
        <f t="shared" si="8"/>
        <v>8.3402835696413682</v>
      </c>
      <c r="O4" s="9">
        <v>1199</v>
      </c>
      <c r="P4" s="9">
        <v>13</v>
      </c>
      <c r="Q4" s="5">
        <f t="shared" si="10"/>
        <v>301376172877.56378</v>
      </c>
      <c r="R4" s="2"/>
      <c r="S4" s="7"/>
      <c r="T4" s="2"/>
      <c r="U4" s="2"/>
      <c r="V4" s="13"/>
    </row>
    <row r="5" spans="1:22" x14ac:dyDescent="0.25">
      <c r="A5" s="6" t="s">
        <v>16</v>
      </c>
      <c r="B5" s="6">
        <v>0.2</v>
      </c>
      <c r="C5" s="14"/>
      <c r="D5" s="10">
        <f t="shared" si="0"/>
        <v>0.94435638369352481</v>
      </c>
      <c r="E5" s="10">
        <f t="shared" si="1"/>
        <v>-2.4864079575790579E-2</v>
      </c>
      <c r="F5" s="10">
        <f t="shared" si="2"/>
        <v>-3.1847157628274014</v>
      </c>
      <c r="G5" s="5">
        <f t="shared" si="3"/>
        <v>1.2927064745345473E-3</v>
      </c>
      <c r="H5" s="10">
        <f t="shared" si="4"/>
        <v>-0.29621568680955207</v>
      </c>
      <c r="I5" s="10">
        <f t="shared" si="5"/>
        <v>0.94672548918189381</v>
      </c>
      <c r="J5" s="5">
        <f t="shared" si="6"/>
        <v>0.7</v>
      </c>
      <c r="K5" s="5">
        <f t="shared" si="9"/>
        <v>1.2535482318980033E-4</v>
      </c>
      <c r="L5" s="11">
        <f t="shared" si="7"/>
        <v>231760290000478.47</v>
      </c>
      <c r="M5" s="7">
        <v>2390000000000000</v>
      </c>
      <c r="N5" s="10">
        <f t="shared" si="8"/>
        <v>8.1632653061224492</v>
      </c>
      <c r="O5" s="9">
        <v>1225</v>
      </c>
      <c r="P5" s="9">
        <v>12.6</v>
      </c>
      <c r="Q5" s="5">
        <f t="shared" si="10"/>
        <v>282562039960.9707</v>
      </c>
      <c r="R5" s="2"/>
      <c r="S5" s="7"/>
      <c r="T5" s="2"/>
      <c r="U5" s="2"/>
      <c r="V5" s="13"/>
    </row>
    <row r="6" spans="1:22" x14ac:dyDescent="0.25">
      <c r="A6" s="6" t="s">
        <v>17</v>
      </c>
      <c r="B6" s="6">
        <v>0</v>
      </c>
      <c r="C6" s="14"/>
      <c r="D6" s="10">
        <f t="shared" si="0"/>
        <v>0.94400483284466263</v>
      </c>
      <c r="E6" s="10">
        <f t="shared" si="1"/>
        <v>-2.5025782320155347E-2</v>
      </c>
      <c r="F6" s="10">
        <f t="shared" si="2"/>
        <v>-3.166685358270021</v>
      </c>
      <c r="G6" s="5">
        <f t="shared" si="3"/>
        <v>1.3475048237685582E-3</v>
      </c>
      <c r="H6" s="10">
        <f t="shared" si="4"/>
        <v>-0.29621568680955207</v>
      </c>
      <c r="I6" s="10">
        <f t="shared" si="5"/>
        <v>0.94672548918189381</v>
      </c>
      <c r="J6" s="5">
        <f t="shared" si="6"/>
        <v>0.7</v>
      </c>
      <c r="K6" s="5">
        <f t="shared" si="9"/>
        <v>1.3293363500907449E-4</v>
      </c>
      <c r="L6" s="11">
        <f t="shared" si="7"/>
        <v>230844966514688.69</v>
      </c>
      <c r="M6" s="7">
        <v>2340000000000000</v>
      </c>
      <c r="N6" s="10">
        <f t="shared" si="8"/>
        <v>8.3263946711074102</v>
      </c>
      <c r="O6" s="9">
        <v>1201</v>
      </c>
      <c r="P6" s="9">
        <v>13.1</v>
      </c>
      <c r="Q6" s="5">
        <f t="shared" si="10"/>
        <v>293251428003.23755</v>
      </c>
      <c r="R6" s="2"/>
      <c r="S6" s="7"/>
      <c r="T6" s="2"/>
      <c r="U6" s="2"/>
      <c r="V6" s="13"/>
    </row>
    <row r="7" spans="1:22" x14ac:dyDescent="0.25">
      <c r="A7" s="6" t="s">
        <v>15</v>
      </c>
      <c r="B7" s="7">
        <v>2.65E+19</v>
      </c>
      <c r="C7" s="14"/>
      <c r="D7" s="10"/>
      <c r="E7" s="10"/>
      <c r="F7" s="10"/>
      <c r="G7" s="5"/>
      <c r="H7" s="10"/>
      <c r="I7" s="10"/>
      <c r="J7" s="5"/>
      <c r="K7" s="5"/>
      <c r="L7" s="11"/>
      <c r="M7" s="5"/>
      <c r="N7" s="10"/>
      <c r="O7" s="9"/>
      <c r="P7" s="9"/>
      <c r="Q7" s="5"/>
      <c r="R7" s="2"/>
      <c r="S7" s="7"/>
      <c r="T7" s="2"/>
      <c r="U7" s="2"/>
      <c r="V7" s="13"/>
    </row>
    <row r="8" spans="1:22" x14ac:dyDescent="0.25">
      <c r="A8" s="6" t="s">
        <v>16</v>
      </c>
      <c r="B8" s="6">
        <v>-1.3</v>
      </c>
      <c r="C8" s="14"/>
      <c r="D8" s="10"/>
      <c r="E8" s="10"/>
      <c r="F8" s="10"/>
      <c r="G8" s="5"/>
      <c r="H8" s="10"/>
      <c r="I8" s="10"/>
      <c r="J8" s="5"/>
      <c r="K8" s="5"/>
      <c r="L8" s="11"/>
      <c r="M8" s="5"/>
      <c r="N8" s="10"/>
      <c r="O8" s="9"/>
      <c r="P8" s="9"/>
      <c r="Q8" s="5"/>
      <c r="R8" s="2"/>
      <c r="S8" s="7"/>
      <c r="T8" s="2"/>
      <c r="U8" s="2"/>
      <c r="V8" s="13"/>
    </row>
    <row r="9" spans="1:22" x14ac:dyDescent="0.25">
      <c r="A9" s="6" t="s">
        <v>17</v>
      </c>
      <c r="B9" s="6">
        <v>0</v>
      </c>
      <c r="C9" s="14"/>
      <c r="D9" s="10"/>
      <c r="E9" s="10"/>
      <c r="F9" s="10"/>
      <c r="G9" s="5"/>
      <c r="H9" s="10"/>
      <c r="I9" s="10"/>
      <c r="J9" s="5"/>
      <c r="K9" s="5"/>
      <c r="L9" s="11"/>
      <c r="M9" s="5"/>
      <c r="N9" s="10"/>
      <c r="O9" s="9"/>
      <c r="P9" s="9"/>
      <c r="Q9" s="5"/>
      <c r="R9" s="2"/>
      <c r="S9" s="7"/>
      <c r="T9" s="2"/>
      <c r="U9" s="2"/>
      <c r="V9" s="13"/>
    </row>
    <row r="10" spans="1:22" x14ac:dyDescent="0.25">
      <c r="A10" s="6" t="s">
        <v>32</v>
      </c>
      <c r="B10" s="6">
        <v>0.7</v>
      </c>
      <c r="C10" s="14"/>
      <c r="D10" s="10"/>
      <c r="E10" s="10"/>
      <c r="F10" s="10"/>
      <c r="G10" s="5"/>
      <c r="H10" s="10"/>
      <c r="I10" s="10"/>
      <c r="J10" s="5"/>
      <c r="K10" s="5"/>
      <c r="L10" s="11"/>
      <c r="M10" s="5"/>
      <c r="N10" s="10"/>
      <c r="O10" s="9"/>
      <c r="P10" s="9"/>
      <c r="Q10" s="5"/>
      <c r="R10" s="2"/>
      <c r="S10" s="7"/>
      <c r="T10" s="2"/>
      <c r="U10" s="2"/>
      <c r="V10" s="13"/>
    </row>
    <row r="11" spans="1:22" x14ac:dyDescent="0.25">
      <c r="A11" s="6" t="s">
        <v>33</v>
      </c>
      <c r="B11" s="6">
        <v>1.0000000000000001E-30</v>
      </c>
      <c r="C11" s="14"/>
      <c r="D11" s="10"/>
      <c r="E11" s="10"/>
      <c r="F11" s="10"/>
      <c r="G11" s="5"/>
      <c r="H11" s="10"/>
      <c r="I11" s="10"/>
      <c r="J11" s="5"/>
      <c r="K11" s="5"/>
      <c r="L11" s="11"/>
      <c r="M11" s="5"/>
      <c r="N11" s="10"/>
      <c r="O11" s="9"/>
      <c r="P11" s="9"/>
      <c r="Q11" s="5"/>
      <c r="R11" s="2"/>
      <c r="S11" s="7"/>
      <c r="T11" s="2"/>
      <c r="U11" s="2"/>
      <c r="V11" s="13"/>
    </row>
    <row r="12" spans="1:22" x14ac:dyDescent="0.25">
      <c r="A12" s="6" t="s">
        <v>34</v>
      </c>
      <c r="B12" s="6">
        <v>1E+30</v>
      </c>
      <c r="C12" s="14"/>
      <c r="D12" s="10"/>
      <c r="E12" s="10"/>
      <c r="F12" s="10"/>
      <c r="G12" s="5"/>
      <c r="H12" s="10"/>
      <c r="I12" s="10"/>
      <c r="J12" s="5"/>
      <c r="K12" s="5"/>
      <c r="L12" s="11"/>
      <c r="M12" s="5"/>
      <c r="N12" s="10"/>
      <c r="O12" s="9"/>
      <c r="P12" s="9"/>
      <c r="Q12" s="5"/>
      <c r="R12" s="2"/>
      <c r="S12" s="7"/>
      <c r="T12" s="2"/>
      <c r="U12" s="2"/>
      <c r="V12" s="13"/>
    </row>
    <row r="13" spans="1:22" x14ac:dyDescent="0.25">
      <c r="A13" s="6" t="s">
        <v>35</v>
      </c>
      <c r="B13" s="6">
        <v>1E+30</v>
      </c>
      <c r="C13" s="6"/>
      <c r="D13" s="10"/>
      <c r="E13" s="10"/>
      <c r="F13" s="10"/>
      <c r="G13" s="5"/>
      <c r="H13" s="10"/>
      <c r="I13" s="10"/>
      <c r="J13" s="5"/>
      <c r="K13" s="5"/>
      <c r="L13" s="11"/>
      <c r="M13" s="5"/>
      <c r="N13" s="10"/>
      <c r="O13" s="9"/>
      <c r="P13" s="9"/>
      <c r="Q13" s="5"/>
      <c r="R13" s="2"/>
      <c r="S13" s="7"/>
      <c r="T13" s="2"/>
      <c r="U13" s="2"/>
      <c r="V13" s="13"/>
    </row>
    <row r="14" spans="1:22" x14ac:dyDescent="0.25">
      <c r="A14" s="6"/>
      <c r="B14" s="6"/>
      <c r="C14" s="6"/>
      <c r="D14" s="10"/>
      <c r="E14" s="10"/>
      <c r="F14" s="10"/>
      <c r="G14" s="5"/>
      <c r="H14" s="10"/>
      <c r="I14" s="10"/>
      <c r="J14" s="5"/>
      <c r="K14" s="5"/>
      <c r="L14" s="11"/>
      <c r="M14" s="5"/>
      <c r="N14" s="10"/>
      <c r="O14" s="9"/>
      <c r="P14" s="9"/>
      <c r="Q14" s="5"/>
      <c r="R14" s="2"/>
      <c r="S14" s="7"/>
      <c r="T14" s="2"/>
      <c r="U14" s="2"/>
      <c r="V14" s="13"/>
    </row>
    <row r="15" spans="1:22" x14ac:dyDescent="0.25">
      <c r="A15" s="6"/>
      <c r="B15" s="15"/>
      <c r="C15" s="6"/>
      <c r="D15" s="10"/>
      <c r="E15" s="10"/>
      <c r="F15" s="10"/>
      <c r="G15" s="5"/>
      <c r="H15" s="10"/>
      <c r="I15" s="10"/>
      <c r="J15" s="5"/>
      <c r="K15" s="5"/>
      <c r="L15" s="11"/>
      <c r="M15" s="5"/>
      <c r="N15" s="10"/>
      <c r="O15" s="1"/>
      <c r="P15" s="1"/>
      <c r="Q15" s="5"/>
      <c r="R15" s="2"/>
      <c r="S15" s="6"/>
      <c r="T15" s="2"/>
      <c r="U15" s="2"/>
    </row>
    <row r="16" spans="1:22" x14ac:dyDescent="0.25">
      <c r="A16" s="6"/>
      <c r="B16" s="16"/>
      <c r="C16" s="6"/>
      <c r="O16" s="1"/>
      <c r="P16" s="1"/>
      <c r="Q16" s="5"/>
      <c r="R16" s="2"/>
      <c r="S16" s="7"/>
      <c r="T16" s="2"/>
      <c r="U16" s="2"/>
    </row>
    <row r="17" spans="1:20" x14ac:dyDescent="0.25">
      <c r="A17" s="6"/>
      <c r="B17" s="16"/>
      <c r="C17" s="6"/>
      <c r="D17" s="10"/>
      <c r="E17" s="10"/>
      <c r="F17" s="10"/>
      <c r="G17" s="5"/>
      <c r="H17" s="10"/>
      <c r="I17" s="10"/>
      <c r="J17" s="5"/>
      <c r="K17" s="5"/>
      <c r="L17" s="11"/>
      <c r="M17" s="5"/>
      <c r="N17" s="10"/>
      <c r="O17" s="4"/>
      <c r="P17" s="4"/>
      <c r="Q17" s="5"/>
      <c r="R17" s="6"/>
      <c r="S17" s="7"/>
      <c r="T17" s="6"/>
    </row>
    <row r="18" spans="1:20" x14ac:dyDescent="0.25">
      <c r="B18" s="12"/>
      <c r="D18" s="10"/>
      <c r="E18" s="10"/>
      <c r="F18" s="10"/>
      <c r="G18" s="5"/>
      <c r="H18" s="10"/>
      <c r="I18" s="10"/>
      <c r="J18" s="5"/>
      <c r="K18" s="5"/>
      <c r="L18" s="11"/>
      <c r="M18" s="5"/>
      <c r="N18" s="10"/>
      <c r="O18" s="4"/>
      <c r="P18" s="4"/>
      <c r="Q18" s="5"/>
      <c r="S18" s="7"/>
    </row>
    <row r="19" spans="1:20" x14ac:dyDescent="0.25">
      <c r="B19" s="9"/>
      <c r="D19" s="10"/>
      <c r="E19" s="10"/>
      <c r="F19" s="10"/>
      <c r="G19" s="5"/>
      <c r="H19" s="10"/>
      <c r="I19" s="10"/>
      <c r="J19" s="5"/>
      <c r="K19" s="5"/>
      <c r="L19" s="11"/>
      <c r="M19" s="5"/>
      <c r="N19" s="10"/>
      <c r="O19" s="4"/>
      <c r="P19" s="4"/>
      <c r="Q19" s="5"/>
      <c r="S19" s="7"/>
    </row>
    <row r="20" spans="1:20" x14ac:dyDescent="0.25">
      <c r="B20" s="7"/>
      <c r="D20" s="10"/>
      <c r="E20" s="10"/>
      <c r="F20" s="10"/>
      <c r="G20" s="5"/>
      <c r="H20" s="10"/>
      <c r="I20" s="10"/>
      <c r="J20" s="5"/>
      <c r="K20" s="5"/>
      <c r="L20" s="11"/>
      <c r="M20" s="5"/>
      <c r="N20" s="10"/>
      <c r="O20" s="4"/>
      <c r="P20" s="4"/>
      <c r="Q20" s="5"/>
      <c r="S20" s="7"/>
    </row>
    <row r="21" spans="1:20" x14ac:dyDescent="0.25">
      <c r="B21" s="7"/>
      <c r="D21" s="10"/>
      <c r="E21" s="10"/>
      <c r="F21" s="10"/>
      <c r="G21" s="5"/>
      <c r="H21" s="10"/>
      <c r="I21" s="10"/>
      <c r="J21" s="5"/>
      <c r="K21" s="5"/>
      <c r="L21" s="11"/>
      <c r="M21" s="5"/>
      <c r="N21" s="10"/>
      <c r="O21" s="4"/>
      <c r="P21" s="4"/>
      <c r="Q21" s="5"/>
      <c r="S21" s="7"/>
    </row>
    <row r="22" spans="1:20" x14ac:dyDescent="0.25">
      <c r="B22" s="12"/>
      <c r="D22" s="10"/>
      <c r="E22" s="10"/>
      <c r="F22" s="10"/>
      <c r="G22" s="5"/>
      <c r="H22" s="10"/>
      <c r="I22" s="10"/>
      <c r="J22" s="5"/>
      <c r="K22" s="5"/>
      <c r="L22" s="11"/>
      <c r="M22" s="5"/>
      <c r="N22" s="10"/>
      <c r="O22" s="4"/>
      <c r="P22" s="4"/>
      <c r="Q22" s="5"/>
      <c r="S22" s="7"/>
    </row>
    <row r="23" spans="1:20" x14ac:dyDescent="0.25">
      <c r="B23" s="9"/>
      <c r="D23" s="10"/>
      <c r="E23" s="10"/>
      <c r="F23" s="10"/>
      <c r="G23" s="5"/>
      <c r="H23" s="10"/>
      <c r="I23" s="10"/>
      <c r="J23" s="5"/>
      <c r="K23" s="5"/>
      <c r="L23" s="11"/>
      <c r="M23" s="5"/>
      <c r="N23" s="10"/>
      <c r="O23" s="4"/>
      <c r="P23" s="4"/>
      <c r="Q23" s="5"/>
      <c r="S23" s="7"/>
    </row>
    <row r="24" spans="1:20" x14ac:dyDescent="0.25">
      <c r="B24" s="7"/>
      <c r="D24" s="10"/>
      <c r="E24" s="10"/>
      <c r="F24" s="10"/>
      <c r="G24" s="5"/>
      <c r="H24" s="10"/>
      <c r="I24" s="10"/>
      <c r="J24" s="5"/>
      <c r="K24" s="5"/>
      <c r="L24" s="11"/>
      <c r="M24" s="5"/>
      <c r="N24" s="10"/>
      <c r="O24" s="4"/>
      <c r="P24" s="4"/>
      <c r="Q24" s="5"/>
      <c r="S24" s="7"/>
    </row>
    <row r="25" spans="1:20" x14ac:dyDescent="0.25">
      <c r="B25" s="7"/>
      <c r="D25" s="10"/>
      <c r="E25" s="10"/>
      <c r="F25" s="10"/>
      <c r="G25" s="5"/>
      <c r="H25" s="10"/>
      <c r="I25" s="10"/>
      <c r="J25" s="5"/>
      <c r="K25" s="5"/>
      <c r="L25" s="11"/>
      <c r="M25" s="5"/>
      <c r="N25" s="10"/>
      <c r="O25" s="4"/>
      <c r="P25" s="4"/>
      <c r="Q25" s="5"/>
      <c r="S25" s="7"/>
    </row>
    <row r="26" spans="1:20" x14ac:dyDescent="0.25">
      <c r="B26" s="14"/>
      <c r="D26" s="10"/>
      <c r="E26" s="10"/>
      <c r="F26" s="10"/>
      <c r="G26" s="5"/>
      <c r="H26" s="10"/>
      <c r="I26" s="10"/>
      <c r="J26" s="5"/>
      <c r="K26" s="5"/>
      <c r="L26" s="11"/>
      <c r="M26" s="5"/>
      <c r="N26" s="10"/>
      <c r="O26" s="4"/>
      <c r="P26" s="4"/>
      <c r="Q26" s="5"/>
      <c r="S26" s="7"/>
    </row>
    <row r="27" spans="1:20" x14ac:dyDescent="0.25">
      <c r="B27" s="14"/>
      <c r="D27" s="10"/>
      <c r="E27" s="10"/>
      <c r="F27" s="10"/>
      <c r="G27" s="5"/>
      <c r="H27" s="10"/>
      <c r="I27" s="10"/>
      <c r="J27" s="5"/>
      <c r="K27" s="5"/>
      <c r="L27" s="11"/>
      <c r="M27" s="5"/>
      <c r="N27" s="10"/>
      <c r="O27" s="4"/>
      <c r="P27" s="4"/>
      <c r="Q27" s="5"/>
    </row>
    <row r="28" spans="1:20" x14ac:dyDescent="0.25">
      <c r="D28" s="10"/>
      <c r="E28" s="10"/>
      <c r="F28" s="10"/>
      <c r="G28" s="5"/>
      <c r="H28" s="10"/>
      <c r="I28" s="10"/>
      <c r="J28" s="5"/>
      <c r="K28" s="5"/>
      <c r="L28" s="11"/>
      <c r="M28" s="5"/>
      <c r="N28" s="10"/>
      <c r="O28" s="4"/>
      <c r="P28" s="4"/>
      <c r="Q28" s="5"/>
    </row>
    <row r="29" spans="1:20" x14ac:dyDescent="0.25">
      <c r="D29" s="10"/>
      <c r="E29" s="10"/>
      <c r="F29" s="10"/>
      <c r="G29" s="5"/>
      <c r="H29" s="10"/>
      <c r="I29" s="10"/>
      <c r="J29" s="5"/>
      <c r="K29" s="5"/>
      <c r="L29" s="11"/>
      <c r="M29" s="5"/>
      <c r="N29" s="10"/>
      <c r="O29" s="4"/>
      <c r="P29" s="4"/>
      <c r="Q29" s="5"/>
    </row>
    <row r="30" spans="1:20" x14ac:dyDescent="0.25">
      <c r="D30" s="10"/>
      <c r="E30" s="10"/>
      <c r="F30" s="10"/>
      <c r="G30" s="5"/>
      <c r="H30" s="10"/>
      <c r="I30" s="10"/>
      <c r="J30" s="5"/>
      <c r="K30" s="5"/>
      <c r="L30" s="11"/>
      <c r="M30" s="5"/>
      <c r="N30" s="10"/>
      <c r="O30" s="4"/>
      <c r="P30" s="4"/>
      <c r="Q30" s="5"/>
    </row>
    <row r="31" spans="1:20" x14ac:dyDescent="0.25">
      <c r="D31" s="10"/>
      <c r="E31" s="10"/>
      <c r="F31" s="10"/>
      <c r="G31" s="5"/>
      <c r="H31" s="10"/>
      <c r="I31" s="10"/>
      <c r="J31" s="5"/>
      <c r="K31" s="5"/>
      <c r="L31" s="11"/>
      <c r="M31" s="5"/>
      <c r="N31" s="10"/>
      <c r="O31" s="4"/>
      <c r="P31" s="4"/>
      <c r="Q31" s="5"/>
    </row>
    <row r="32" spans="1:20" x14ac:dyDescent="0.25">
      <c r="D32" s="10"/>
      <c r="E32" s="10"/>
      <c r="F32" s="10"/>
      <c r="G32" s="5"/>
      <c r="H32" s="10"/>
      <c r="I32" s="10"/>
      <c r="J32" s="5"/>
      <c r="K32" s="5"/>
      <c r="L32" s="11"/>
      <c r="M32" s="5"/>
      <c r="N32" s="10"/>
      <c r="O32" s="4"/>
      <c r="P32" s="4"/>
      <c r="Q32" s="5"/>
    </row>
    <row r="33" spans="4:17" x14ac:dyDescent="0.25">
      <c r="D33" s="10"/>
      <c r="E33" s="10"/>
      <c r="F33" s="10"/>
      <c r="G33" s="5"/>
      <c r="H33" s="10"/>
      <c r="I33" s="10"/>
      <c r="J33" s="5"/>
      <c r="K33" s="5"/>
      <c r="L33" s="11"/>
      <c r="M33" s="5"/>
      <c r="N33" s="10"/>
      <c r="O33" s="4"/>
      <c r="P33" s="4"/>
      <c r="Q33" s="5"/>
    </row>
    <row r="34" spans="4:17" x14ac:dyDescent="0.25">
      <c r="D34" s="10"/>
      <c r="E34" s="10"/>
      <c r="F34" s="10"/>
      <c r="G34" s="5"/>
      <c r="H34" s="10"/>
      <c r="I34" s="10"/>
      <c r="J34" s="5"/>
      <c r="K34" s="5"/>
      <c r="L34" s="11"/>
      <c r="M34" s="5"/>
      <c r="N34" s="10"/>
      <c r="O34" s="4"/>
      <c r="P34" s="4"/>
      <c r="Q34" s="5"/>
    </row>
    <row r="35" spans="4:17" x14ac:dyDescent="0.25">
      <c r="D35" s="10"/>
      <c r="E35" s="10"/>
      <c r="F35" s="10"/>
      <c r="G35" s="5"/>
      <c r="H35" s="10"/>
      <c r="I35" s="10"/>
      <c r="J35" s="5"/>
      <c r="K35" s="5"/>
      <c r="L35" s="11"/>
      <c r="M35" s="5"/>
      <c r="N35" s="10"/>
      <c r="O35" s="4"/>
      <c r="P35" s="4"/>
      <c r="Q35" s="5"/>
    </row>
    <row r="36" spans="4:17" x14ac:dyDescent="0.25">
      <c r="D36" s="10"/>
      <c r="E36" s="10"/>
      <c r="F36" s="10"/>
      <c r="G36" s="5"/>
      <c r="H36" s="10"/>
      <c r="I36" s="10"/>
      <c r="J36" s="5"/>
      <c r="K36" s="5"/>
      <c r="L36" s="11"/>
      <c r="M36" s="5"/>
      <c r="N36" s="10"/>
      <c r="O36" s="4"/>
      <c r="P36" s="4"/>
      <c r="Q36" s="5"/>
    </row>
    <row r="37" spans="4:17" x14ac:dyDescent="0.25">
      <c r="D37" s="10"/>
      <c r="E37" s="10"/>
      <c r="F37" s="10"/>
      <c r="G37" s="5"/>
      <c r="H37" s="10"/>
      <c r="I37" s="10"/>
      <c r="J37" s="5"/>
      <c r="K37" s="5"/>
      <c r="L37" s="11"/>
      <c r="M37" s="5"/>
      <c r="N37" s="10"/>
      <c r="O37" s="4"/>
      <c r="P37" s="4"/>
      <c r="Q37" s="5"/>
    </row>
    <row r="38" spans="4:17" x14ac:dyDescent="0.25">
      <c r="D38" s="10"/>
      <c r="E38" s="10"/>
      <c r="F38" s="10"/>
      <c r="G38" s="5"/>
      <c r="H38" s="10"/>
      <c r="I38" s="10"/>
      <c r="J38" s="5"/>
      <c r="K38" s="5"/>
      <c r="L38" s="11"/>
      <c r="M38" s="5"/>
      <c r="N38" s="10"/>
      <c r="O38" s="4"/>
      <c r="P38" s="4"/>
      <c r="Q38" s="5"/>
    </row>
    <row r="39" spans="4:17" x14ac:dyDescent="0.25">
      <c r="D39" s="10"/>
      <c r="E39" s="10"/>
      <c r="F39" s="10"/>
      <c r="G39" s="5"/>
      <c r="H39" s="10"/>
      <c r="I39" s="10"/>
      <c r="J39" s="5"/>
      <c r="K39" s="5"/>
      <c r="L39" s="11"/>
      <c r="M39" s="5"/>
      <c r="N39" s="10"/>
      <c r="O39" s="4"/>
      <c r="P39" s="4"/>
      <c r="Q39" s="5"/>
    </row>
    <row r="40" spans="4:17" x14ac:dyDescent="0.25">
      <c r="D40" s="10"/>
      <c r="E40" s="10"/>
      <c r="F40" s="10"/>
      <c r="G40" s="5"/>
      <c r="H40" s="10"/>
      <c r="I40" s="10"/>
      <c r="J40" s="5"/>
      <c r="K40" s="5"/>
      <c r="L40" s="11"/>
      <c r="M40" s="5"/>
      <c r="N40" s="10"/>
      <c r="O40" s="4"/>
      <c r="P40" s="4"/>
      <c r="Q40" s="5"/>
    </row>
    <row r="41" spans="4:17" x14ac:dyDescent="0.25">
      <c r="D41" s="10"/>
      <c r="E41" s="10"/>
      <c r="F41" s="10"/>
      <c r="G41" s="5"/>
      <c r="H41" s="10"/>
      <c r="I41" s="10"/>
      <c r="J41" s="5"/>
      <c r="K41" s="5"/>
      <c r="L41" s="11"/>
      <c r="M41" s="5"/>
      <c r="N41" s="10"/>
      <c r="O41" s="4"/>
      <c r="P41" s="4"/>
      <c r="Q41" s="5"/>
    </row>
    <row r="42" spans="4:17" x14ac:dyDescent="0.25">
      <c r="D42" s="10"/>
      <c r="E42" s="10"/>
      <c r="F42" s="10"/>
      <c r="G42" s="5"/>
      <c r="H42" s="10"/>
      <c r="I42" s="10"/>
      <c r="J42" s="5"/>
      <c r="K42" s="5"/>
      <c r="L42" s="11"/>
      <c r="M42" s="5"/>
      <c r="N42" s="10"/>
      <c r="O42" s="4"/>
      <c r="P42" s="4"/>
      <c r="Q42" s="5"/>
    </row>
    <row r="43" spans="4:17" x14ac:dyDescent="0.25">
      <c r="D43" s="10"/>
      <c r="E43" s="10"/>
      <c r="F43" s="10"/>
      <c r="G43" s="5"/>
      <c r="H43" s="10"/>
      <c r="I43" s="10"/>
      <c r="J43" s="5"/>
      <c r="K43" s="5"/>
      <c r="L43" s="11"/>
      <c r="M43" s="5"/>
      <c r="N43" s="10"/>
      <c r="O43" s="4"/>
      <c r="P43" s="4"/>
      <c r="Q43" s="5"/>
    </row>
    <row r="44" spans="4:17" x14ac:dyDescent="0.25">
      <c r="D44" s="10"/>
      <c r="E44" s="10"/>
      <c r="F44" s="10"/>
      <c r="G44" s="5"/>
      <c r="H44" s="10"/>
      <c r="I44" s="10"/>
      <c r="J44" s="5"/>
      <c r="K44" s="5"/>
      <c r="L44" s="11"/>
      <c r="M44" s="5"/>
      <c r="N44" s="10"/>
      <c r="O44" s="4"/>
      <c r="P44" s="4"/>
      <c r="Q44" s="5"/>
    </row>
    <row r="45" spans="4:17" x14ac:dyDescent="0.25">
      <c r="D45" s="10"/>
      <c r="E45" s="10"/>
      <c r="F45" s="10"/>
      <c r="G45" s="5"/>
      <c r="H45" s="10"/>
      <c r="I45" s="10"/>
      <c r="J45" s="5"/>
      <c r="K45" s="5"/>
      <c r="L45" s="11"/>
      <c r="M45" s="5"/>
      <c r="N45" s="10"/>
      <c r="O45" s="4"/>
      <c r="P45" s="4"/>
      <c r="Q45" s="5"/>
    </row>
    <row r="46" spans="4:17" x14ac:dyDescent="0.25">
      <c r="D46" s="10"/>
      <c r="E46" s="10"/>
      <c r="F46" s="10"/>
      <c r="G46" s="5"/>
      <c r="H46" s="10"/>
      <c r="I46" s="10"/>
      <c r="J46" s="5"/>
      <c r="K46" s="5"/>
      <c r="L46" s="11"/>
      <c r="M46" s="5"/>
      <c r="N46" s="10"/>
      <c r="O46" s="4"/>
      <c r="P46" s="4"/>
      <c r="Q46" s="5"/>
    </row>
    <row r="47" spans="4:17" x14ac:dyDescent="0.25">
      <c r="D47" s="10"/>
      <c r="E47" s="10"/>
      <c r="F47" s="10"/>
      <c r="G47" s="5"/>
      <c r="H47" s="10"/>
      <c r="I47" s="10"/>
      <c r="J47" s="5"/>
      <c r="K47" s="5"/>
      <c r="L47" s="11"/>
      <c r="M47" s="5"/>
      <c r="N47" s="10"/>
      <c r="O47" s="4"/>
      <c r="P47" s="4"/>
      <c r="Q47" s="5"/>
    </row>
    <row r="48" spans="4:17" x14ac:dyDescent="0.25">
      <c r="D48" s="10"/>
      <c r="E48" s="10"/>
      <c r="F48" s="10"/>
      <c r="G48" s="5"/>
      <c r="H48" s="10"/>
      <c r="I48" s="10"/>
      <c r="J48" s="5"/>
      <c r="K48" s="5"/>
      <c r="L48" s="11"/>
      <c r="M48" s="5"/>
      <c r="N48" s="10"/>
      <c r="O48" s="4"/>
      <c r="P48" s="4"/>
      <c r="Q48" s="5"/>
    </row>
    <row r="49" spans="4:17" x14ac:dyDescent="0.25">
      <c r="D49" s="10"/>
      <c r="E49" s="10"/>
      <c r="F49" s="10"/>
      <c r="G49" s="5"/>
      <c r="H49" s="10"/>
      <c r="I49" s="10"/>
      <c r="J49" s="5"/>
      <c r="K49" s="5"/>
      <c r="L49" s="11"/>
      <c r="M49" s="5"/>
      <c r="N49" s="10"/>
      <c r="O49" s="4"/>
      <c r="P49" s="4"/>
      <c r="Q49" s="5"/>
    </row>
    <row r="50" spans="4:17" x14ac:dyDescent="0.25">
      <c r="D50" s="10"/>
      <c r="E50" s="10"/>
      <c r="F50" s="10"/>
      <c r="G50" s="5"/>
      <c r="H50" s="10"/>
      <c r="I50" s="10"/>
      <c r="J50" s="5"/>
      <c r="K50" s="5"/>
      <c r="L50" s="11"/>
      <c r="M50" s="5"/>
      <c r="N50" s="10"/>
      <c r="O50" s="4"/>
      <c r="P50" s="4"/>
      <c r="Q50" s="5"/>
    </row>
    <row r="51" spans="4:17" x14ac:dyDescent="0.25">
      <c r="D51" s="10"/>
      <c r="E51" s="10"/>
      <c r="F51" s="10"/>
      <c r="G51" s="5"/>
      <c r="H51" s="10"/>
      <c r="I51" s="10"/>
      <c r="J51" s="5"/>
      <c r="K51" s="5"/>
      <c r="L51" s="11"/>
      <c r="M51" s="5"/>
      <c r="N51" s="10"/>
      <c r="O51" s="1"/>
      <c r="P51" s="1"/>
      <c r="Q51" s="5"/>
    </row>
    <row r="52" spans="4:17" x14ac:dyDescent="0.25">
      <c r="D52" s="10"/>
      <c r="E52" s="10"/>
      <c r="F52" s="10"/>
      <c r="G52" s="5"/>
      <c r="H52" s="10"/>
      <c r="I52" s="10"/>
      <c r="J52" s="5"/>
      <c r="K52" s="5"/>
      <c r="L52" s="11"/>
      <c r="M52" s="5"/>
      <c r="N52" s="10"/>
      <c r="O52" s="1"/>
      <c r="P52" s="1"/>
      <c r="Q52" s="5"/>
    </row>
    <row r="53" spans="4:17" x14ac:dyDescent="0.25">
      <c r="D53" s="10"/>
      <c r="E53" s="10"/>
      <c r="F53" s="10"/>
      <c r="G53" s="5"/>
      <c r="H53" s="10"/>
      <c r="I53" s="10"/>
      <c r="J53" s="5"/>
      <c r="K53" s="5"/>
      <c r="L53" s="11"/>
      <c r="M53" s="5"/>
      <c r="N53" s="10"/>
      <c r="O53" s="4"/>
      <c r="P53" s="4"/>
      <c r="Q53" s="5"/>
    </row>
    <row r="54" spans="4:17" x14ac:dyDescent="0.25">
      <c r="D54" s="10"/>
      <c r="E54" s="10"/>
      <c r="F54" s="10"/>
      <c r="G54" s="5"/>
      <c r="H54" s="10"/>
      <c r="I54" s="10"/>
      <c r="J54" s="5"/>
      <c r="K54" s="5"/>
      <c r="L54" s="11"/>
      <c r="M54" s="5"/>
      <c r="N54" s="10"/>
      <c r="O54" s="4"/>
      <c r="P54" s="4"/>
      <c r="Q54" s="5"/>
    </row>
    <row r="55" spans="4:17" x14ac:dyDescent="0.25">
      <c r="D55" s="10"/>
      <c r="E55" s="10"/>
      <c r="F55" s="10"/>
      <c r="G55" s="5"/>
      <c r="H55" s="10"/>
      <c r="I55" s="10"/>
      <c r="J55" s="5"/>
      <c r="K55" s="5"/>
      <c r="L55" s="11"/>
      <c r="M55" s="5"/>
      <c r="N55" s="10"/>
      <c r="O55" s="4"/>
      <c r="P55" s="4"/>
      <c r="Q55" s="5"/>
    </row>
    <row r="56" spans="4:17" x14ac:dyDescent="0.25">
      <c r="D56" s="10"/>
      <c r="E56" s="10"/>
      <c r="F56" s="10"/>
      <c r="G56" s="5"/>
      <c r="H56" s="10"/>
      <c r="I56" s="10"/>
      <c r="J56" s="5"/>
      <c r="K56" s="5"/>
      <c r="L56" s="11"/>
      <c r="M56" s="5"/>
      <c r="N56" s="10"/>
      <c r="O56" s="4"/>
      <c r="P56" s="4"/>
      <c r="Q56" s="5"/>
    </row>
    <row r="57" spans="4:17" x14ac:dyDescent="0.25">
      <c r="D57" s="10"/>
      <c r="E57" s="10"/>
      <c r="F57" s="10"/>
      <c r="G57" s="5"/>
      <c r="H57" s="10"/>
      <c r="I57" s="10"/>
      <c r="J57" s="5"/>
      <c r="K57" s="5"/>
      <c r="L57" s="11"/>
      <c r="M57" s="5"/>
      <c r="N57" s="10"/>
      <c r="O57" s="4"/>
      <c r="P57" s="4"/>
      <c r="Q57" s="5"/>
    </row>
    <row r="58" spans="4:17" x14ac:dyDescent="0.25">
      <c r="D58" s="10"/>
      <c r="E58" s="10"/>
      <c r="F58" s="10"/>
      <c r="G58" s="5"/>
      <c r="H58" s="10"/>
      <c r="I58" s="10"/>
      <c r="J58" s="5"/>
      <c r="K58" s="5"/>
      <c r="L58" s="11"/>
      <c r="M58" s="5"/>
      <c r="N58" s="10"/>
      <c r="O58" s="4"/>
      <c r="P58" s="4"/>
      <c r="Q58" s="5"/>
    </row>
    <row r="59" spans="4:17" x14ac:dyDescent="0.25">
      <c r="D59" s="10"/>
      <c r="E59" s="10"/>
      <c r="F59" s="10"/>
      <c r="G59" s="5"/>
      <c r="H59" s="10"/>
      <c r="I59" s="10"/>
      <c r="J59" s="5"/>
      <c r="K59" s="5"/>
      <c r="L59" s="11"/>
      <c r="M59" s="5"/>
      <c r="N59" s="10"/>
      <c r="O59" s="4"/>
      <c r="P59" s="4"/>
      <c r="Q59" s="5"/>
    </row>
    <row r="60" spans="4:17" x14ac:dyDescent="0.25">
      <c r="D60" s="10"/>
      <c r="E60" s="10"/>
      <c r="F60" s="10"/>
      <c r="G60" s="5"/>
      <c r="H60" s="10"/>
      <c r="I60" s="10"/>
      <c r="J60" s="5"/>
      <c r="K60" s="5"/>
      <c r="L60" s="11"/>
      <c r="M60" s="5"/>
      <c r="N60" s="10"/>
      <c r="O60" s="4"/>
      <c r="P60" s="4"/>
      <c r="Q60" s="5"/>
    </row>
    <row r="61" spans="4:17" x14ac:dyDescent="0.25">
      <c r="D61" s="10"/>
      <c r="E61" s="10"/>
      <c r="F61" s="10"/>
      <c r="G61" s="5"/>
      <c r="H61" s="10"/>
      <c r="I61" s="10"/>
      <c r="J61" s="5"/>
      <c r="K61" s="5"/>
      <c r="L61" s="11"/>
      <c r="M61" s="5"/>
      <c r="N61" s="10"/>
      <c r="O61" s="4"/>
      <c r="P61" s="4"/>
      <c r="Q61" s="5"/>
    </row>
    <row r="62" spans="4:17" x14ac:dyDescent="0.25">
      <c r="D62" s="10"/>
      <c r="E62" s="10"/>
      <c r="F62" s="10"/>
      <c r="G62" s="5"/>
      <c r="H62" s="10"/>
      <c r="I62" s="10"/>
      <c r="J62" s="5"/>
      <c r="K62" s="5"/>
      <c r="L62" s="11"/>
      <c r="M62" s="5"/>
      <c r="N62" s="10"/>
      <c r="O62" s="4"/>
      <c r="P62" s="4"/>
      <c r="Q62" s="5"/>
    </row>
    <row r="63" spans="4:17" x14ac:dyDescent="0.25">
      <c r="D63" s="10"/>
      <c r="E63" s="10"/>
      <c r="F63" s="10"/>
      <c r="G63" s="5"/>
      <c r="H63" s="10"/>
      <c r="I63" s="10"/>
      <c r="J63" s="5"/>
      <c r="K63" s="5"/>
      <c r="L63" s="11"/>
      <c r="M63" s="5"/>
      <c r="N63" s="10"/>
      <c r="O63" s="4"/>
      <c r="P63" s="4"/>
      <c r="Q63" s="5"/>
    </row>
    <row r="65" spans="4:17" x14ac:dyDescent="0.25">
      <c r="D65" s="10"/>
      <c r="E65" s="10"/>
      <c r="F65" s="10"/>
      <c r="G65" s="5"/>
      <c r="H65" s="10"/>
      <c r="I65" s="10"/>
      <c r="J65" s="5"/>
      <c r="K65" s="5"/>
      <c r="L65" s="11"/>
      <c r="M65" s="5"/>
      <c r="N65" s="10"/>
      <c r="O65" s="1"/>
      <c r="P65" s="1"/>
      <c r="Q65" s="1"/>
    </row>
    <row r="66" spans="4:17" x14ac:dyDescent="0.25">
      <c r="D66" s="10"/>
      <c r="E66" s="10"/>
      <c r="F66" s="10"/>
      <c r="G66" s="5"/>
      <c r="H66" s="10"/>
      <c r="I66" s="10"/>
      <c r="J66" s="5"/>
      <c r="K66" s="5"/>
      <c r="L66" s="11"/>
      <c r="M66" s="5"/>
      <c r="N66" s="10"/>
      <c r="O66" s="4"/>
      <c r="P66" s="4"/>
      <c r="Q66" s="5"/>
    </row>
    <row r="67" spans="4:17" x14ac:dyDescent="0.25">
      <c r="D67" s="10"/>
      <c r="E67" s="10"/>
      <c r="F67" s="10"/>
      <c r="G67" s="5"/>
      <c r="H67" s="10"/>
      <c r="I67" s="10"/>
      <c r="J67" s="5"/>
      <c r="K67" s="5"/>
      <c r="L67" s="11"/>
      <c r="M67" s="5"/>
      <c r="N67" s="10"/>
      <c r="O67" s="4"/>
      <c r="P67" s="4"/>
      <c r="Q67" s="5"/>
    </row>
    <row r="68" spans="4:17" x14ac:dyDescent="0.25">
      <c r="D68" s="10"/>
      <c r="E68" s="10"/>
      <c r="F68" s="10"/>
      <c r="G68" s="5"/>
      <c r="H68" s="10"/>
      <c r="I68" s="10"/>
      <c r="J68" s="5"/>
      <c r="K68" s="5"/>
      <c r="L68" s="11"/>
      <c r="M68" s="5"/>
      <c r="N68" s="10"/>
      <c r="O68" s="4"/>
      <c r="P68" s="4"/>
      <c r="Q68" s="5"/>
    </row>
    <row r="69" spans="4:17" x14ac:dyDescent="0.25">
      <c r="D69" s="10"/>
      <c r="E69" s="10"/>
      <c r="F69" s="10"/>
      <c r="G69" s="5"/>
      <c r="H69" s="10"/>
      <c r="I69" s="10"/>
      <c r="J69" s="5"/>
      <c r="K69" s="5"/>
      <c r="L69" s="11"/>
      <c r="M69" s="5"/>
      <c r="N69" s="10"/>
      <c r="O69" s="4"/>
      <c r="P69" s="4"/>
      <c r="Q69" s="5"/>
    </row>
    <row r="70" spans="4:17" x14ac:dyDescent="0.25">
      <c r="D70" s="10"/>
      <c r="E70" s="10"/>
      <c r="F70" s="10"/>
      <c r="G70" s="5"/>
      <c r="H70" s="10"/>
      <c r="I70" s="10"/>
      <c r="J70" s="5"/>
      <c r="K70" s="5"/>
      <c r="L70" s="11"/>
      <c r="M70" s="5"/>
      <c r="N70" s="10"/>
      <c r="O70" s="4"/>
      <c r="P70" s="4"/>
      <c r="Q70" s="5"/>
    </row>
    <row r="71" spans="4:17" x14ac:dyDescent="0.25">
      <c r="D71" s="10"/>
      <c r="E71" s="10"/>
      <c r="F71" s="10"/>
      <c r="G71" s="5"/>
      <c r="H71" s="10"/>
      <c r="I71" s="10"/>
      <c r="J71" s="5"/>
      <c r="K71" s="5"/>
      <c r="L71" s="11"/>
      <c r="M71" s="5"/>
      <c r="N71" s="10"/>
      <c r="O71" s="4"/>
      <c r="P71" s="4"/>
      <c r="Q71" s="5"/>
    </row>
    <row r="72" spans="4:17" x14ac:dyDescent="0.25">
      <c r="D72" s="10"/>
      <c r="E72" s="10"/>
      <c r="F72" s="10"/>
      <c r="G72" s="5"/>
      <c r="H72" s="10"/>
      <c r="I72" s="10"/>
      <c r="J72" s="5"/>
      <c r="K72" s="5"/>
      <c r="L72" s="11"/>
      <c r="M72" s="5"/>
      <c r="N72" s="10"/>
      <c r="O72" s="4"/>
      <c r="P72" s="4"/>
      <c r="Q72" s="5"/>
    </row>
    <row r="73" spans="4:17" x14ac:dyDescent="0.25">
      <c r="D73" s="10"/>
      <c r="E73" s="10"/>
      <c r="F73" s="10"/>
      <c r="G73" s="5"/>
      <c r="H73" s="10"/>
      <c r="I73" s="10"/>
      <c r="J73" s="5"/>
      <c r="K73" s="5"/>
      <c r="L73" s="11"/>
      <c r="M73" s="5"/>
      <c r="N73" s="10"/>
      <c r="O73" s="4"/>
      <c r="P73" s="4"/>
      <c r="Q73" s="5"/>
    </row>
    <row r="74" spans="4:17" x14ac:dyDescent="0.25">
      <c r="D74" s="10"/>
      <c r="E74" s="10"/>
      <c r="F74" s="10"/>
      <c r="G74" s="5"/>
      <c r="H74" s="10"/>
      <c r="I74" s="10"/>
      <c r="J74" s="5"/>
      <c r="K74" s="5"/>
      <c r="L74" s="11"/>
      <c r="M74" s="5"/>
      <c r="N74" s="10"/>
      <c r="O74" s="4"/>
      <c r="P74" s="4"/>
      <c r="Q74" s="5"/>
    </row>
    <row r="75" spans="4:17" x14ac:dyDescent="0.25">
      <c r="D75" s="10"/>
      <c r="E75" s="10"/>
      <c r="F75" s="10"/>
      <c r="G75" s="5"/>
      <c r="H75" s="10"/>
      <c r="I75" s="10"/>
      <c r="J75" s="5"/>
      <c r="K75" s="5"/>
      <c r="L75" s="11"/>
      <c r="M75" s="5"/>
      <c r="N75" s="10"/>
      <c r="O75" s="4"/>
      <c r="P75" s="4"/>
      <c r="Q75" s="5"/>
    </row>
    <row r="76" spans="4:17" x14ac:dyDescent="0.25">
      <c r="D76" s="10"/>
      <c r="E76" s="10"/>
      <c r="F76" s="10"/>
      <c r="G76" s="5"/>
      <c r="H76" s="10"/>
      <c r="I76" s="10"/>
      <c r="J76" s="5"/>
      <c r="K76" s="5"/>
      <c r="L76" s="11"/>
      <c r="M76" s="5"/>
      <c r="N76" s="10"/>
      <c r="O76" s="4"/>
      <c r="P76" s="4"/>
      <c r="Q76" s="5"/>
    </row>
    <row r="77" spans="4:17" x14ac:dyDescent="0.25">
      <c r="D77" s="10"/>
      <c r="E77" s="10"/>
      <c r="F77" s="10"/>
      <c r="G77" s="5"/>
      <c r="H77" s="10"/>
      <c r="I77" s="10"/>
      <c r="J77" s="5"/>
      <c r="K77" s="5"/>
      <c r="L77" s="11"/>
      <c r="M77" s="5"/>
      <c r="N77" s="10"/>
      <c r="O77" s="4"/>
      <c r="P77" s="4"/>
      <c r="Q77" s="5"/>
    </row>
    <row r="78" spans="4:17" x14ac:dyDescent="0.25">
      <c r="D78" s="10"/>
      <c r="E78" s="10"/>
      <c r="F78" s="10"/>
      <c r="G78" s="5"/>
      <c r="H78" s="10"/>
      <c r="I78" s="10"/>
      <c r="J78" s="5"/>
      <c r="K78" s="5"/>
      <c r="L78" s="11"/>
      <c r="M78" s="5"/>
      <c r="N78" s="10"/>
      <c r="O78" s="4"/>
      <c r="P78" s="4"/>
      <c r="Q7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H+O2+N2</vt:lpstr>
      <vt:lpstr>HP Mech Rate</vt:lpstr>
      <vt:lpstr>Shao Rate</vt:lpstr>
      <vt:lpstr>Figure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 Yang</dc:creator>
  <cp:lastModifiedBy>Wenkai Liang</cp:lastModifiedBy>
  <dcterms:created xsi:type="dcterms:W3CDTF">2018-09-13T00:40:00Z</dcterms:created>
  <dcterms:modified xsi:type="dcterms:W3CDTF">2019-06-05T08:02:03Z</dcterms:modified>
</cp:coreProperties>
</file>